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1.xml.rels" ContentType="application/vnd.openxmlformats-package.relationships+xml"/>
  <Override PartName="/xl/worksheets/_rels/sheet6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vmlDrawing2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xl/comments11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Co 359 Invoice" sheetId="1" state="hidden" r:id="rId3"/>
    <sheet name="Co 011 Invoice" sheetId="2" state="visible" r:id="rId4"/>
    <sheet name="Co 34V" sheetId="3" state="hidden" r:id="rId5"/>
    <sheet name="ICFeb correction" sheetId="4" state="hidden" r:id="rId6"/>
    <sheet name="ICAprest" sheetId="5" state="hidden" r:id="rId7"/>
    <sheet name="Additional Inv for CC to Corp" sheetId="6" state="hidden" r:id="rId8"/>
    <sheet name="Eng Ops" sheetId="7" state="visible" r:id="rId9"/>
    <sheet name="Research Detail" sheetId="8" state="visible" r:id="rId10"/>
    <sheet name="HR Detail" sheetId="9" state="visible" r:id="rId11"/>
    <sheet name="ESource" sheetId="10" state="visible" r:id="rId12"/>
    <sheet name="IT Detail" sheetId="11" state="visible" r:id="rId13"/>
  </sheets>
  <externalReferences>
    <externalReference r:id="rId14"/>
    <externalReference r:id="rId15"/>
    <externalReference r:id="rId16"/>
    <externalReference r:id="rId17"/>
  </externalReferences>
  <definedNames>
    <definedName function="false" hidden="false" localSheetId="1" name="_xlnm.Print_Area" vbProcedure="false">'Co 011 Invoice'!$A$1:$C$35</definedName>
    <definedName function="false" hidden="false" name="ADDRESS" vbProcedure="false">'[2]'!$B$6:$P$6</definedName>
    <definedName function="false" hidden="false" name="BANKS" vbProcedure="false">'[2]'!$E$61:$BV$61</definedName>
    <definedName function="false" hidden="false" name="clear" vbProcedure="false">[1]Entry!$C$6,[1]Entry!$E$6,[1]Entry!$G$6,[1]Entry!$J$6,[1]Entry!$K$6,[1]Entry!$M$6,[1]Entry!$O$6,[1]Entry!$C$12,[1]Entry!$C$12:$P$40,[1]Entry!$D$45:$E$47,[1]Entry!$A$46:$C$47,[1]Entry!$C$60:$P$88,[1]Entry!$D$93:$E$95,[1]Entry!$A$94:$C$95,[1]Entry!$C$108:$P$136,[1]Entry!$D$141:$E$143,[1]Entry!$A$142:$C$143,[1]Entry!$C$156:$P$184,[1]Entry!$D$189:$E$191,[1]Entry!$A$190:$C$191</definedName>
    <definedName function="false" hidden="false" name="JE1" vbProcedure="false">#REF!</definedName>
    <definedName function="false" hidden="false" name="JE2" vbProcedure="false">#REF!</definedName>
    <definedName function="false" hidden="false" name="REMIT" vbProcedure="false">'[2]'!$A$38:$AU$38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8" authorId="0">
      <text>
        <r>
          <rPr>
            <b val="true"/>
            <sz val="8"/>
            <color rgb="FF000000"/>
            <rFont val="Tahoma"/>
            <family val="0"/>
          </rPr>
          <t xml:space="preserve">jblay:
</t>
        </r>
        <r>
          <rPr>
            <sz val="8"/>
            <color rgb="FF000000"/>
            <rFont val="Tahoma"/>
            <family val="0"/>
          </rPr>
          <t xml:space="preserve">For Systems RAAP/Parrell and Risk Management Trading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6</xdr:row>
                <xdr:rowOff>7</xdr:rowOff>
              </xdr:from>
              <xdr:to>
                <xdr:col>3</xdr:col>
                <xdr:colOff>36</xdr:colOff>
                <xdr:row>10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<sst xmlns="http://schemas.openxmlformats.org/spreadsheetml/2006/main" count="561" uniqueCount="305">
  <si>
    <t xml:space="preserve">INVOICE</t>
  </si>
  <si>
    <t xml:space="preserve">Enron Capital and Trade Resources, Inc.</t>
  </si>
  <si>
    <t xml:space="preserve">1400 Smith Street</t>
  </si>
  <si>
    <t xml:space="preserve">Houston, Texas 77002</t>
  </si>
  <si>
    <t xml:space="preserve">Intercompany billing for prior month data</t>
  </si>
  <si>
    <t xml:space="preserve">To: Enron Expat Services - Co. 359</t>
  </si>
  <si>
    <t xml:space="preserve">3/2000</t>
  </si>
  <si>
    <t xml:space="preserve">Description</t>
  </si>
  <si>
    <t xml:space="preserve">Amount</t>
  </si>
  <si>
    <t xml:space="preserve">1)  Analyst and Associate Administration </t>
  </si>
  <si>
    <t xml:space="preserve">      Indirect Costs </t>
  </si>
  <si>
    <t xml:space="preserve">Total Analyst and Associate Administration</t>
  </si>
  <si>
    <t xml:space="preserve">2)  Human Resources</t>
  </si>
  <si>
    <t xml:space="preserve">       Indirect Cost</t>
  </si>
  <si>
    <t xml:space="preserve">Total Human Resources</t>
  </si>
  <si>
    <t xml:space="preserve">3)  Legal</t>
  </si>
  <si>
    <t xml:space="preserve">      Indirect Cost </t>
  </si>
  <si>
    <t xml:space="preserve">Total Legal Allocations</t>
  </si>
  <si>
    <t xml:space="preserve">4)  Information Technology</t>
  </si>
  <si>
    <t xml:space="preserve">Total Information Technology</t>
  </si>
  <si>
    <t xml:space="preserve">Subtotal</t>
  </si>
  <si>
    <t xml:space="preserve">Sales Tax</t>
  </si>
  <si>
    <t xml:space="preserve">Shipping &amp; Handling</t>
  </si>
  <si>
    <t xml:space="preserve">TOTAL DUE</t>
  </si>
  <si>
    <t xml:space="preserve">Preliminary Intercompany billing for 2001</t>
  </si>
  <si>
    <t xml:space="preserve">To: Enron Corp. - Co. 011 </t>
  </si>
  <si>
    <t xml:space="preserve">2001 Plan</t>
  </si>
  <si>
    <t xml:space="preserve">Regina Hawley, Lisa Wilson, Shelly Pierce</t>
  </si>
  <si>
    <t xml:space="preserve">1)  Research</t>
  </si>
  <si>
    <t xml:space="preserve">Total Analysts and Associates Administration</t>
  </si>
  <si>
    <t xml:space="preserve">3)  ESource</t>
  </si>
  <si>
    <t xml:space="preserve">5)  Energy Ops</t>
  </si>
  <si>
    <t xml:space="preserve">Total Energy Ops</t>
  </si>
  <si>
    <t xml:space="preserve">To: Enron Corp.- RAC(Co. 34V)</t>
  </si>
  <si>
    <t xml:space="preserve">1)  Analysts and Associates Administration </t>
  </si>
  <si>
    <t xml:space="preserve">Bill in:</t>
  </si>
  <si>
    <t xml:space="preserve">Data from:</t>
  </si>
  <si>
    <t xml:space="preserve">RC 1807</t>
  </si>
  <si>
    <t xml:space="preserve">RC 1805</t>
  </si>
  <si>
    <t xml:space="preserve">RC1925</t>
  </si>
  <si>
    <t xml:space="preserve">RC 1898</t>
  </si>
  <si>
    <t xml:space="preserve">RC 1900</t>
  </si>
  <si>
    <t xml:space="preserve">RC 1901</t>
  </si>
  <si>
    <t xml:space="preserve">RC 1806</t>
  </si>
  <si>
    <t xml:space="preserve">Co.</t>
  </si>
  <si>
    <t xml:space="preserve">Jan Correction</t>
  </si>
  <si>
    <t xml:space="preserve">Analysts &amp; Associates</t>
  </si>
  <si>
    <t xml:space="preserve">Energy Operations</t>
  </si>
  <si>
    <t xml:space="preserve">Human Resources</t>
  </si>
  <si>
    <t xml:space="preserve">Legal</t>
  </si>
  <si>
    <t xml:space="preserve">Structuring</t>
  </si>
  <si>
    <t xml:space="preserve">Tax Support</t>
  </si>
  <si>
    <t xml:space="preserve">Information Technology</t>
  </si>
  <si>
    <t xml:space="preserve">Summary</t>
  </si>
  <si>
    <t xml:space="preserve">No.</t>
  </si>
  <si>
    <t xml:space="preserve">Division</t>
  </si>
  <si>
    <t xml:space="preserve">Primary Costs</t>
  </si>
  <si>
    <t xml:space="preserve">Step 2 Costs</t>
  </si>
  <si>
    <t xml:space="preserve">Total</t>
  </si>
  <si>
    <t xml:space="preserve">aaothers</t>
  </si>
  <si>
    <t xml:space="preserve">other div for a&amp;a</t>
  </si>
  <si>
    <t xml:space="preserve">ECM</t>
  </si>
  <si>
    <t xml:space="preserve">Europe</t>
  </si>
  <si>
    <t xml:space="preserve">1U9</t>
  </si>
  <si>
    <t xml:space="preserve">EI (963)</t>
  </si>
  <si>
    <t xml:space="preserve">34V</t>
  </si>
  <si>
    <t xml:space="preserve">RAC</t>
  </si>
  <si>
    <t xml:space="preserve">011</t>
  </si>
  <si>
    <t xml:space="preserve">Corp</t>
  </si>
  <si>
    <t xml:space="preserve">EES</t>
  </si>
  <si>
    <t xml:space="preserve">****** move to 011</t>
  </si>
  <si>
    <t xml:space="preserve">Shared Services (Corp)</t>
  </si>
  <si>
    <t xml:space="preserve">EOG</t>
  </si>
  <si>
    <t xml:space="preserve">Europe Products Trading</t>
  </si>
  <si>
    <t xml:space="preserve">Enron Europe Gas/Power Trading</t>
  </si>
  <si>
    <t xml:space="preserve">Enron Europe Originations</t>
  </si>
  <si>
    <t xml:space="preserve">Enron Expat Services (Corp)</t>
  </si>
  <si>
    <t xml:space="preserve">Global Products Trading</t>
  </si>
  <si>
    <t xml:space="preserve">40Y</t>
  </si>
  <si>
    <t xml:space="preserve">Azurix Water</t>
  </si>
  <si>
    <t xml:space="preserve">34K</t>
  </si>
  <si>
    <t xml:space="preserve">963 - Co.412</t>
  </si>
  <si>
    <t xml:space="preserve">Enron Development Corp (EI)</t>
  </si>
  <si>
    <t xml:space="preserve">Analysts &amp; Associates notes:</t>
  </si>
  <si>
    <t xml:space="preserve">*** Primary amount changed 'cuz expense was tied to wrong acct used Tot_SD_Exp and should have used Tot_Ops_Expenses</t>
  </si>
  <si>
    <t xml:space="preserve">*** Decrease in 13 of A&amp;A in ECM, RC1132 and 1354 moved to ECT as of 1/1/99, RC 1125 to 011-0307, Dejoun Windless to 40Y, Alok Gary to 1U9 - Increased 011 by 2, 40Y by 1 and 1U9 by .65</t>
  </si>
  <si>
    <t xml:space="preserve">Estimate</t>
  </si>
  <si>
    <t xml:space="preserve">EI (963, 412 to 1U9)</t>
  </si>
  <si>
    <t xml:space="preserve">RC1151 1/2k</t>
  </si>
  <si>
    <t xml:space="preserve">RC1151 2/2k</t>
  </si>
  <si>
    <t xml:space="preserve">Total RC1151</t>
  </si>
  <si>
    <t xml:space="preserve">RC2370 1/2k</t>
  </si>
  <si>
    <t xml:space="preserve">RC2370 2/2k</t>
  </si>
  <si>
    <t xml:space="preserve">Total RC2370</t>
  </si>
  <si>
    <t xml:space="preserve">ENERGY OPERATIONS</t>
  </si>
  <si>
    <t xml:space="preserve">Plan 2001</t>
  </si>
  <si>
    <t xml:space="preserve">100106</t>
  </si>
  <si>
    <t xml:space="preserve">CC Number</t>
  </si>
  <si>
    <t xml:space="preserve">CC Owner</t>
  </si>
  <si>
    <t xml:space="preserve">CC Name</t>
  </si>
  <si>
    <t xml:space="preserve">RISK MANAGEMENT AND CONTROLS</t>
  </si>
  <si>
    <t xml:space="preserve">105611</t>
  </si>
  <si>
    <t xml:space="preserve">Maxwell</t>
  </si>
  <si>
    <t xml:space="preserve">NA-Energy Ops Merchant Asset Portfolio</t>
  </si>
  <si>
    <t xml:space="preserve">**105611</t>
  </si>
  <si>
    <t xml:space="preserve">Total Allocations</t>
  </si>
  <si>
    <t xml:space="preserve">**</t>
  </si>
  <si>
    <t xml:space="preserve">Includes split from CALME (91% of $34,695)</t>
  </si>
  <si>
    <t xml:space="preserve">Assets reallocation</t>
  </si>
  <si>
    <t xml:space="preserve">Canada diff:</t>
  </si>
  <si>
    <t xml:space="preserve">percent per team</t>
  </si>
  <si>
    <t xml:space="preserve">alloc to all teams RC0674</t>
  </si>
  <si>
    <t xml:space="preserve">Upstream/Rk Mt reallocation</t>
  </si>
  <si>
    <t xml:space="preserve">Midstream IPP Origination</t>
  </si>
  <si>
    <t xml:space="preserve">ENRON NORTH AMERICA</t>
  </si>
  <si>
    <t xml:space="preserve">RESEARCH ALLOCATION</t>
  </si>
  <si>
    <t xml:space="preserve">0826-Research</t>
  </si>
  <si>
    <t xml:space="preserve">Method:</t>
  </si>
  <si>
    <t xml:space="preserve">Direct %</t>
  </si>
  <si>
    <t xml:space="preserve">TOTAL</t>
  </si>
  <si>
    <t xml:space="preserve">hdct</t>
  </si>
  <si>
    <t xml:space="preserve">ENA</t>
  </si>
  <si>
    <t xml:space="preserve">Assets HPL</t>
  </si>
  <si>
    <t xml:space="preserve">HPL</t>
  </si>
  <si>
    <t xml:space="preserve">GAS_NETWORK_OPS</t>
  </si>
  <si>
    <t xml:space="preserve">New Business Development </t>
  </si>
  <si>
    <t xml:space="preserve">GAS_NETWORK_SERVICES</t>
  </si>
  <si>
    <t xml:space="preserve">Environmental Energy</t>
  </si>
  <si>
    <t xml:space="preserve">Performing</t>
  </si>
  <si>
    <t xml:space="preserve">GAS_NETWORK_DEVLP</t>
  </si>
  <si>
    <t xml:space="preserve">East Midstream Origination</t>
  </si>
  <si>
    <t xml:space="preserve">ROCKY_MNT_ASSET_ORIG</t>
  </si>
  <si>
    <t xml:space="preserve">East Power Trading</t>
  </si>
  <si>
    <t xml:space="preserve">ASST_TRD</t>
  </si>
  <si>
    <t xml:space="preserve">ecr</t>
  </si>
  <si>
    <t xml:space="preserve">Upstream Origination</t>
  </si>
  <si>
    <t xml:space="preserve">ECR</t>
  </si>
  <si>
    <t xml:space="preserve">GAS_NETWORK_TRADING</t>
  </si>
  <si>
    <t xml:space="preserve">Assets Trading</t>
  </si>
  <si>
    <t xml:space="preserve">Mexico</t>
  </si>
  <si>
    <t xml:space="preserve">CANADA</t>
  </si>
  <si>
    <t xml:space="preserve">xxx</t>
  </si>
  <si>
    <t xml:space="preserve">Clean Energy Solutions</t>
  </si>
  <si>
    <t xml:space="preserve">CLEAN_ENG</t>
  </si>
  <si>
    <t xml:space="preserve">Long-term gas trading</t>
  </si>
  <si>
    <t xml:space="preserve">COAL</t>
  </si>
  <si>
    <t xml:space="preserve">Short-term gas trading - Central</t>
  </si>
  <si>
    <t xml:space="preserve">CRED_SPREAD</t>
  </si>
  <si>
    <t xml:space="preserve">CTG</t>
  </si>
  <si>
    <t xml:space="preserve">Short-term gas trading - East</t>
  </si>
  <si>
    <t xml:space="preserve">DWNSTRM_IND_ORIG</t>
  </si>
  <si>
    <t xml:space="preserve">Short-term gas trading - West</t>
  </si>
  <si>
    <t xml:space="preserve">E_ORG</t>
  </si>
  <si>
    <t xml:space="preserve">West Power Trading</t>
  </si>
  <si>
    <t xml:space="preserve">E_PWR_TR</t>
  </si>
  <si>
    <t xml:space="preserve">West Midstream Origination</t>
  </si>
  <si>
    <t xml:space="preserve">ENVR_ENGY</t>
  </si>
  <si>
    <t xml:space="preserve">Risk Management (Middle Mkt) - Hou</t>
  </si>
  <si>
    <t xml:space="preserve">ECT_EQU_TRD</t>
  </si>
  <si>
    <t xml:space="preserve">office of</t>
  </si>
  <si>
    <t xml:space="preserve">Executive Originations</t>
  </si>
  <si>
    <t xml:space="preserve">EXEC_ORIG</t>
  </si>
  <si>
    <t xml:space="preserve">Risk Management (Middle Mkt) - NY</t>
  </si>
  <si>
    <t xml:space="preserve">EXEC_TRD</t>
  </si>
  <si>
    <t xml:space="preserve">Office of Chairman</t>
  </si>
  <si>
    <t xml:space="preserve">EQUITY</t>
  </si>
  <si>
    <t xml:space="preserve">east power</t>
  </si>
  <si>
    <t xml:space="preserve">Genco</t>
  </si>
  <si>
    <t xml:space="preserve">GENCOS</t>
  </si>
  <si>
    <t xml:space="preserve">Group</t>
  </si>
  <si>
    <t xml:space="preserve">GROUP</t>
  </si>
  <si>
    <t xml:space="preserve">egm</t>
  </si>
  <si>
    <t xml:space="preserve">Insurance - Porfolio Management</t>
  </si>
  <si>
    <t xml:space="preserve">GRM</t>
  </si>
  <si>
    <t xml:space="preserve">PORTFOLIO_MGT</t>
  </si>
  <si>
    <t xml:space="preserve">principal inv</t>
  </si>
  <si>
    <t xml:space="preserve">Financial Origination</t>
  </si>
  <si>
    <t xml:space="preserve">Principal investing</t>
  </si>
  <si>
    <t xml:space="preserve">RISK_MGT</t>
  </si>
  <si>
    <t xml:space="preserve">non perf</t>
  </si>
  <si>
    <t xml:space="preserve">Restructuring</t>
  </si>
  <si>
    <t xml:space="preserve">Non Performing</t>
  </si>
  <si>
    <t xml:space="preserve">IR_FX</t>
  </si>
  <si>
    <t xml:space="preserve">Assets Upsteram Assets</t>
  </si>
  <si>
    <t xml:space="preserve">Upstream Assets</t>
  </si>
  <si>
    <t xml:space="preserve">N_BS_DEV</t>
  </si>
  <si>
    <t xml:space="preserve">Canada Finance</t>
  </si>
  <si>
    <t xml:space="preserve">OF_CHAIR</t>
  </si>
  <si>
    <t xml:space="preserve">Canada Trading</t>
  </si>
  <si>
    <t xml:space="preserve">All ENA</t>
  </si>
  <si>
    <t xml:space="preserve">PAPER</t>
  </si>
  <si>
    <t xml:space="preserve">corp</t>
  </si>
  <si>
    <t xml:space="preserve">Credit Spread Trading</t>
  </si>
  <si>
    <t xml:space="preserve">RESTRUCTURING</t>
  </si>
  <si>
    <t xml:space="preserve">EGM</t>
  </si>
  <si>
    <t xml:space="preserve">EGM (Enron Global Markets)</t>
  </si>
  <si>
    <t xml:space="preserve">HOUSTON</t>
  </si>
  <si>
    <t xml:space="preserve">eim</t>
  </si>
  <si>
    <t xml:space="preserve">EIM</t>
  </si>
  <si>
    <t xml:space="preserve">EIM (Enron Industrial Markets)</t>
  </si>
  <si>
    <t xml:space="preserve">PROD_FIN</t>
  </si>
  <si>
    <t xml:space="preserve">GPG Executive</t>
  </si>
  <si>
    <t xml:space="preserve">Enron Europe</t>
  </si>
  <si>
    <t xml:space="preserve">Enron Global Finance (ECM)</t>
  </si>
  <si>
    <t xml:space="preserve">Enron Energy Services</t>
  </si>
  <si>
    <t xml:space="preserve">Enron Broadband Services</t>
  </si>
  <si>
    <t xml:space="preserve">APACHE</t>
  </si>
  <si>
    <t xml:space="preserve">South America</t>
  </si>
  <si>
    <t xml:space="preserve">India</t>
  </si>
  <si>
    <t xml:space="preserve">CALME</t>
  </si>
  <si>
    <t xml:space="preserve">CALME (EGM)</t>
  </si>
  <si>
    <t xml:space="preserve">CALME (Corp)</t>
  </si>
  <si>
    <t xml:space="preserve">ckpt</t>
  </si>
  <si>
    <t xml:space="preserve">INTERCOMPANY CALCULATION FOR HR DEPARTMENT</t>
  </si>
  <si>
    <t xml:space="preserve">Assumptions made in calculating Intercompany billing for HR</t>
  </si>
  <si>
    <t xml:space="preserve">Cost:</t>
  </si>
  <si>
    <t xml:space="preserve">Title</t>
  </si>
  <si>
    <t xml:space="preserve">Amount charge</t>
  </si>
  <si>
    <t xml:space="preserve">Salary</t>
  </si>
  <si>
    <t xml:space="preserve">Bonus</t>
  </si>
  <si>
    <t xml:space="preserve">Tax &amp; benefits</t>
  </si>
  <si>
    <t xml:space="preserve">Overall</t>
  </si>
  <si>
    <t xml:space="preserve">Executive</t>
  </si>
  <si>
    <t xml:space="preserve">Director</t>
  </si>
  <si>
    <t xml:space="preserve">Manager</t>
  </si>
  <si>
    <t xml:space="preserve">Sr Staff</t>
  </si>
  <si>
    <t xml:space="preserve">Staff</t>
  </si>
  <si>
    <t xml:space="preserve">Admin.</t>
  </si>
  <si>
    <t xml:space="preserve">Additional info:</t>
  </si>
  <si>
    <t xml:space="preserve">Executive (David Oxley)</t>
  </si>
  <si>
    <t xml:space="preserve">   25% to EIM</t>
  </si>
  <si>
    <t xml:space="preserve">Franchise Teams (Tim O'Rourke &amp; Ted Bland)</t>
  </si>
  <si>
    <t xml:space="preserve">   Tony Vasut - 100% to Kim Rizzi</t>
  </si>
  <si>
    <t xml:space="preserve">   Staffer - 100% to Corp</t>
  </si>
  <si>
    <t xml:space="preserve">   Compensation - 50% to EIM, 50% EGM</t>
  </si>
  <si>
    <t xml:space="preserve">   Staffer - 50% to EIM, 50% to EGM</t>
  </si>
  <si>
    <t xml:space="preserve">   OD&amp;T - 50% to EIM, 50% to EGM</t>
  </si>
  <si>
    <t xml:space="preserve">   Talent Scout - 50% to EIM, 50% to EGM</t>
  </si>
  <si>
    <t xml:space="preserve">   2 Associates to Corp</t>
  </si>
  <si>
    <t xml:space="preserve">   1 Associate to CALME (EGM)</t>
  </si>
  <si>
    <t xml:space="preserve">   1 Associate to EBS</t>
  </si>
  <si>
    <t xml:space="preserve">   2 Associate to EES</t>
  </si>
  <si>
    <t xml:space="preserve">Business Consulting (Cindy Skinner)</t>
  </si>
  <si>
    <t xml:space="preserve">   Cindy Skinner - 75% to EGM</t>
  </si>
  <si>
    <t xml:space="preserve">   Shanna Fnkhouser - 100% to EGM</t>
  </si>
  <si>
    <t xml:space="preserve">   Kim Hickok - 50% to EGM</t>
  </si>
  <si>
    <t xml:space="preserve">   Sr Specialist - 100% to EGM</t>
  </si>
  <si>
    <t xml:space="preserve">   Fran Mayes - 50% to EIM</t>
  </si>
  <si>
    <t xml:space="preserve">Commercial Resources (Sheila Walton)</t>
  </si>
  <si>
    <t xml:space="preserve">   Sheila Walton - 25% to Rick Buy, 25% to Andy Fastow, 17% Corp Legal, 4% to EIP</t>
  </si>
  <si>
    <t xml:space="preserve">   Ramona - 50% to the above groups</t>
  </si>
  <si>
    <t xml:space="preserve">Support Services (Sheila Knudsen)</t>
  </si>
  <si>
    <t xml:space="preserve">   Sr Specialist - 25% to RAC, 25% Global Finance, 25% A&amp;A</t>
  </si>
  <si>
    <t xml:space="preserve">   Admin - 150% to A&amp;A, 25% RAC, 25% to Global Finance</t>
  </si>
  <si>
    <t xml:space="preserve">   Admin - 150% to ENW</t>
  </si>
  <si>
    <t xml:space="preserve">Calculation:</t>
  </si>
  <si>
    <t xml:space="preserve">Company</t>
  </si>
  <si>
    <t xml:space="preserve">Bill To</t>
  </si>
  <si>
    <t xml:space="preserve">Bill From</t>
  </si>
  <si>
    <t xml:space="preserve">Cost</t>
  </si>
  <si>
    <t xml:space="preserve">% Allocation</t>
  </si>
  <si>
    <t xml:space="preserve">Total Yrly Amt</t>
  </si>
  <si>
    <t xml:space="preserve">Mth Amt</t>
  </si>
  <si>
    <t xml:space="preserve">Director (Cindy)</t>
  </si>
  <si>
    <t xml:space="preserve">Cindy Skinner</t>
  </si>
  <si>
    <t xml:space="preserve">Manager (Shanna)</t>
  </si>
  <si>
    <t xml:space="preserve">Sr Specialist</t>
  </si>
  <si>
    <t xml:space="preserve">Specialist (Kim)</t>
  </si>
  <si>
    <t xml:space="preserve">Staffer</t>
  </si>
  <si>
    <t xml:space="preserve">Tim &amp; Ted</t>
  </si>
  <si>
    <t xml:space="preserve">OD&amp;T</t>
  </si>
  <si>
    <t xml:space="preserve">Talent Scout</t>
  </si>
  <si>
    <t xml:space="preserve">Compensation</t>
  </si>
  <si>
    <t xml:space="preserve">Executive (David)</t>
  </si>
  <si>
    <t xml:space="preserve">David Oxley</t>
  </si>
  <si>
    <t xml:space="preserve">1 Associate</t>
  </si>
  <si>
    <t xml:space="preserve">Mark Lay</t>
  </si>
  <si>
    <t xml:space="preserve">Director (Sheila W)</t>
  </si>
  <si>
    <t xml:space="preserve">Sheila Walton</t>
  </si>
  <si>
    <t xml:space="preserve">Corp Legal</t>
  </si>
  <si>
    <t xml:space="preserve">Rick Buy</t>
  </si>
  <si>
    <t xml:space="preserve">Admin</t>
  </si>
  <si>
    <t xml:space="preserve">Sheila Knudsen</t>
  </si>
  <si>
    <t xml:space="preserve">A&amp;A</t>
  </si>
  <si>
    <t xml:space="preserve">2 Associates</t>
  </si>
  <si>
    <t xml:space="preserve">PEP</t>
  </si>
  <si>
    <t xml:space="preserve">Kim Rizzi</t>
  </si>
  <si>
    <t xml:space="preserve">Specialist (Tony)</t>
  </si>
  <si>
    <t xml:space="preserve">EBS</t>
  </si>
  <si>
    <t xml:space="preserve">ENW</t>
  </si>
  <si>
    <t xml:space="preserve">EGF</t>
  </si>
  <si>
    <t xml:space="preserve">Admin. (Ramona)</t>
  </si>
  <si>
    <t xml:space="preserve">VP (David Oxley)</t>
  </si>
  <si>
    <t xml:space="preserve">Manger (Fran Mayes)</t>
  </si>
  <si>
    <t xml:space="preserve">Total Non ENA</t>
  </si>
  <si>
    <t xml:space="preserve">Corporate's estimate of 2001 plan is 17% of the total intercompany billings for Esource.</t>
  </si>
  <si>
    <t xml:space="preserve">Infotech - Detail for Co 011/34V</t>
  </si>
  <si>
    <t xml:space="preserve">CO 011/34V</t>
  </si>
  <si>
    <t xml:space="preserve">Direct</t>
  </si>
  <si>
    <t xml:space="preserve">Indirect</t>
  </si>
  <si>
    <t xml:space="preserve">Allocations</t>
  </si>
  <si>
    <t xml:space="preserve">(Corp 011)</t>
  </si>
  <si>
    <t xml:space="preserve">Depreciation</t>
  </si>
  <si>
    <t xml:space="preserve">Indirect Allocation</t>
  </si>
  <si>
    <t xml:space="preserve">Total Co 011</t>
  </si>
</sst>
</file>

<file path=xl/styles.xml><?xml version="1.0" encoding="utf-8"?>
<styleSheet xmlns="http://schemas.openxmlformats.org/spreadsheetml/2006/main">
  <numFmts count="54">
    <numFmt numFmtId="164" formatCode="General"/>
    <numFmt numFmtId="165" formatCode="#,##0;\-#,##0;\-"/>
    <numFmt numFmtId="166" formatCode="_(* #,##0_);_(* \(#,##0\);_(* \-_);_(@_)"/>
    <numFmt numFmtId="167" formatCode="_-* #,##0_-;\-* #,##0_-;_-* \-_-;_-@_-"/>
    <numFmt numFmtId="168" formatCode="[$-409]#,##0_);[RED]\(#,##0\)"/>
    <numFmt numFmtId="169" formatCode="&quot;        &quot;@"/>
    <numFmt numFmtId="170" formatCode="[BLUE]#,##0_);[BLUE]\(#,##0\)"/>
    <numFmt numFmtId="171" formatCode="0.0%;[RED]\(0.0%\);&quot;- &quot;"/>
    <numFmt numFmtId="172" formatCode="#,##0_);[RED]\(#,##0\);;@*-"/>
    <numFmt numFmtId="173" formatCode="_(* #,##0.00_);_(* \(#,##0.00\);_(* \-??_);_(@_)"/>
    <numFmt numFmtId="174" formatCode="_-* #,##0.00_-;\-* #,##0.00_-;_-* \-??_-;_-@_-"/>
    <numFmt numFmtId="175" formatCode="[$-409]#,##0.00_);[RED]\(#,##0.00\)"/>
    <numFmt numFmtId="176" formatCode="0.0%;[RED]\(0.0%\);&quot;-    &quot;"/>
    <numFmt numFmtId="177" formatCode="&quot;  &quot;@"/>
    <numFmt numFmtId="178" formatCode="0.0%\ ;[RED]\(0.0%&quot;) &quot;;&quot;-  &quot;"/>
    <numFmt numFmtId="179" formatCode="#,##0.00"/>
    <numFmt numFmtId="180" formatCode="#,##0_);\(#,##0\);\-"/>
    <numFmt numFmtId="181" formatCode="_(\$* #,##0_);_(\$* \(#,##0\);_(\$* \-_);_(@_)"/>
    <numFmt numFmtId="182" formatCode="&quot;         &quot;@"/>
    <numFmt numFmtId="183" formatCode="\$#,##0;[RED]&quot;-$&quot;#,##0"/>
    <numFmt numFmtId="184" formatCode="\$#,##0_);[RED]&quot;($&quot;#,##0\)"/>
    <numFmt numFmtId="185" formatCode=";;;"/>
    <numFmt numFmtId="186" formatCode="0.0%_);\(0.0%\)"/>
    <numFmt numFmtId="187" formatCode="[RED]#,##0_);[RED]\(#,##0\)"/>
    <numFmt numFmtId="188" formatCode="0.0%;[RED]\(0.0%\);&quot;&quot;"/>
    <numFmt numFmtId="189" formatCode="_-\$* #,##0_-;&quot;-$&quot;* #,##0_-;_-\$* \-_-;_-@_-"/>
    <numFmt numFmtId="190" formatCode="#,##0,_);[RED]\(#,##0,\);&quot;-  &quot;"/>
    <numFmt numFmtId="191" formatCode=".0%;\(.0%\)"/>
    <numFmt numFmtId="192" formatCode="*-\|;*-\|;*-\|;*-\|"/>
    <numFmt numFmtId="193" formatCode="_(\$* #,##0.00_);_(\$* \(#,##0.00\);_(\$* \-??_);_(@_)"/>
    <numFmt numFmtId="194" formatCode="\$#,##0.00_);[RED]&quot;($&quot;#,##0.00\)"/>
    <numFmt numFmtId="195" formatCode="&quot;    &quot;@"/>
    <numFmt numFmtId="196" formatCode="\$#,##0.00;[RED]&quot;-$&quot;#,##0.00"/>
    <numFmt numFmtId="197" formatCode="&quot;     &quot;@"/>
    <numFmt numFmtId="198" formatCode=".0%_);\(.0%\)"/>
    <numFmt numFmtId="199" formatCode="&quot;   &quot;@"/>
    <numFmt numFmtId="200" formatCode="\$#,##0_);[RED]&quot;($&quot;#,##0\);&quot;&quot;"/>
    <numFmt numFmtId="201" formatCode="_-\$* #,##0.00_-;&quot;-$&quot;* #,##0.00_-;_-\$* \-??_-;_-@_-"/>
    <numFmt numFmtId="202" formatCode="0%\ ;[RED]\(0%&quot;) &quot;;&quot;-  &quot;"/>
    <numFmt numFmtId="203" formatCode="0.000000000"/>
    <numFmt numFmtId="204" formatCode="#,##0,,_);[RED]\(#,##0,,\);&quot;- &quot;"/>
    <numFmt numFmtId="205" formatCode="0.000%"/>
    <numFmt numFmtId="206" formatCode="_(* #,##0,_);_(* \(#,##0,\);_(* \-_)"/>
    <numFmt numFmtId="207" formatCode="#,##0.00;[RED]#,##0.00"/>
    <numFmt numFmtId="208" formatCode="[$-409]#,##0_);\(#,##0\)"/>
    <numFmt numFmtId="209" formatCode="#,##0"/>
    <numFmt numFmtId="210" formatCode="&quot;       &quot;@"/>
    <numFmt numFmtId="211" formatCode="0.00%"/>
    <numFmt numFmtId="212" formatCode="0%"/>
    <numFmt numFmtId="213" formatCode="@"/>
    <numFmt numFmtId="214" formatCode="[$-409]mmm\-yy"/>
    <numFmt numFmtId="215" formatCode="_(* #,##0_);_(* \(#,##0\);_(* \-??_);_(@_)"/>
    <numFmt numFmtId="216" formatCode="\$#,##0_);&quot;($&quot;#,##0\)"/>
    <numFmt numFmtId="217" formatCode="_(\$* #,##0_);_(\$* \(#,##0\);_(\$* \-??_);_(@_)"/>
  </numFmts>
  <fonts count="6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</font>
    <font>
      <b val="true"/>
      <sz val="9.5"/>
      <name val="Courier New"/>
      <family val="0"/>
    </font>
    <font>
      <sz val="10"/>
      <name val="MS Sans Serif"/>
      <family val="0"/>
    </font>
    <font>
      <sz val="10"/>
      <name val="MS Sans Serif"/>
      <family val="2"/>
    </font>
    <font>
      <b val="true"/>
      <sz val="9.85"/>
      <name val="Times New Roman"/>
      <family val="0"/>
    </font>
    <font>
      <b val="true"/>
      <sz val="12"/>
      <name val="Times New Roman"/>
      <family val="0"/>
    </font>
    <font>
      <sz val="8"/>
      <name val="Arial"/>
      <family val="2"/>
    </font>
    <font>
      <b val="true"/>
      <sz val="12"/>
      <name val="Arial"/>
      <family val="0"/>
    </font>
    <font>
      <sz val="8"/>
      <name val="Times New Roman"/>
      <family val="0"/>
    </font>
    <font>
      <sz val="12"/>
      <name val="Arial"/>
      <family val="0"/>
    </font>
    <font>
      <sz val="10"/>
      <name val="Times New Roman"/>
      <family val="1"/>
    </font>
    <font>
      <sz val="9"/>
      <name val="Times New Roman"/>
      <family val="0"/>
    </font>
    <font>
      <sz val="10"/>
      <name val="Book Antiqua"/>
      <family val="0"/>
    </font>
    <font>
      <sz val="10"/>
      <name val="Times New Roman"/>
      <family val="0"/>
    </font>
    <font>
      <sz val="11"/>
      <name val="Arial"/>
      <family val="0"/>
    </font>
    <font>
      <sz val="8"/>
      <name val="Arial"/>
      <family val="0"/>
    </font>
    <font>
      <sz val="12"/>
      <name val="Comic Sans MS"/>
      <family val="0"/>
    </font>
    <font>
      <sz val="10"/>
      <name val="Courier New"/>
      <family val="0"/>
    </font>
    <font>
      <sz val="10"/>
      <name val="Univers (W1)"/>
      <family val="0"/>
    </font>
    <font>
      <sz val="12"/>
      <name val="Times New Roman"/>
      <family val="0"/>
    </font>
    <font>
      <sz val="10"/>
      <name val="Geneva"/>
      <family val="0"/>
    </font>
    <font>
      <sz val="10"/>
      <name val="Century Gothic"/>
      <family val="0"/>
    </font>
    <font>
      <sz val="10"/>
      <name val="Arial"/>
      <family val="2"/>
    </font>
    <font>
      <sz val="10"/>
      <color rgb="FF000000"/>
      <name val="MS Sans Serif"/>
      <family val="0"/>
    </font>
    <font>
      <sz val="12"/>
      <name val="Century Schoolbook"/>
      <family val="0"/>
    </font>
    <font>
      <sz val="9.85"/>
      <name val="Times New Roman"/>
      <family val="0"/>
    </font>
    <font>
      <sz val="22"/>
      <name val="Impact"/>
      <family val="2"/>
    </font>
    <font>
      <b val="true"/>
      <sz val="12"/>
      <name val="Arial"/>
      <family val="2"/>
    </font>
    <font>
      <b val="true"/>
      <sz val="10"/>
      <name val="Arial"/>
      <family val="0"/>
    </font>
    <font>
      <b val="true"/>
      <sz val="11"/>
      <name val="Arial"/>
      <family val="2"/>
    </font>
    <font>
      <b val="true"/>
      <sz val="11"/>
      <name val="Arial"/>
      <family val="0"/>
    </font>
    <font>
      <sz val="11"/>
      <name val="Arial"/>
      <family val="2"/>
    </font>
    <font>
      <b val="true"/>
      <sz val="11"/>
      <color rgb="FFFF0000"/>
      <name val="Arial"/>
      <family val="2"/>
    </font>
    <font>
      <b val="true"/>
      <sz val="22"/>
      <color rgb="FFFF0000"/>
      <name val="Arial"/>
      <family val="2"/>
    </font>
    <font>
      <sz val="12"/>
      <name val="Arial"/>
      <family val="2"/>
    </font>
    <font>
      <b val="true"/>
      <sz val="11"/>
      <color rgb="FF0000FF"/>
      <name val="Arial"/>
      <family val="2"/>
    </font>
    <font>
      <sz val="11"/>
      <name val="Times New Roman"/>
      <family val="1"/>
    </font>
    <font>
      <b val="true"/>
      <sz val="11"/>
      <name val="Times New Roman"/>
      <family val="1"/>
    </font>
    <font>
      <sz val="11"/>
      <color rgb="FF0000FF"/>
      <name val="Times New Roman"/>
      <family val="1"/>
    </font>
    <font>
      <b val="true"/>
      <sz val="11"/>
      <name val="Times New Roman"/>
      <family val="0"/>
    </font>
    <font>
      <b val="true"/>
      <sz val="16"/>
      <name val="Times New Roman"/>
      <family val="1"/>
    </font>
    <font>
      <b val="true"/>
      <sz val="10"/>
      <name val="Times New Roman"/>
      <family val="1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sz val="12"/>
      <name val="Times New Roman"/>
      <family val="1"/>
    </font>
    <font>
      <b val="true"/>
      <sz val="7"/>
      <name val="Times New Roman"/>
      <family val="1"/>
    </font>
    <font>
      <sz val="8"/>
      <name val="Times New Roman"/>
      <family val="1"/>
    </font>
    <font>
      <sz val="6"/>
      <name val="Times New Roman"/>
      <family val="1"/>
    </font>
    <font>
      <sz val="7"/>
      <name val="Times New Roman"/>
      <family val="1"/>
    </font>
    <font>
      <b val="true"/>
      <sz val="16"/>
      <name val="Arial"/>
      <family val="2"/>
    </font>
    <font>
      <b val="true"/>
      <sz val="10"/>
      <name val="Arial"/>
      <family val="2"/>
    </font>
    <font>
      <sz val="9"/>
      <name val="Arial"/>
      <family val="2"/>
    </font>
    <font>
      <b val="true"/>
      <sz val="8"/>
      <name val="Times New Roman"/>
      <family val="1"/>
    </font>
    <font>
      <sz val="9"/>
      <name val="Times New Roman"/>
      <family val="1"/>
    </font>
    <font>
      <b val="true"/>
      <sz val="10"/>
      <color rgb="FFFF000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0"/>
        <bgColor rgb="FFFFFF99"/>
      </patternFill>
    </fill>
    <fill>
      <patternFill patternType="solid">
        <fgColor rgb="FF00FF00"/>
        <bgColor rgb="FF33CCCC"/>
      </patternFill>
    </fill>
  </fills>
  <borders count="48">
    <border diagonalUp="false" diagonalDown="false">
      <left/>
      <right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double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/>
      <bottom style="double"/>
      <diagonal/>
    </border>
    <border diagonalUp="false" diagonalDown="false">
      <left style="thin"/>
      <right style="medium"/>
      <top style="double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thin"/>
      <bottom style="double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 style="medium"/>
      <right style="medium"/>
      <top style="thin"/>
      <bottom style="double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medium"/>
      <top/>
      <bottom style="double"/>
      <diagonal/>
    </border>
  </borders>
  <cellStyleXfs count="77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9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212" fontId="0" fillId="0" borderId="0" applyFont="true" applyBorder="false" applyAlignment="false" applyProtection="false"/>
    <xf numFmtId="165" fontId="4" fillId="0" borderId="0" applyFont="true" applyBorder="false" applyAlignment="false" applyProtection="true">
      <protection locked="true" hidden="false"/>
    </xf>
    <xf numFmtId="166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3" fontId="0" fillId="0" borderId="0" applyFont="true" applyBorder="false" applyAlignment="false" applyProtection="false"/>
    <xf numFmtId="168" fontId="7" fillId="0" borderId="0" applyFont="true" applyBorder="false" applyAlignment="false" applyProtection="false"/>
    <xf numFmtId="168" fontId="7" fillId="0" borderId="0" applyFont="true" applyBorder="false" applyAlignment="false" applyProtection="false"/>
    <xf numFmtId="168" fontId="7" fillId="0" borderId="0" applyFont="true" applyBorder="false" applyAlignment="false" applyProtection="false"/>
    <xf numFmtId="168" fontId="7" fillId="0" borderId="0" applyFont="true" applyBorder="false" applyAlignment="false" applyProtection="false"/>
    <xf numFmtId="168" fontId="7" fillId="0" borderId="0" applyFont="true" applyBorder="false" applyAlignment="false" applyProtection="false"/>
    <xf numFmtId="168" fontId="7" fillId="0" borderId="0" applyFont="true" applyBorder="false" applyAlignment="false" applyProtection="false"/>
    <xf numFmtId="168" fontId="7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8" fontId="7" fillId="0" borderId="0" applyFont="true" applyBorder="false" applyAlignment="false" applyProtection="false"/>
    <xf numFmtId="168" fontId="7" fillId="0" borderId="0" applyFont="true" applyBorder="false" applyAlignment="false" applyProtection="false"/>
    <xf numFmtId="168" fontId="7" fillId="0" borderId="0" applyFont="true" applyBorder="false" applyAlignment="false" applyProtection="false"/>
    <xf numFmtId="168" fontId="7" fillId="0" borderId="0" applyFont="true" applyBorder="false" applyAlignment="false" applyProtection="false"/>
    <xf numFmtId="168" fontId="7" fillId="0" borderId="0" applyFont="true" applyBorder="false" applyAlignment="false" applyProtection="false"/>
    <xf numFmtId="168" fontId="7" fillId="0" borderId="0" applyFont="true" applyBorder="false" applyAlignment="false" applyProtection="false"/>
    <xf numFmtId="168" fontId="7" fillId="0" borderId="0" applyFont="true" applyBorder="false" applyAlignment="false" applyProtection="false"/>
    <xf numFmtId="168" fontId="7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7" fillId="0" borderId="0" applyFont="true" applyBorder="false" applyAlignment="false" applyProtection="false"/>
    <xf numFmtId="17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94" fontId="0" fillId="0" borderId="1" applyFont="true" applyBorder="tru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1" applyFont="true" applyBorder="true" applyAlignment="false" applyProtection="false"/>
    <xf numFmtId="194" fontId="0" fillId="0" borderId="1" applyFont="true" applyBorder="true" applyAlignment="false" applyProtection="false"/>
    <xf numFmtId="194" fontId="0" fillId="0" borderId="0" applyFont="true" applyBorder="false" applyAlignment="false" applyProtection="false"/>
    <xf numFmtId="194" fontId="0" fillId="0" borderId="1" applyFont="true" applyBorder="true" applyAlignment="false" applyProtection="false"/>
    <xf numFmtId="19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4" fontId="10" fillId="2" borderId="0" applyFont="true" applyBorder="false" applyAlignment="false" applyProtection="false"/>
    <xf numFmtId="164" fontId="11" fillId="0" borderId="2" applyFont="true" applyBorder="true" applyAlignment="false" applyProtection="false"/>
    <xf numFmtId="164" fontId="11" fillId="0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3" borderId="0" applyFont="true" applyBorder="false" applyAlignment="false" applyProtection="false"/>
    <xf numFmtId="20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8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9" fillId="0" border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8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8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9" fillId="0" border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1" fontId="0" fillId="0" borderId="0" applyFont="true" applyBorder="false" applyAlignment="false" applyProtection="false"/>
    <xf numFmtId="179" fontId="29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12" fontId="0" fillId="0" borderId="0" applyFont="true" applyBorder="false" applyAlignment="false" applyProtection="false"/>
  </cellStyleXfs>
  <cellXfs count="2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3" fontId="3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3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8" fillId="0" borderId="0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8" fillId="0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3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8" fillId="0" borderId="9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8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3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8" fillId="0" borderId="11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36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36" fillId="0" borderId="12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36" fillId="0" borderId="9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3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5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6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36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5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36" fillId="2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4" fontId="3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3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35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9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5" fontId="35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35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3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39" fillId="0" borderId="1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3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9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39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9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39" fillId="2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3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3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35" fillId="0" borderId="1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35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36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5" fontId="35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35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3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6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36" fillId="0" borderId="1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5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36" fillId="2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2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4" fontId="4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4" fontId="41" fillId="0" borderId="2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0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4" fontId="42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4" fontId="41" fillId="0" borderId="3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3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1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5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8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08" fontId="40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16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6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4" fontId="4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211" fontId="4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15" fontId="4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1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5" fontId="4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4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1" fontId="4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5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8" fontId="4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6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35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35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36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35" fillId="0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35" fillId="0" borderId="1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36" fillId="0" borderId="1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36" fillId="0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36" fillId="2" borderId="1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08" fontId="44" fillId="0" borderId="0" xfId="40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8" fontId="45" fillId="0" borderId="0" xfId="40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08" fontId="14" fillId="0" borderId="0" xfId="40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4" fontId="46" fillId="0" borderId="0" xfId="40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14" fontId="46" fillId="0" borderId="0" xfId="40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12" fontId="4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08" fontId="45" fillId="0" borderId="0" xfId="40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12" fontId="47" fillId="0" borderId="4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208" fontId="14" fillId="0" borderId="0" xfId="40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2" fontId="1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8" fontId="45" fillId="0" borderId="0" xfId="40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5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8" fontId="14" fillId="0" borderId="0" xfId="40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08" fontId="45" fillId="0" borderId="0" xfId="40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8" fontId="14" fillId="0" borderId="3" xfId="40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11" fontId="1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8" fontId="14" fillId="0" borderId="34" xfId="40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1" fontId="14" fillId="0" borderId="3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1" fontId="14" fillId="0" borderId="1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14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1" fontId="14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1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5" fontId="14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5" fontId="14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4" fontId="4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1" fontId="49" fillId="0" borderId="3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14" fontId="45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3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11" fontId="50" fillId="0" borderId="3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14" fontId="45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4" fontId="4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5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45" fillId="0" borderId="3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5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5" fontId="14" fillId="0" borderId="3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0" xfId="68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0" xfId="68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5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5" fontId="14" fillId="0" borderId="3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11" fontId="14" fillId="0" borderId="35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5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1" fontId="45" fillId="0" borderId="3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45" fillId="0" borderId="4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45" fillId="0" borderId="3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45" fillId="0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45" fillId="0" borderId="4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4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1" fontId="14" fillId="0" borderId="2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5" fontId="5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1" fontId="5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1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15" fontId="5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11" fontId="5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12" fontId="5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5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5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4" fillId="0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5" fontId="54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11" fontId="54" fillId="0" borderId="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15" fontId="54" fillId="0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15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1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0" fillId="0" borderId="4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15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1" fontId="0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0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15" fontId="0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1" fontId="0" fillId="0" borderId="2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0" fillId="0" borderId="4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0" fillId="0" borderId="4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15" fontId="0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1" fontId="0" fillId="0" borderId="2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0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15" fontId="54" fillId="0" borderId="4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54" fillId="0" borderId="4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15" fontId="0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1" fontId="0" fillId="0" borderId="2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0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1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7" fontId="5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15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7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17" fontId="54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7" fontId="58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15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15" fontId="5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5" fontId="5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5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alc Currency (0)" xfId="20"/>
    <cellStyle name="Comma [0]_1162" xfId="21"/>
    <cellStyle name="Comma [0]_12~3SO2" xfId="22"/>
    <cellStyle name="Comma [0]_Assumptions" xfId="23"/>
    <cellStyle name="Comma [0]_Calculations" xfId="24"/>
    <cellStyle name="Comma [0]_Calculations (2)" xfId="25"/>
    <cellStyle name="Comma [0]_Calculations II" xfId="26"/>
    <cellStyle name="Comma [0]_Calculations III" xfId="27"/>
    <cellStyle name="Comma [0]_Calculations_1" xfId="28"/>
    <cellStyle name="Comma [0]_CCOCPX" xfId="29"/>
    <cellStyle name="Comma [0]_Channel Table" xfId="30"/>
    <cellStyle name="Comma [0]_E&amp;ONW1" xfId="31"/>
    <cellStyle name="Comma [0]_E&amp;ONW2" xfId="32"/>
    <cellStyle name="Comma [0]_E&amp;OOCPX" xfId="33"/>
    <cellStyle name="Comma [0]_ENRGYOP1" xfId="34"/>
    <cellStyle name="Comma [0]_F&amp;COCPX" xfId="35"/>
    <cellStyle name="Comma [0]_Full Year FY96" xfId="36"/>
    <cellStyle name="Comma [0]_HOGANGAS" xfId="37"/>
    <cellStyle name="Comma [0]_HOGANOIL" xfId="38"/>
    <cellStyle name="Comma [0]_Inputs" xfId="39"/>
    <cellStyle name="Comma [0]_ITOCPX" xfId="40"/>
    <cellStyle name="Comma [0]_Janactuals" xfId="41"/>
    <cellStyle name="Comma [0]_JE0898" xfId="42"/>
    <cellStyle name="Comma [0]_JETEMP" xfId="43"/>
    <cellStyle name="Comma [0]_june gas estimate" xfId="44"/>
    <cellStyle name="Comma [0]_laroux" xfId="45"/>
    <cellStyle name="Comma [0]_laroux_1" xfId="46"/>
    <cellStyle name="Comma [0]_laroux_12~3SO2" xfId="47"/>
    <cellStyle name="Comma [0]_laroux_1_12~3SO2" xfId="48"/>
    <cellStyle name="Comma [0]_laroux_1_NEGS" xfId="49"/>
    <cellStyle name="Comma [0]_laroux_2" xfId="50"/>
    <cellStyle name="Comma [0]_laroux_2_12~3SO2" xfId="51"/>
    <cellStyle name="Comma [0]_laroux_2_NEGS" xfId="52"/>
    <cellStyle name="Comma [0]_laroux_2_NEGS_1" xfId="53"/>
    <cellStyle name="Comma [0]_laroux_2_pldt" xfId="54"/>
    <cellStyle name="Comma [0]_laroux_3" xfId="55"/>
    <cellStyle name="Comma [0]_laroux_MATERAL2" xfId="56"/>
    <cellStyle name="Comma [0]_laroux_MATERAL2_NEGS" xfId="57"/>
    <cellStyle name="Comma [0]_laroux_MATERAL2_NEGS_1" xfId="58"/>
    <cellStyle name="Comma [0]_laroux_MATERAL2_pldt" xfId="59"/>
    <cellStyle name="Comma [0]_laroux_mud plant bolted" xfId="60"/>
    <cellStyle name="Comma [0]_laroux_mud plant bolted_NEGS" xfId="61"/>
    <cellStyle name="Comma [0]_MACRO1.XLM" xfId="62"/>
    <cellStyle name="Comma [0]_MATERAL2" xfId="63"/>
    <cellStyle name="Comma [0]_MATERAL2_NEGS" xfId="64"/>
    <cellStyle name="Comma [0]_MKGOCPX" xfId="65"/>
    <cellStyle name="Comma [0]_MOBCPX" xfId="66"/>
    <cellStyle name="Comma [0]_mud plant bolted" xfId="67"/>
    <cellStyle name="Comma [0]_mud plant bolted_NEGS" xfId="68"/>
    <cellStyle name="Comma [0]_mud plant bolted_NEGS_1" xfId="69"/>
    <cellStyle name="Comma [0]_mud plant bolted_pldt" xfId="70"/>
    <cellStyle name="Comma [0]_OSMOCPX" xfId="71"/>
    <cellStyle name="Comma [0]_P&amp;L" xfId="72"/>
    <cellStyle name="Comma [0]_PGMKOCPX" xfId="73"/>
    <cellStyle name="Comma [0]_PGNW1" xfId="74"/>
    <cellStyle name="Comma [0]_PGNW2" xfId="75"/>
    <cellStyle name="Comma [0]_PGNWOCPX" xfId="76"/>
    <cellStyle name="Comma [0]_PLAN95" xfId="77"/>
    <cellStyle name="Comma [0]_pldt" xfId="78"/>
    <cellStyle name="Comma [0]_pldt_1" xfId="79"/>
    <cellStyle name="Comma [0]_pldt_Calculations" xfId="80"/>
    <cellStyle name="Comma [0]_pldt_NEGS" xfId="81"/>
    <cellStyle name="Comma [0]_Product" xfId="82"/>
    <cellStyle name="Comma [0]_Q1 FY96" xfId="83"/>
    <cellStyle name="Comma [0]_Q2 FY96" xfId="84"/>
    <cellStyle name="Comma [0]_Q3 FY96" xfId="85"/>
    <cellStyle name="Comma [0]_Q4 FY96" xfId="86"/>
    <cellStyle name="Comma [0]_QTR94_95" xfId="87"/>
    <cellStyle name="Comma [0]_r1" xfId="88"/>
    <cellStyle name="Comma [0]_SATOCPX" xfId="89"/>
    <cellStyle name="Comma [0]_Sheet1" xfId="90"/>
    <cellStyle name="Comma [0]_Sheet1_Book6" xfId="91"/>
    <cellStyle name="Comma [0]_Sheet1_laroux" xfId="92"/>
    <cellStyle name="Comma [0]_Sheet1_PERSONAL" xfId="93"/>
    <cellStyle name="Comma [0]_Sheet4" xfId="94"/>
    <cellStyle name="Comma [0]_TMSNW1" xfId="95"/>
    <cellStyle name="Comma [0]_TMSNW2" xfId="96"/>
    <cellStyle name="Comma [0]_TMSOCPX" xfId="97"/>
    <cellStyle name="Comma [0]_VOUCHER" xfId="98"/>
    <cellStyle name="Comma_1162" xfId="99"/>
    <cellStyle name="Comma_12~3SO2" xfId="100"/>
    <cellStyle name="Comma_Assumptions" xfId="101"/>
    <cellStyle name="Comma_C-Cap intensity" xfId="102"/>
    <cellStyle name="Comma_C-Capex%rev" xfId="103"/>
    <cellStyle name="Comma_C-Line per Staff" xfId="104"/>
    <cellStyle name="Comma_C-lines distribution" xfId="105"/>
    <cellStyle name="Comma_C-Orig PLDT lines" xfId="106"/>
    <cellStyle name="Comma_C-Ret on Rev" xfId="107"/>
    <cellStyle name="Comma_C-ROACE" xfId="108"/>
    <cellStyle name="Comma_Calculations" xfId="109"/>
    <cellStyle name="Comma_Calculations (2)" xfId="110"/>
    <cellStyle name="Comma_Calculations II" xfId="111"/>
    <cellStyle name="Comma_Calculations III" xfId="112"/>
    <cellStyle name="Comma_Calculations_1" xfId="113"/>
    <cellStyle name="Comma_Capex" xfId="114"/>
    <cellStyle name="Comma_Capex per line" xfId="115"/>
    <cellStyle name="Comma_Capex%rev" xfId="116"/>
    <cellStyle name="Comma_CCOCPX" xfId="117"/>
    <cellStyle name="Comma_Channel Table" xfId="118"/>
    <cellStyle name="Comma_Cht-Capex per line" xfId="119"/>
    <cellStyle name="Comma_Cht-Cum Real Opr Cf" xfId="120"/>
    <cellStyle name="Comma_Cht-Dep%Rev" xfId="121"/>
    <cellStyle name="Comma_Cht-Real Opr Cf" xfId="122"/>
    <cellStyle name="Comma_Cht-Rev dist" xfId="123"/>
    <cellStyle name="Comma_Cht-Rev p line" xfId="124"/>
    <cellStyle name="Comma_Cht-Rev per Staff" xfId="125"/>
    <cellStyle name="Comma_Cht-Staff cost%revenue" xfId="126"/>
    <cellStyle name="Comma_CROCF" xfId="127"/>
    <cellStyle name="Comma_Cum Real Opr Cf" xfId="128"/>
    <cellStyle name="Comma_Demand Fcst." xfId="129"/>
    <cellStyle name="Comma_Dep%Rev" xfId="130"/>
    <cellStyle name="Comma_E&amp;ONW1" xfId="131"/>
    <cellStyle name="Comma_E&amp;ONW2" xfId="132"/>
    <cellStyle name="Comma_E&amp;OOCPX" xfId="133"/>
    <cellStyle name="Comma_ENRGYOP1" xfId="134"/>
    <cellStyle name="Comma_EPS" xfId="135"/>
    <cellStyle name="Comma_F&amp;COCPX" xfId="136"/>
    <cellStyle name="Comma_Full Year FY96" xfId="137"/>
    <cellStyle name="Comma_HOGANGAS" xfId="138"/>
    <cellStyle name="Comma_HOGANOIL" xfId="139"/>
    <cellStyle name="Comma_Inputs" xfId="140"/>
    <cellStyle name="Comma_IRR" xfId="141"/>
    <cellStyle name="Comma_ITOCPX" xfId="142"/>
    <cellStyle name="Comma_Janactuals" xfId="143"/>
    <cellStyle name="Comma_JE0898" xfId="144"/>
    <cellStyle name="Comma_JETEMP" xfId="145"/>
    <cellStyle name="Comma_june gas estimate" xfId="146"/>
    <cellStyle name="Comma_laroux" xfId="147"/>
    <cellStyle name="Comma_laroux_1" xfId="148"/>
    <cellStyle name="Comma_laroux_12~3SO2" xfId="149"/>
    <cellStyle name="Comma_laroux_1_12~3SO2" xfId="150"/>
    <cellStyle name="Comma_laroux_1_NEGS" xfId="151"/>
    <cellStyle name="Comma_laroux_1_NEGS_1" xfId="152"/>
    <cellStyle name="Comma_laroux_1_pldt" xfId="153"/>
    <cellStyle name="Comma_laroux_2" xfId="154"/>
    <cellStyle name="Comma_laroux_2_12~3SO2" xfId="155"/>
    <cellStyle name="Comma_laroux_2_NEGS" xfId="156"/>
    <cellStyle name="Comma_laroux_2_NEGS_1" xfId="157"/>
    <cellStyle name="Comma_laroux_2_pldt" xfId="158"/>
    <cellStyle name="Comma_laroux_3" xfId="159"/>
    <cellStyle name="Comma_laroux_NEGS" xfId="160"/>
    <cellStyle name="Comma_laroux_pldt" xfId="161"/>
    <cellStyle name="Comma_Line Inst." xfId="162"/>
    <cellStyle name="Comma_MACRO1.XLM" xfId="163"/>
    <cellStyle name="Comma_MATERAL2" xfId="164"/>
    <cellStyle name="Comma_MATERAL2_NEGS" xfId="165"/>
    <cellStyle name="Comma_MKGOCPX" xfId="166"/>
    <cellStyle name="Comma_Mkt Shr" xfId="167"/>
    <cellStyle name="Comma_MOBCPX" xfId="168"/>
    <cellStyle name="Comma_mud plant bolted" xfId="169"/>
    <cellStyle name="Comma_NCR-C&amp;W Val" xfId="170"/>
    <cellStyle name="Comma_NCR-Cap intensity" xfId="171"/>
    <cellStyle name="Comma_NCR-Line per Staff" xfId="172"/>
    <cellStyle name="Comma_NCR-Rev dist" xfId="173"/>
    <cellStyle name="Comma_Op Cost Break" xfId="174"/>
    <cellStyle name="Comma_OSMOCPX" xfId="175"/>
    <cellStyle name="Comma_P&amp;L" xfId="176"/>
    <cellStyle name="Comma_PGMKOCPX" xfId="177"/>
    <cellStyle name="Comma_PGNW1" xfId="178"/>
    <cellStyle name="Comma_PGNW2" xfId="179"/>
    <cellStyle name="Comma_PGNWOCPX" xfId="180"/>
    <cellStyle name="Comma_PLAN95" xfId="181"/>
    <cellStyle name="Comma_pldt" xfId="182"/>
    <cellStyle name="Comma_pldt_1" xfId="183"/>
    <cellStyle name="Comma_pldt_2" xfId="184"/>
    <cellStyle name="Comma_pldt_Calculations" xfId="185"/>
    <cellStyle name="Comma_pldt_NEGS" xfId="186"/>
    <cellStyle name="Comma_Product" xfId="187"/>
    <cellStyle name="Comma_Q1 FY96" xfId="188"/>
    <cellStyle name="Comma_Q2 FY96" xfId="189"/>
    <cellStyle name="Comma_Q3 FY96" xfId="190"/>
    <cellStyle name="Comma_Q4 FY96" xfId="191"/>
    <cellStyle name="Comma_QTR94_95" xfId="192"/>
    <cellStyle name="Comma_r1" xfId="193"/>
    <cellStyle name="Comma_Real Opr Cf" xfId="194"/>
    <cellStyle name="Comma_Real Rev per Staff (1)" xfId="195"/>
    <cellStyle name="Comma_Real Rev per Staff (2)" xfId="196"/>
    <cellStyle name="Comma_Region 2-C&amp;W" xfId="197"/>
    <cellStyle name="Comma_Return on Rev" xfId="198"/>
    <cellStyle name="Comma_Rev p line" xfId="199"/>
    <cellStyle name="Comma_ROACE" xfId="200"/>
    <cellStyle name="Comma_ROCF (Tot)" xfId="201"/>
    <cellStyle name="Comma_SATOCPX" xfId="202"/>
    <cellStyle name="Comma_Sheet1" xfId="203"/>
    <cellStyle name="Comma_Sheet1_Book6" xfId="204"/>
    <cellStyle name="Comma_Sheet1_laroux" xfId="205"/>
    <cellStyle name="Comma_Sheet1_PERSONAL" xfId="206"/>
    <cellStyle name="Comma_Sheet4" xfId="207"/>
    <cellStyle name="Comma_Staff cost%rev" xfId="208"/>
    <cellStyle name="Comma_TMSNW1" xfId="209"/>
    <cellStyle name="Comma_TMSNW2" xfId="210"/>
    <cellStyle name="Comma_TMSOCPX" xfId="211"/>
    <cellStyle name="Comma_Total-Rev dist." xfId="212"/>
    <cellStyle name="Comma_VOUCHER" xfId="213"/>
    <cellStyle name="Currency [0]_1162" xfId="214"/>
    <cellStyle name="Currency [0]_12~3SO2" xfId="215"/>
    <cellStyle name="Currency [0]_Assumptions" xfId="216"/>
    <cellStyle name="Currency [0]_Calculations" xfId="217"/>
    <cellStyle name="Currency [0]_Calculations (2)" xfId="218"/>
    <cellStyle name="Currency [0]_Calculations II" xfId="219"/>
    <cellStyle name="Currency [0]_Calculations III" xfId="220"/>
    <cellStyle name="Currency [0]_Calculations_1" xfId="221"/>
    <cellStyle name="Currency [0]_CCOCPX" xfId="222"/>
    <cellStyle name="Currency [0]_Channel Table" xfId="223"/>
    <cellStyle name="Currency [0]_E&amp;ONW1" xfId="224"/>
    <cellStyle name="Currency [0]_E&amp;ONW2" xfId="225"/>
    <cellStyle name="Currency [0]_E&amp;OOCPX" xfId="226"/>
    <cellStyle name="Currency [0]_ENRGYOP1" xfId="227"/>
    <cellStyle name="Currency [0]_F&amp;COCPX" xfId="228"/>
    <cellStyle name="Currency [0]_Full Year FY96" xfId="229"/>
    <cellStyle name="Currency [0]_HOGANGAS" xfId="230"/>
    <cellStyle name="Currency [0]_HOGANOIL" xfId="231"/>
    <cellStyle name="Currency [0]_Inputs" xfId="232"/>
    <cellStyle name="Currency [0]_ITOCPX" xfId="233"/>
    <cellStyle name="Currency [0]_Janactuals" xfId="234"/>
    <cellStyle name="Currency [0]_JE0898" xfId="235"/>
    <cellStyle name="Currency [0]_JETEMP" xfId="236"/>
    <cellStyle name="Currency [0]_june gas estimate" xfId="237"/>
    <cellStyle name="Currency [0]_laroux" xfId="238"/>
    <cellStyle name="Currency [0]_laroux_1" xfId="239"/>
    <cellStyle name="Currency [0]_laroux_12~3SO2" xfId="240"/>
    <cellStyle name="Currency [0]_laroux_1_12~3SO2" xfId="241"/>
    <cellStyle name="Currency [0]_laroux_1_NEGS" xfId="242"/>
    <cellStyle name="Currency [0]_laroux_2" xfId="243"/>
    <cellStyle name="Currency [0]_laroux_2_12~3SO2" xfId="244"/>
    <cellStyle name="Currency [0]_laroux_2_NEGS" xfId="245"/>
    <cellStyle name="Currency [0]_laroux_2_NEGS_1" xfId="246"/>
    <cellStyle name="Currency [0]_laroux_3" xfId="247"/>
    <cellStyle name="Currency [0]_laroux_3_12~3SO2" xfId="248"/>
    <cellStyle name="Currency [0]_laroux_4" xfId="249"/>
    <cellStyle name="Currency [0]_laroux_MATERAL2" xfId="250"/>
    <cellStyle name="Currency [0]_laroux_MATERAL2_NEGS" xfId="251"/>
    <cellStyle name="Currency [0]_laroux_mud plant bolted" xfId="252"/>
    <cellStyle name="Currency [0]_laroux_mud plant bolted_NEGS" xfId="253"/>
    <cellStyle name="Currency [0]_laroux_NEGS" xfId="254"/>
    <cellStyle name="Currency [0]_MACRO1.XLM" xfId="255"/>
    <cellStyle name="Currency [0]_MATERAL2" xfId="256"/>
    <cellStyle name="Currency [0]_MATERAL2_NEGS" xfId="257"/>
    <cellStyle name="Currency [0]_MKGOCPX" xfId="258"/>
    <cellStyle name="Currency [0]_MOBCPX" xfId="259"/>
    <cellStyle name="Currency [0]_mud plant bolted" xfId="260"/>
    <cellStyle name="Currency [0]_mud plant bolted_NEGS" xfId="261"/>
    <cellStyle name="Currency [0]_NEGS" xfId="262"/>
    <cellStyle name="Currency [0]_OSMOCPX" xfId="263"/>
    <cellStyle name="Currency [0]_P&amp;L" xfId="264"/>
    <cellStyle name="Currency [0]_PGMKOCPX" xfId="265"/>
    <cellStyle name="Currency [0]_PGNW1" xfId="266"/>
    <cellStyle name="Currency [0]_PGNW2" xfId="267"/>
    <cellStyle name="Currency [0]_PGNWOCPX" xfId="268"/>
    <cellStyle name="Currency [0]_PLAN95" xfId="269"/>
    <cellStyle name="Currency [0]_pldt" xfId="270"/>
    <cellStyle name="Currency [0]_pldt_1" xfId="271"/>
    <cellStyle name="Currency [0]_pldt_1_NEGS" xfId="272"/>
    <cellStyle name="Currency [0]_pldt_2" xfId="273"/>
    <cellStyle name="Currency [0]_pldt_Calculations" xfId="274"/>
    <cellStyle name="Currency [0]_PLDT_NEGS" xfId="275"/>
    <cellStyle name="Currency [0]_Product" xfId="276"/>
    <cellStyle name="Currency [0]_Q1 FY96" xfId="277"/>
    <cellStyle name="Currency [0]_Q2 FY96" xfId="278"/>
    <cellStyle name="Currency [0]_Q3 FY96" xfId="279"/>
    <cellStyle name="Currency [0]_Q4 FY96" xfId="280"/>
    <cellStyle name="Currency [0]_QTR94_95" xfId="281"/>
    <cellStyle name="Currency [0]_r1" xfId="282"/>
    <cellStyle name="Currency [0]_SATOCPX" xfId="283"/>
    <cellStyle name="Currency [0]_Sheet1" xfId="284"/>
    <cellStyle name="Currency [0]_Sheet1_Book6" xfId="285"/>
    <cellStyle name="Currency [0]_Sheet1_laroux" xfId="286"/>
    <cellStyle name="Currency [0]_Sheet1_PERSONAL" xfId="287"/>
    <cellStyle name="Currency [0]_Sheet4" xfId="288"/>
    <cellStyle name="Currency [0]_TMSNW1" xfId="289"/>
    <cellStyle name="Currency [0]_TMSNW2" xfId="290"/>
    <cellStyle name="Currency [0]_TMSOCPX" xfId="291"/>
    <cellStyle name="Currency [0]_VOUCHER" xfId="292"/>
    <cellStyle name="Currency_1162" xfId="293"/>
    <cellStyle name="Currency_12~3SO2" xfId="294"/>
    <cellStyle name="Currency_1422V11" xfId="295"/>
    <cellStyle name="Currency_Assumptions" xfId="296"/>
    <cellStyle name="Currency_Calculations" xfId="297"/>
    <cellStyle name="Currency_Calculations (2)" xfId="298"/>
    <cellStyle name="Currency_Calculations II" xfId="299"/>
    <cellStyle name="Currency_Calculations III" xfId="300"/>
    <cellStyle name="Currency_Calculations_1" xfId="301"/>
    <cellStyle name="Currency_CCOCPX" xfId="302"/>
    <cellStyle name="Currency_Channel Table" xfId="303"/>
    <cellStyle name="Currency_E&amp;ONW1" xfId="304"/>
    <cellStyle name="Currency_E&amp;ONW2" xfId="305"/>
    <cellStyle name="Currency_E&amp;OOCPX" xfId="306"/>
    <cellStyle name="Currency_ENRGYOP1" xfId="307"/>
    <cellStyle name="Currency_F&amp;COCPX" xfId="308"/>
    <cellStyle name="Currency_Full Year FY96" xfId="309"/>
    <cellStyle name="Currency_HOGANGAS" xfId="310"/>
    <cellStyle name="Currency_HOGANOIL" xfId="311"/>
    <cellStyle name="Currency_Inputs" xfId="312"/>
    <cellStyle name="Currency_ITOCPX" xfId="313"/>
    <cellStyle name="Currency_Janactuals" xfId="314"/>
    <cellStyle name="Currency_JE0898" xfId="315"/>
    <cellStyle name="Currency_JETEMP" xfId="316"/>
    <cellStyle name="Currency_JETEMP_1" xfId="317"/>
    <cellStyle name="Currency_JETEMP_VOUCHER" xfId="318"/>
    <cellStyle name="Currency_june gas estimate" xfId="319"/>
    <cellStyle name="Currency_laroux" xfId="320"/>
    <cellStyle name="Currency_laroux_1" xfId="321"/>
    <cellStyle name="Currency_laroux_12~3SO2" xfId="322"/>
    <cellStyle name="Currency_laroux_1_12~3SO2" xfId="323"/>
    <cellStyle name="Currency_laroux_1_NEGS" xfId="324"/>
    <cellStyle name="Currency_laroux_2" xfId="325"/>
    <cellStyle name="Currency_laroux_2_12~3SO2" xfId="326"/>
    <cellStyle name="Currency_laroux_2_NEGS" xfId="327"/>
    <cellStyle name="Currency_laroux_2_NEGS_1" xfId="328"/>
    <cellStyle name="Currency_laroux_3" xfId="329"/>
    <cellStyle name="Currency_laroux_3_12~3SO2" xfId="330"/>
    <cellStyle name="Currency_laroux_4" xfId="331"/>
    <cellStyle name="Currency_laroux_NEGS" xfId="332"/>
    <cellStyle name="Currency_MACRO1.XLM" xfId="333"/>
    <cellStyle name="Currency_MATERAL2" xfId="334"/>
    <cellStyle name="Currency_MATERAL2_NEGS" xfId="335"/>
    <cellStyle name="Currency_MKGOCPX" xfId="336"/>
    <cellStyle name="Currency_MOBCPX" xfId="337"/>
    <cellStyle name="Currency_mud plant bolted" xfId="338"/>
    <cellStyle name="Currency_mud plant bolted_NEGS" xfId="339"/>
    <cellStyle name="Currency_NEGS" xfId="340"/>
    <cellStyle name="Currency_OSMOCPX" xfId="341"/>
    <cellStyle name="Currency_P&amp;L" xfId="342"/>
    <cellStyle name="Currency_PGMKOCPX" xfId="343"/>
    <cellStyle name="Currency_PGNW1" xfId="344"/>
    <cellStyle name="Currency_PGNW2" xfId="345"/>
    <cellStyle name="Currency_PGNWOCPX" xfId="346"/>
    <cellStyle name="Currency_PLAN95" xfId="347"/>
    <cellStyle name="Currency_pldt" xfId="348"/>
    <cellStyle name="Currency_pldt_1" xfId="349"/>
    <cellStyle name="Currency_pldt_1_NEGS" xfId="350"/>
    <cellStyle name="Currency_pldt_2" xfId="351"/>
    <cellStyle name="Currency_pldt_Calculations" xfId="352"/>
    <cellStyle name="Currency_PLDT_NEGS" xfId="353"/>
    <cellStyle name="Currency_Product" xfId="354"/>
    <cellStyle name="Currency_Q1 FY96" xfId="355"/>
    <cellStyle name="Currency_Q2 FY96" xfId="356"/>
    <cellStyle name="Currency_Q3 FY96" xfId="357"/>
    <cellStyle name="Currency_Q4 FY96" xfId="358"/>
    <cellStyle name="Currency_QTR94_95" xfId="359"/>
    <cellStyle name="Currency_r1" xfId="360"/>
    <cellStyle name="Currency_SATOCPX" xfId="361"/>
    <cellStyle name="Currency_Sheet1" xfId="362"/>
    <cellStyle name="Currency_Sheet1_Book6" xfId="363"/>
    <cellStyle name="Currency_Sheet1_laroux" xfId="364"/>
    <cellStyle name="Currency_Sheet1_PERSONAL" xfId="365"/>
    <cellStyle name="Currency_Sheet4" xfId="366"/>
    <cellStyle name="Currency_TMSNW1" xfId="367"/>
    <cellStyle name="Currency_TMSNW2" xfId="368"/>
    <cellStyle name="Currency_TMSOCPX" xfId="369"/>
    <cellStyle name="Currency_VOUCHER" xfId="370"/>
    <cellStyle name="Grey" xfId="371"/>
    <cellStyle name="Header1" xfId="372"/>
    <cellStyle name="Header2" xfId="373"/>
    <cellStyle name="Input [yellow]" xfId="374"/>
    <cellStyle name="Normal - Style1" xfId="375"/>
    <cellStyle name="Normal_#10-Headcount" xfId="376"/>
    <cellStyle name="Normal_#5-Headcount_1" xfId="377"/>
    <cellStyle name="Normal_#6-Headcount" xfId="378"/>
    <cellStyle name="Normal_0183" xfId="379"/>
    <cellStyle name="Normal_063" xfId="380"/>
    <cellStyle name="Normal_0688" xfId="381"/>
    <cellStyle name="Normal_0758" xfId="382"/>
    <cellStyle name="Normal_0761" xfId="383"/>
    <cellStyle name="Normal_0834" xfId="384"/>
    <cellStyle name="Normal_0847" xfId="385"/>
    <cellStyle name="Normal_0929" xfId="386"/>
    <cellStyle name="Normal_1160" xfId="387"/>
    <cellStyle name="Normal_1162" xfId="388"/>
    <cellStyle name="Normal_1191" xfId="389"/>
    <cellStyle name="Normal_12~3SO2" xfId="390"/>
    <cellStyle name="Normal_1422V11" xfId="391"/>
    <cellStyle name="Normal_1497" xfId="392"/>
    <cellStyle name="Normal_1498" xfId="393"/>
    <cellStyle name="Normal_1499" xfId="394"/>
    <cellStyle name="Normal_236" xfId="395"/>
    <cellStyle name="Normal_332" xfId="396"/>
    <cellStyle name="Normal_448" xfId="397"/>
    <cellStyle name="Normal_475" xfId="398"/>
    <cellStyle name="Normal_661" xfId="399"/>
    <cellStyle name="Normal_719" xfId="400"/>
    <cellStyle name="Normal_720" xfId="401"/>
    <cellStyle name="Normal_721" xfId="402"/>
    <cellStyle name="Normal_818" xfId="403"/>
    <cellStyle name="Normal_Allocation" xfId="404"/>
    <cellStyle name="Normal_Allocation %'s" xfId="405"/>
    <cellStyle name="Normal_Allocation_1" xfId="406"/>
    <cellStyle name="Normal_Approved_Not_Shipping_1" xfId="407"/>
    <cellStyle name="Normal_April" xfId="408"/>
    <cellStyle name="Normal_Apwo" xfId="409"/>
    <cellStyle name="Normal_Assortment &amp; Depth" xfId="410"/>
    <cellStyle name="Normal_Assortment-DMR" xfId="411"/>
    <cellStyle name="Normal_Assortment-Retail" xfId="412"/>
    <cellStyle name="Normal_Assumptions" xfId="413"/>
    <cellStyle name="Normal_Attach Rates" xfId="414"/>
    <cellStyle name="Normal_B-ACEH.XLS" xfId="415"/>
    <cellStyle name="Normal_Bid" xfId="416"/>
    <cellStyle name="Normal_Book2" xfId="417"/>
    <cellStyle name="Normal_Budget Variance" xfId="418"/>
    <cellStyle name="Normal_Burchfield" xfId="419"/>
    <cellStyle name="Normal_Bus. Impact" xfId="420"/>
    <cellStyle name="Normal_C-Cap intensity" xfId="421"/>
    <cellStyle name="Normal_C-Capex%rev" xfId="422"/>
    <cellStyle name="Normal_C-Line per Staff" xfId="423"/>
    <cellStyle name="Normal_C-lines distribution" xfId="424"/>
    <cellStyle name="Normal_C-Orig PLDT lines" xfId="425"/>
    <cellStyle name="Normal_C-Ret on Rev" xfId="426"/>
    <cellStyle name="Normal_C-ROACE" xfId="427"/>
    <cellStyle name="Normal_Calculations" xfId="428"/>
    <cellStyle name="Normal_Calculations (2)" xfId="429"/>
    <cellStyle name="Normal_Calculations II" xfId="430"/>
    <cellStyle name="Normal_Calculations II_1" xfId="431"/>
    <cellStyle name="Normal_Calculations III" xfId="432"/>
    <cellStyle name="Normal_Calculations_1" xfId="433"/>
    <cellStyle name="Normal_Calculations_2" xfId="434"/>
    <cellStyle name="Normal_Canada" xfId="435"/>
    <cellStyle name="Normal_Capex" xfId="436"/>
    <cellStyle name="Normal_Capex per line" xfId="437"/>
    <cellStyle name="Normal_Capex%rev" xfId="438"/>
    <cellStyle name="Normal_Capital" xfId="439"/>
    <cellStyle name="Normal_Capital (2)" xfId="440"/>
    <cellStyle name="Normal_CCOCPX" xfId="441"/>
    <cellStyle name="Normal_Certs Q2" xfId="442"/>
    <cellStyle name="Normal_Certs Q2 (2)" xfId="443"/>
    <cellStyle name="Normal_Channel - Actual" xfId="444"/>
    <cellStyle name="Normal_Channel Table" xfId="445"/>
    <cellStyle name="Normal_Channel Table_1" xfId="446"/>
    <cellStyle name="Normal_Channel Table_1_Macro2" xfId="447"/>
    <cellStyle name="Normal_Channel Table_1_Module1" xfId="448"/>
    <cellStyle name="Normal_Channel Table_2" xfId="449"/>
    <cellStyle name="Normal_Channel Table_Channel Table" xfId="450"/>
    <cellStyle name="Normal_Channel Table_Macro2" xfId="451"/>
    <cellStyle name="Normal_Channel Table_Module1" xfId="452"/>
    <cellStyle name="Normal_ChartData" xfId="453"/>
    <cellStyle name="Normal_Cht-Capex per line" xfId="454"/>
    <cellStyle name="Normal_Cht-Cum Real Opr Cf" xfId="455"/>
    <cellStyle name="Normal_Cht-Dep%Rev" xfId="456"/>
    <cellStyle name="Normal_Cht-Real Opr Cf" xfId="457"/>
    <cellStyle name="Normal_Cht-Rev dist" xfId="458"/>
    <cellStyle name="Normal_Cht-Rev p line" xfId="459"/>
    <cellStyle name="Normal_Cht-Rev per Staff" xfId="460"/>
    <cellStyle name="Normal_Cht-Staff cost%revenue" xfId="461"/>
    <cellStyle name="Normal_Co-wide Monthly" xfId="462"/>
    <cellStyle name="Normal_Code" xfId="463"/>
    <cellStyle name="Normal_Consulting" xfId="464"/>
    <cellStyle name="Normal_Cost Control" xfId="465"/>
    <cellStyle name="Normal_Cost Summ" xfId="466"/>
    <cellStyle name="Normal_Cover" xfId="467"/>
    <cellStyle name="Normal_CRASH PROGRAM 96 (2)" xfId="468"/>
    <cellStyle name="Normal_CROCF" xfId="469"/>
    <cellStyle name="Normal_Cum Real Opr Cf" xfId="470"/>
    <cellStyle name="Normal_Cust Type" xfId="471"/>
    <cellStyle name="Normal_D&amp;H &amp; GT 051796" xfId="472"/>
    <cellStyle name="Normal_Data for Geog" xfId="473"/>
    <cellStyle name="Normal_Demand Fcst." xfId="474"/>
    <cellStyle name="Normal_Dep%Rev" xfId="475"/>
    <cellStyle name="Normal_Dialog1" xfId="476"/>
    <cellStyle name="Normal_Dialog1_1" xfId="477"/>
    <cellStyle name="Normal_Dialog1_2" xfId="478"/>
    <cellStyle name="Normal_Dialog1_Dialog1" xfId="479"/>
    <cellStyle name="Normal_Dialog1_Module1" xfId="480"/>
    <cellStyle name="Normal_DIV" xfId="481"/>
    <cellStyle name="Normal_div &amp; cat detl rpt" xfId="482"/>
    <cellStyle name="Normal_DMR by Div" xfId="483"/>
    <cellStyle name="Normal_E&amp;ONW1" xfId="484"/>
    <cellStyle name="Normal_E&amp;ONW2" xfId="485"/>
    <cellStyle name="Normal_E&amp;OOCPX" xfId="486"/>
    <cellStyle name="Normal_ENRGYOP1" xfId="487"/>
    <cellStyle name="Normal_EPS" xfId="488"/>
    <cellStyle name="Normal_EUCU" xfId="489"/>
    <cellStyle name="Normal_EUCU Cust Seg Analysis (B)" xfId="490"/>
    <cellStyle name="Normal_EUMYR_FY97.xls Chart 1" xfId="491"/>
    <cellStyle name="Normal_EUMYR_FY97.xls Chart 2" xfId="492"/>
    <cellStyle name="Normal_EUYER" xfId="493"/>
    <cellStyle name="Normal_F&amp;COCPX" xfId="494"/>
    <cellStyle name="Normal_FinalReport" xfId="495"/>
    <cellStyle name="Normal_FinalReport (2)" xfId="496"/>
    <cellStyle name="Normal_FinalReport (3)" xfId="497"/>
    <cellStyle name="Normal_Focus goals" xfId="498"/>
    <cellStyle name="Normal_Forecast" xfId="499"/>
    <cellStyle name="Normal_formats" xfId="500"/>
    <cellStyle name="Normal_Full Year FY96" xfId="501"/>
    <cellStyle name="Normal_FY97 RevSum - Channel Pres View" xfId="502"/>
    <cellStyle name="Normal_Geography View" xfId="503"/>
    <cellStyle name="Normal_Guidelines" xfId="504"/>
    <cellStyle name="Normal_HC 1" xfId="505"/>
    <cellStyle name="Normal_HC 2" xfId="506"/>
    <cellStyle name="Normal_HEADCONT" xfId="507"/>
    <cellStyle name="Normal_Headcount" xfId="508"/>
    <cellStyle name="Normal_HOGANGAS" xfId="509"/>
    <cellStyle name="Normal_HOGANGAS_Icoct" xfId="510"/>
    <cellStyle name="Normal_HOGANOIL" xfId="511"/>
    <cellStyle name="Normal_HOGANOIL_Icoct" xfId="512"/>
    <cellStyle name="Normal_Holiday Bundles" xfId="513"/>
    <cellStyle name="Normal_Holiday Bundles (2)" xfId="514"/>
    <cellStyle name="Normal_IM Rebate Q2 SKUs" xfId="515"/>
    <cellStyle name="Normal_IM Rebate Q2 SKUs (2)" xfId="516"/>
    <cellStyle name="Normal_IM Rules and Procedures" xfId="517"/>
    <cellStyle name="Normal_Inputs" xfId="518"/>
    <cellStyle name="Normal_Introduction" xfId="519"/>
    <cellStyle name="Normal_Introduction_1" xfId="520"/>
    <cellStyle name="Normal_Inventory" xfId="521"/>
    <cellStyle name="Normal_IRR" xfId="522"/>
    <cellStyle name="Normal_ITOCPX" xfId="523"/>
    <cellStyle name="Normal_Janactuals" xfId="524"/>
    <cellStyle name="Normal_JE0898" xfId="525"/>
    <cellStyle name="Normal_JETEMP" xfId="526"/>
    <cellStyle name="Normal_JETEMP_1" xfId="527"/>
    <cellStyle name="Normal_JETEMP_VOUCHER" xfId="528"/>
    <cellStyle name="Normal_KABANJA.XLS" xfId="529"/>
    <cellStyle name="Normal_KNLSAT" xfId="530"/>
    <cellStyle name="Normal_KNLSAT_Icoct" xfId="531"/>
    <cellStyle name="Normal_Labwo" xfId="532"/>
    <cellStyle name="Normal_LANGSA.XLS" xfId="533"/>
    <cellStyle name="Normal_laroux" xfId="534"/>
    <cellStyle name="Normal_laroux_1" xfId="535"/>
    <cellStyle name="Normal_laroux_12~3SO2" xfId="536"/>
    <cellStyle name="Normal_laroux_1_12~3SO2" xfId="537"/>
    <cellStyle name="Normal_laroux_1_NEGS" xfId="538"/>
    <cellStyle name="Normal_laroux_1_NEGS_1" xfId="539"/>
    <cellStyle name="Normal_laroux_1_pldt" xfId="540"/>
    <cellStyle name="Normal_laroux_2" xfId="541"/>
    <cellStyle name="Normal_laroux_2_NEGS" xfId="542"/>
    <cellStyle name="Normal_laroux_2_NEGS_1" xfId="543"/>
    <cellStyle name="Normal_laroux_2_pldt" xfId="544"/>
    <cellStyle name="Normal_laroux_3" xfId="545"/>
    <cellStyle name="Normal_laroux_3_NEGS" xfId="546"/>
    <cellStyle name="Normal_laroux_3_NEGS_1" xfId="547"/>
    <cellStyle name="Normal_laroux_3_pldt" xfId="548"/>
    <cellStyle name="Normal_laroux_4" xfId="549"/>
    <cellStyle name="Normal_laroux_4_NEGS" xfId="550"/>
    <cellStyle name="Normal_laroux_4_pldt" xfId="551"/>
    <cellStyle name="Normal_laroux_5" xfId="552"/>
    <cellStyle name="Normal_laroux_5_NEGS" xfId="553"/>
    <cellStyle name="Normal_laroux_5_pldt" xfId="554"/>
    <cellStyle name="Normal_laroux_6" xfId="555"/>
    <cellStyle name="Normal_laroux_6_NEGS" xfId="556"/>
    <cellStyle name="Normal_laroux_6_pldt" xfId="557"/>
    <cellStyle name="Normal_laroux_7" xfId="558"/>
    <cellStyle name="Normal_laroux_8" xfId="559"/>
    <cellStyle name="Normal_laroux_NEGS" xfId="560"/>
    <cellStyle name="Normal_laroux_NEGS_1" xfId="561"/>
    <cellStyle name="Normal_laroux_pldt" xfId="562"/>
    <cellStyle name="Normal_LHOKSEU.XLS" xfId="563"/>
    <cellStyle name="Normal_Line Inst." xfId="564"/>
    <cellStyle name="Normal_Linked &gt;&gt;Slide #8 - YTD Results" xfId="565"/>
    <cellStyle name="Normal_Location Total " xfId="566"/>
    <cellStyle name="Normal_Locations" xfId="567"/>
    <cellStyle name="Normal_MACRO1.XLM" xfId="568"/>
    <cellStyle name="Normal_Macro2" xfId="569"/>
    <cellStyle name="Normal_Maintenance" xfId="570"/>
    <cellStyle name="Normal_MarketingActBud" xfId="571"/>
    <cellStyle name="Normal_MarketingDetail" xfId="572"/>
    <cellStyle name="Normal_MATERAL2" xfId="573"/>
    <cellStyle name="Normal_MATERAL2_NEGS" xfId="574"/>
    <cellStyle name="Normal_MCOE Summary" xfId="575"/>
    <cellStyle name="Normal_MCOE Summary (2)" xfId="576"/>
    <cellStyle name="Normal_MCOE Summary (3)" xfId="577"/>
    <cellStyle name="Normal_MCOE Summary (4)" xfId="578"/>
    <cellStyle name="Normal_MCOE Summary (5)" xfId="579"/>
    <cellStyle name="Normal_MCOE Summary (6)" xfId="580"/>
    <cellStyle name="Normal_MCOE Summary (7)" xfId="581"/>
    <cellStyle name="Normal_MCOE Summary (8)" xfId="582"/>
    <cellStyle name="Normal_MCOE Summary (9)" xfId="583"/>
    <cellStyle name="Normal_MDF" xfId="584"/>
    <cellStyle name="Normal_MDF (2)" xfId="585"/>
    <cellStyle name="Normal_MDF (2)_1" xfId="586"/>
    <cellStyle name="Normal_MDF (2)_Reslr Mktng" xfId="587"/>
    <cellStyle name="Normal_MDF_1" xfId="588"/>
    <cellStyle name="Normal_MDF_MDF (2)" xfId="589"/>
    <cellStyle name="Normal_MDF_MDF (2)_Reslr Mktng" xfId="590"/>
    <cellStyle name="Normal_MDF_Reslr Mktng" xfId="591"/>
    <cellStyle name="Normal_MEDAN.XLS" xfId="592"/>
    <cellStyle name="Normal_Menu" xfId="593"/>
    <cellStyle name="Normal_MEULABOH.XLS" xfId="594"/>
    <cellStyle name="Normal_MKGOCPX" xfId="595"/>
    <cellStyle name="Normal_Mkt Shr" xfId="596"/>
    <cellStyle name="Normal_MOBCPX" xfId="597"/>
    <cellStyle name="Normal_Module1" xfId="598"/>
    <cellStyle name="Normal_Module1_1" xfId="599"/>
    <cellStyle name="Normal_Module1_Book6" xfId="600"/>
    <cellStyle name="Normal_Module1_Dialog1" xfId="601"/>
    <cellStyle name="Normal_Module1_PERSONAL" xfId="602"/>
    <cellStyle name="Normal_Module5" xfId="603"/>
    <cellStyle name="Normal_mssReport" xfId="604"/>
    <cellStyle name="Normal_MTDP&amp;L" xfId="605"/>
    <cellStyle name="Normal_MTDRevSum" xfId="606"/>
    <cellStyle name="Normal_mud plant bolted" xfId="607"/>
    <cellStyle name="Normal_NCR-C&amp;W Val" xfId="608"/>
    <cellStyle name="Normal_NCR-Cap intensity" xfId="609"/>
    <cellStyle name="Normal_NCR-Line per Staff" xfId="610"/>
    <cellStyle name="Normal_NCR-Rev dist" xfId="611"/>
    <cellStyle name="Normal_NEGS" xfId="612"/>
    <cellStyle name="Normal_NEGS_1" xfId="613"/>
    <cellStyle name="Normal_NEGS_2" xfId="614"/>
    <cellStyle name="Normal_NEGS_3" xfId="615"/>
    <cellStyle name="Normal_Op Cost Break" xfId="616"/>
    <cellStyle name="Normal_OperResults" xfId="617"/>
    <cellStyle name="Normal_OrgChart" xfId="618"/>
    <cellStyle name="Normal_OrgChart_1" xfId="619"/>
    <cellStyle name="Normal_Orig Flat File fr Dan" xfId="620"/>
    <cellStyle name="Normal_OSMOCPX" xfId="621"/>
    <cellStyle name="Normal_Outlet96 View (B)" xfId="622"/>
    <cellStyle name="Normal_Overview" xfId="623"/>
    <cellStyle name="Normal_P&amp;L" xfId="624"/>
    <cellStyle name="Normal_P-SIANTA.XLS" xfId="625"/>
    <cellStyle name="Normal_Pasted Pictures" xfId="626"/>
    <cellStyle name="Normal_PCMAP1" xfId="627"/>
    <cellStyle name="Normal_PCMAP1 (B)" xfId="628"/>
    <cellStyle name="Normal_PCMAP2 (B)" xfId="629"/>
    <cellStyle name="Normal_PD_Oppty_Map" xfId="630"/>
    <cellStyle name="Normal_PERSONAL" xfId="631"/>
    <cellStyle name="Normal_PERSONAL_1" xfId="632"/>
    <cellStyle name="Normal_PERSONAL_2" xfId="633"/>
    <cellStyle name="Normal_PGMKOCPX" xfId="634"/>
    <cellStyle name="Normal_PGNW1" xfId="635"/>
    <cellStyle name="Normal_PGNW2" xfId="636"/>
    <cellStyle name="Normal_PGNWOCPX" xfId="637"/>
    <cellStyle name="Normal_Pivot" xfId="638"/>
    <cellStyle name="Normal_Pivot (2)" xfId="639"/>
    <cellStyle name="Normal_Pivot - Drill Down" xfId="640"/>
    <cellStyle name="Normal_PivotReport" xfId="641"/>
    <cellStyle name="Normal_PLAN95" xfId="642"/>
    <cellStyle name="Normal_PLDT" xfId="643"/>
    <cellStyle name="Normal_PLDT_1" xfId="644"/>
    <cellStyle name="Normal_pldt_1_Calculations" xfId="645"/>
    <cellStyle name="Normal_PLDT_1_NEGS" xfId="646"/>
    <cellStyle name="Normal_pldt_1_pldt" xfId="647"/>
    <cellStyle name="Normal_pldt_1_pldt_1" xfId="648"/>
    <cellStyle name="Normal_pldt_2" xfId="649"/>
    <cellStyle name="Normal_pldt_2_Calculations" xfId="650"/>
    <cellStyle name="Normal_pldt_2_Calculations_Icoct" xfId="651"/>
    <cellStyle name="Normal_pldt_2_NEGS" xfId="652"/>
    <cellStyle name="Normal_pldt_2_pldt" xfId="653"/>
    <cellStyle name="Normal_pldt_2_pldt_1" xfId="654"/>
    <cellStyle name="Normal_pldt_2_pldt_Icoct" xfId="655"/>
    <cellStyle name="Normal_pldt_3" xfId="656"/>
    <cellStyle name="Normal_pldt_3_NEGS" xfId="657"/>
    <cellStyle name="Normal_pldt_3_pldt" xfId="658"/>
    <cellStyle name="Normal_pldt_3_pldt_1" xfId="659"/>
    <cellStyle name="Normal_pldt_3_pldt_1_Icoct" xfId="660"/>
    <cellStyle name="Normal_pldt_4" xfId="661"/>
    <cellStyle name="Normal_pldt_4_NEGS" xfId="662"/>
    <cellStyle name="Normal_pldt_4_NEGS_Icoct" xfId="663"/>
    <cellStyle name="Normal_pldt_4_pldt" xfId="664"/>
    <cellStyle name="Normal_pldt_4_pldt_1" xfId="665"/>
    <cellStyle name="Normal_pldt_4_pldt_Icoct" xfId="666"/>
    <cellStyle name="Normal_pldt_5" xfId="667"/>
    <cellStyle name="Normal_pldt_5_NEGS" xfId="668"/>
    <cellStyle name="Normal_pldt_5_pldt" xfId="669"/>
    <cellStyle name="Normal_pldt_5_pldt_Icoct" xfId="670"/>
    <cellStyle name="Normal_pldt_6" xfId="671"/>
    <cellStyle name="Normal_pldt_6_NEGS" xfId="672"/>
    <cellStyle name="Normal_pldt_6_NEGS_Icoct" xfId="673"/>
    <cellStyle name="Normal_pldt_7" xfId="674"/>
    <cellStyle name="Normal_pldt_8" xfId="675"/>
    <cellStyle name="Normal_pldt_8_Icoct" xfId="676"/>
    <cellStyle name="Normal_pldt_Calculations" xfId="677"/>
    <cellStyle name="Normal_pldt_NEGS" xfId="678"/>
    <cellStyle name="Normal_pldt_pldt" xfId="679"/>
    <cellStyle name="Normal_pldt_pldt_1" xfId="680"/>
    <cellStyle name="Normal_PR99Alloc" xfId="681"/>
    <cellStyle name="Normal_Pricing1" xfId="682"/>
    <cellStyle name="Normal_Pricing2" xfId="683"/>
    <cellStyle name="Normal_PricVol" xfId="684"/>
    <cellStyle name="Normal_PriorYear" xfId="685"/>
    <cellStyle name="Normal_Prod Div" xfId="686"/>
    <cellStyle name="Normal_PROD SALES" xfId="687"/>
    <cellStyle name="Normal_PROD SALES by Region Pg 2" xfId="688"/>
    <cellStyle name="Normal_Product" xfId="689"/>
    <cellStyle name="Normal_PRODUCT_Icoct" xfId="690"/>
    <cellStyle name="Normal_PRS" xfId="691"/>
    <cellStyle name="Normal_Purch-AR" xfId="692"/>
    <cellStyle name="Normal_Q1 FY96" xfId="693"/>
    <cellStyle name="Normal_Q2 FY96" xfId="694"/>
    <cellStyle name="Normal_Q3 FY96" xfId="695"/>
    <cellStyle name="Normal_Q4 FY96" xfId="696"/>
    <cellStyle name="Normal_QTR94_95" xfId="697"/>
    <cellStyle name="Normal_R-PRAPAT.XLS" xfId="698"/>
    <cellStyle name="Normal_r1" xfId="699"/>
    <cellStyle name="Normal_Real Opr Cf" xfId="700"/>
    <cellStyle name="Normal_Real Rev per Staff (1)" xfId="701"/>
    <cellStyle name="Normal_Real Rev per Staff (2)" xfId="702"/>
    <cellStyle name="Normal_Region 2-C&amp;W" xfId="703"/>
    <cellStyle name="Normal_Reporting Status" xfId="704"/>
    <cellStyle name="Normal_Reporting Status_1" xfId="705"/>
    <cellStyle name="Normal_Reporting Status_EUCU Cust Seg Analysis (B)" xfId="706"/>
    <cellStyle name="Normal_Reporting Status_Outlet96 View (B)" xfId="707"/>
    <cellStyle name="Normal_Reporting Status_PCMAP1 (B)" xfId="708"/>
    <cellStyle name="Normal_Reporting Status_PCMAP2 (B)" xfId="709"/>
    <cellStyle name="Normal_Reporting Status_Subsegment Charts (B)" xfId="710"/>
    <cellStyle name="Normal_Req Summ" xfId="711"/>
    <cellStyle name="Normal_Reseller Mktng" xfId="712"/>
    <cellStyle name="Normal_Reslr Mktng" xfId="713"/>
    <cellStyle name="Normal_Reslr Mktng_1" xfId="714"/>
    <cellStyle name="Normal_Retail By Div" xfId="715"/>
    <cellStyle name="Normal_Return on Rev" xfId="716"/>
    <cellStyle name="Normal_Rev p line" xfId="717"/>
    <cellStyle name="Normal_Revenue" xfId="718"/>
    <cellStyle name="Normal_Revenues" xfId="719"/>
    <cellStyle name="Normal_RevSum" xfId="720"/>
    <cellStyle name="Normal_RevSum (2)" xfId="721"/>
    <cellStyle name="Normal_ROACE" xfId="722"/>
    <cellStyle name="Normal_ROCF (Tot)" xfId="723"/>
    <cellStyle name="Normal_Rsllr Monthly Market Share" xfId="724"/>
    <cellStyle name="Normal_RslrSales.xls Chart 3" xfId="725"/>
    <cellStyle name="Normal_RslrSales.xls Chart 4" xfId="726"/>
    <cellStyle name="Normal_RslrSales.xls Chart 5" xfId="727"/>
    <cellStyle name="Normal_RTL DMR Rank" xfId="728"/>
    <cellStyle name="Normal_S&amp;MCosts" xfId="729"/>
    <cellStyle name="Normal_S60084" xfId="730"/>
    <cellStyle name="Normal_s62002" xfId="731"/>
    <cellStyle name="Normal_S70008" xfId="732"/>
    <cellStyle name="Normal_SATOCPX" xfId="733"/>
    <cellStyle name="Normal_Segment and Account" xfId="734"/>
    <cellStyle name="Normal_Segment Change" xfId="735"/>
    <cellStyle name="Normal_Sheet1" xfId="736"/>
    <cellStyle name="Normal_Sheet1_1" xfId="737"/>
    <cellStyle name="Normal_Sheet1_2" xfId="738"/>
    <cellStyle name="Normal_Sheet1_Book6" xfId="739"/>
    <cellStyle name="Normal_Sheet1_Capital (2)" xfId="740"/>
    <cellStyle name="Normal_Sheet1_Dialog1" xfId="741"/>
    <cellStyle name="Normal_Sheet1_laroux" xfId="742"/>
    <cellStyle name="Normal_Sheet1_NEGS" xfId="743"/>
    <cellStyle name="Normal_Sheet1_PERSONAL" xfId="744"/>
    <cellStyle name="Normal_Sheet2" xfId="745"/>
    <cellStyle name="Normal_Sheet2_1" xfId="746"/>
    <cellStyle name="Normal_Sheet4" xfId="747"/>
    <cellStyle name="Normal_Shipping" xfId="748"/>
    <cellStyle name="Normal_SIBOLGA.XLS" xfId="749"/>
    <cellStyle name="Normal_Staff cost%rev" xfId="750"/>
    <cellStyle name="Normal_Subsegment Charts (B)" xfId="751"/>
    <cellStyle name="Normal_Summary" xfId="752"/>
    <cellStyle name="Normal_Summary By Div &amp; Cat" xfId="753"/>
    <cellStyle name="Normal_Summary Page" xfId="754"/>
    <cellStyle name="Normal_TMSNW1" xfId="755"/>
    <cellStyle name="Normal_TMSNW2" xfId="756"/>
    <cellStyle name="Normal_TMSOCPX" xfId="757"/>
    <cellStyle name="Normal_Total-Rev dist." xfId="758"/>
    <cellStyle name="Normal_TOTALS" xfId="759"/>
    <cellStyle name="Normal_Trend P&amp;L - Actual" xfId="760"/>
    <cellStyle name="Normal_TrendP&amp;L" xfId="761"/>
    <cellStyle name="Normal_TrendRev" xfId="762"/>
    <cellStyle name="Normal_VOUCHER" xfId="763"/>
    <cellStyle name="Normal_Walmart" xfId="764"/>
    <cellStyle name="Normal_YTDP&amp;L" xfId="765"/>
    <cellStyle name="Normal_YTDRevSum" xfId="766"/>
    <cellStyle name="Percent [2]" xfId="767"/>
    <cellStyle name="Percent_12~3SO2" xfId="768"/>
    <cellStyle name="Percent_laroux" xfId="769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externalLink" Target="externalLinks/externalLink1.xml"/><Relationship Id="rId15" Type="http://schemas.openxmlformats.org/officeDocument/2006/relationships/externalLink" Target="externalLinks/externalLink2.xml"/><Relationship Id="rId16" Type="http://schemas.openxmlformats.org/officeDocument/2006/relationships/externalLink" Target="externalLinks/externalLink3.xml"/><Relationship Id="rId17" Type="http://schemas.openxmlformats.org/officeDocument/2006/relationships/externalLink" Target="externalLinks/externalLink4.xml"/><Relationship Id="rId18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60480</xdr:colOff>
      <xdr:row>0</xdr:row>
      <xdr:rowOff>77760</xdr:rowOff>
    </xdr:from>
    <xdr:to>
      <xdr:col>0</xdr:col>
      <xdr:colOff>987120</xdr:colOff>
      <xdr:row>0</xdr:row>
      <xdr:rowOff>828720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60480" y="77760"/>
          <a:ext cx="926640" cy="750960"/>
        </a:xfrm>
        <a:prstGeom prst="rect">
          <a:avLst/>
        </a:prstGeom>
        <a:noFill/>
        <a:ln w="0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29880</xdr:colOff>
          <xdr:row>0</xdr:row>
          <xdr:rowOff>77760</xdr:rowOff>
        </xdr:from>
        <xdr:to>
          <xdr:col>13</xdr:col>
          <xdr:colOff>50400</xdr:colOff>
          <xdr:row>4</xdr:row>
          <xdr:rowOff>447480</xdr:rowOff>
        </xdr:to>
        <xdr:sp>
          <xdr:nvSpPr>
            <xdr:cNvPr id="1001" name="Button 4" descr="PRIN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60480</xdr:colOff>
      <xdr:row>0</xdr:row>
      <xdr:rowOff>77760</xdr:rowOff>
    </xdr:from>
    <xdr:to>
      <xdr:col>0</xdr:col>
      <xdr:colOff>987120</xdr:colOff>
      <xdr:row>0</xdr:row>
      <xdr:rowOff>828720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60480" y="77760"/>
          <a:ext cx="926640" cy="7509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60480</xdr:colOff>
      <xdr:row>0</xdr:row>
      <xdr:rowOff>77760</xdr:rowOff>
    </xdr:from>
    <xdr:to>
      <xdr:col>0</xdr:col>
      <xdr:colOff>987120</xdr:colOff>
      <xdr:row>0</xdr:row>
      <xdr:rowOff>828720</xdr:rowOff>
    </xdr:to>
    <xdr:pic>
      <xdr:nvPicPr>
        <xdr:cNvPr id="2" name="Picture 1" descr=""/>
        <xdr:cNvPicPr/>
      </xdr:nvPicPr>
      <xdr:blipFill>
        <a:blip r:embed="rId1"/>
        <a:stretch/>
      </xdr:blipFill>
      <xdr:spPr>
        <a:xfrm>
          <a:off x="60480" y="77760"/>
          <a:ext cx="926640" cy="7509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60480</xdr:colOff>
      <xdr:row>0</xdr:row>
      <xdr:rowOff>77760</xdr:rowOff>
    </xdr:from>
    <xdr:to>
      <xdr:col>0</xdr:col>
      <xdr:colOff>987120</xdr:colOff>
      <xdr:row>0</xdr:row>
      <xdr:rowOff>828720</xdr:rowOff>
    </xdr:to>
    <xdr:pic>
      <xdr:nvPicPr>
        <xdr:cNvPr id="3" name="Picture 1" descr=""/>
        <xdr:cNvPicPr/>
      </xdr:nvPicPr>
      <xdr:blipFill>
        <a:blip r:embed="rId1"/>
        <a:stretch/>
      </xdr:blipFill>
      <xdr:spPr>
        <a:xfrm>
          <a:off x="60480" y="77760"/>
          <a:ext cx="926640" cy="7509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1998/TEAMRPTG/ALLOC/INTERCO/Invoices/Sept98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1998/TEAMRPTG/ALLOC/INTERCO/Icoct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2000/O&amp;MReporting/Allocation/Y2k06/2K06allocation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2001/2001%20Plan/O&amp;M%20Reporting/Budget/Research/Research%202001%20budget%20as%20of%20092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  <sheetName val="YTDEurope"/>
      <sheetName val="ICSept"/>
      <sheetName val="Step1"/>
      <sheetName val="Step2"/>
      <sheetName val="Analysts and Associates"/>
      <sheetName val="A and A for Other Divisions"/>
      <sheetName val="Energy Operations"/>
      <sheetName val="Legal"/>
      <sheetName val="Structuring"/>
      <sheetName val="Tax Sup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**_l"/>
      <sheetName val="Entry"/>
      <sheetName val="ICOct"/>
      <sheetName val="Correction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Allocation RC"/>
      <sheetName val="Department Summary"/>
      <sheetName val="RAC Corr"/>
      <sheetName val="Correction"/>
      <sheetName val="Energy Ops Tmrpt"/>
      <sheetName val="EO Actual"/>
      <sheetName val="BA&amp;R"/>
      <sheetName val="BA&amp;R Trans Sup"/>
      <sheetName val="Build Out"/>
      <sheetName val="Corp Ben"/>
      <sheetName val="ECM"/>
      <sheetName val="EO"/>
      <sheetName val="EnronOnline"/>
      <sheetName val="IT"/>
      <sheetName val="HR"/>
      <sheetName val="Legal"/>
      <sheetName val="London"/>
      <sheetName val="Longterm Comp"/>
      <sheetName val="OCC"/>
      <sheetName val="PGE"/>
      <sheetName val="PR"/>
      <sheetName val="RAC"/>
      <sheetName val="Tax"/>
      <sheetName val="Canada Trading"/>
      <sheetName val="Canada Fin"/>
      <sheetName val="Headct"/>
      <sheetName val="Sheet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3">
          <cell r="C23" t="str">
            <v>Assets Enron Storage Development</v>
          </cell>
          <cell r="D23">
            <v>4</v>
          </cell>
          <cell r="E23">
            <v>0.00212089077412513</v>
          </cell>
          <cell r="F23">
            <v>0</v>
          </cell>
          <cell r="G23">
            <v>0</v>
          </cell>
        </row>
        <row r="24">
          <cell r="C24" t="str">
            <v>Assets Enron Offshore Services</v>
          </cell>
          <cell r="D24">
            <v>5</v>
          </cell>
          <cell r="E24">
            <v>0.00265111346765642</v>
          </cell>
          <cell r="F24">
            <v>2</v>
          </cell>
          <cell r="G24">
            <v>0.00107706392374387</v>
          </cell>
        </row>
        <row r="25">
          <cell r="C25" t="str">
            <v>Assets Enron Power Transmission</v>
          </cell>
          <cell r="D25">
            <v>5</v>
          </cell>
          <cell r="E25">
            <v>0.00265111346765642</v>
          </cell>
          <cell r="F25">
            <v>9</v>
          </cell>
          <cell r="G25">
            <v>0.00484678765684743</v>
          </cell>
        </row>
        <row r="26">
          <cell r="C26" t="str">
            <v>Assets Executive</v>
          </cell>
          <cell r="D26">
            <v>3</v>
          </cell>
          <cell r="E26">
            <v>0.00159066808059385</v>
          </cell>
          <cell r="F26">
            <v>26</v>
          </cell>
          <cell r="G26">
            <v>0.0140018310086704</v>
          </cell>
        </row>
        <row r="27">
          <cell r="C27" t="str">
            <v>Assets Gas Network Engineering</v>
          </cell>
          <cell r="D27">
            <v>38</v>
          </cell>
          <cell r="E27">
            <v>0.0201484623541888</v>
          </cell>
          <cell r="F27">
            <v>22</v>
          </cell>
          <cell r="G27">
            <v>0.0118477031611826</v>
          </cell>
        </row>
        <row r="28">
          <cell r="C28" t="str">
            <v>Assets Gas Network Operations</v>
          </cell>
          <cell r="D28">
            <v>13</v>
          </cell>
          <cell r="E28">
            <v>0.00689289501590668</v>
          </cell>
          <cell r="F28">
            <v>9</v>
          </cell>
          <cell r="G28">
            <v>0.00484678765684743</v>
          </cell>
        </row>
        <row r="29">
          <cell r="C29" t="str">
            <v>Assets Gas Network Services</v>
          </cell>
          <cell r="D29">
            <v>42</v>
          </cell>
          <cell r="E29">
            <v>0.0222693531283139</v>
          </cell>
          <cell r="F29">
            <v>27</v>
          </cell>
          <cell r="G29">
            <v>0.0145403629705423</v>
          </cell>
        </row>
        <row r="30">
          <cell r="C30" t="str">
            <v>Assets Network Development</v>
          </cell>
          <cell r="D30">
            <v>3</v>
          </cell>
          <cell r="E30">
            <v>0.00159066808059385</v>
          </cell>
          <cell r="F30">
            <v>9</v>
          </cell>
          <cell r="G30">
            <v>0.00484678765684743</v>
          </cell>
        </row>
        <row r="31">
          <cell r="C31" t="str">
            <v>Assets Rocky Mountain Gas</v>
          </cell>
          <cell r="D31">
            <v>19</v>
          </cell>
          <cell r="E31">
            <v>0.0100742311770944</v>
          </cell>
          <cell r="F31">
            <v>21</v>
          </cell>
          <cell r="G31">
            <v>0.0113091711993107</v>
          </cell>
        </row>
        <row r="32">
          <cell r="C32" t="str">
            <v>Assets Trading</v>
          </cell>
          <cell r="D32">
            <v>19</v>
          </cell>
          <cell r="E32">
            <v>0.0100742311770944</v>
          </cell>
          <cell r="F32">
            <v>24</v>
          </cell>
          <cell r="G32">
            <v>0.0129247670849265</v>
          </cell>
        </row>
        <row r="33">
          <cell r="C33" t="str">
            <v>Assets Transportation</v>
          </cell>
          <cell r="D33">
            <v>16</v>
          </cell>
          <cell r="E33">
            <v>0.00848356309650053</v>
          </cell>
          <cell r="F33">
            <v>10</v>
          </cell>
          <cell r="G33">
            <v>0.00538531961871937</v>
          </cell>
        </row>
        <row r="34">
          <cell r="C34" t="str">
            <v>Canada Finance</v>
          </cell>
          <cell r="D34">
            <v>20.5</v>
          </cell>
          <cell r="E34">
            <v>0.0108695652173913</v>
          </cell>
        </row>
        <row r="35">
          <cell r="C35" t="str">
            <v>Canada Trading</v>
          </cell>
          <cell r="D35">
            <v>20.5</v>
          </cell>
          <cell r="E35">
            <v>0.0108695652173913</v>
          </cell>
          <cell r="F35">
            <v>44.5</v>
          </cell>
          <cell r="G35">
            <v>0.0239646723033012</v>
          </cell>
        </row>
        <row r="36">
          <cell r="C36" t="str">
            <v>Clean Energy Solutions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C37" t="str">
            <v>Coal</v>
          </cell>
          <cell r="D37">
            <v>22</v>
          </cell>
          <cell r="E37">
            <v>0.0116648992576882</v>
          </cell>
          <cell r="F37">
            <v>45</v>
          </cell>
          <cell r="G37">
            <v>0.0242339382842372</v>
          </cell>
        </row>
        <row r="38">
          <cell r="C38" t="str">
            <v>Credit Spread Trading</v>
          </cell>
          <cell r="D38">
            <v>6</v>
          </cell>
          <cell r="E38">
            <v>0.0031813361611877</v>
          </cell>
          <cell r="F38">
            <v>9</v>
          </cell>
          <cell r="G38">
            <v>0.00484678765684743</v>
          </cell>
        </row>
        <row r="39">
          <cell r="C39" t="str">
            <v>CTG</v>
          </cell>
          <cell r="D39">
            <v>167</v>
          </cell>
          <cell r="E39">
            <v>0.0885471898197243</v>
          </cell>
          <cell r="F39">
            <v>128</v>
          </cell>
          <cell r="G39">
            <v>0.068932091119608</v>
          </cell>
        </row>
        <row r="40">
          <cell r="C40" t="str">
            <v>Downstream Industrial Originations</v>
          </cell>
          <cell r="D40">
            <v>26</v>
          </cell>
          <cell r="E40">
            <v>0.0137857900318134</v>
          </cell>
          <cell r="F40">
            <v>33</v>
          </cell>
          <cell r="G40">
            <v>0.0177715547417739</v>
          </cell>
        </row>
        <row r="41">
          <cell r="C41" t="str">
            <v>East Midstream Origination</v>
          </cell>
          <cell r="D41">
            <v>41</v>
          </cell>
          <cell r="E41">
            <v>0.0217391304347826</v>
          </cell>
          <cell r="F41">
            <v>61</v>
          </cell>
          <cell r="G41">
            <v>0.0328504496741882</v>
          </cell>
        </row>
        <row r="42">
          <cell r="C42" t="str">
            <v>East Power Trading</v>
          </cell>
          <cell r="D42">
            <v>89</v>
          </cell>
          <cell r="E42">
            <v>0.0471898197242842</v>
          </cell>
          <cell r="F42">
            <v>49</v>
          </cell>
          <cell r="G42">
            <v>0.0263880661317249</v>
          </cell>
        </row>
        <row r="43">
          <cell r="C43" t="str">
            <v>Environmental Energy</v>
          </cell>
          <cell r="D43">
            <v>10</v>
          </cell>
          <cell r="E43">
            <v>0.00530222693531283</v>
          </cell>
          <cell r="F43">
            <v>9</v>
          </cell>
          <cell r="G43">
            <v>0.00484678765684743</v>
          </cell>
        </row>
        <row r="44">
          <cell r="C44" t="str">
            <v>Equity Trading</v>
          </cell>
          <cell r="D44">
            <v>12</v>
          </cell>
          <cell r="E44">
            <v>0.0063626723223754</v>
          </cell>
          <cell r="F44">
            <v>10</v>
          </cell>
          <cell r="G44">
            <v>0.00538531961871937</v>
          </cell>
        </row>
        <row r="45">
          <cell r="C45" t="str">
            <v>Executive Originations</v>
          </cell>
          <cell r="D45">
            <v>0</v>
          </cell>
          <cell r="E45">
            <v>0</v>
          </cell>
          <cell r="F45">
            <v>2</v>
          </cell>
          <cell r="G45">
            <v>0.00107706392374387</v>
          </cell>
        </row>
        <row r="46">
          <cell r="C46" t="str">
            <v>Executive Trading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</row>
        <row r="47">
          <cell r="C47" t="str">
            <v>Financial Origination</v>
          </cell>
          <cell r="D47">
            <v>13</v>
          </cell>
          <cell r="E47">
            <v>0.00689289501590668</v>
          </cell>
          <cell r="F47">
            <v>17</v>
          </cell>
          <cell r="G47">
            <v>0.00915504335182293</v>
          </cell>
        </row>
        <row r="48">
          <cell r="C48" t="str">
            <v>Genco</v>
          </cell>
          <cell r="D48">
            <v>0</v>
          </cell>
          <cell r="E48">
            <v>0</v>
          </cell>
          <cell r="F48">
            <v>12</v>
          </cell>
          <cell r="G48">
            <v>0.00646238354246325</v>
          </cell>
        </row>
        <row r="49">
          <cell r="C49" t="str">
            <v>Group</v>
          </cell>
          <cell r="D49">
            <v>954</v>
          </cell>
          <cell r="E49">
            <v>0.505832449628844</v>
          </cell>
          <cell r="F49">
            <v>886.4</v>
          </cell>
          <cell r="G49">
            <v>0.477354731003285</v>
          </cell>
        </row>
        <row r="50">
          <cell r="C50" t="str">
            <v>Insurance - Porfolio Management</v>
          </cell>
          <cell r="D50">
            <v>0</v>
          </cell>
          <cell r="E50">
            <v>0</v>
          </cell>
          <cell r="F50">
            <v>3</v>
          </cell>
          <cell r="G50">
            <v>0.00161559588561581</v>
          </cell>
        </row>
        <row r="51">
          <cell r="C51" t="str">
            <v>Insurance - Risk Products</v>
          </cell>
          <cell r="D51">
            <v>19</v>
          </cell>
          <cell r="E51">
            <v>0.0100742311770944</v>
          </cell>
          <cell r="F51">
            <v>20</v>
          </cell>
          <cell r="G51">
            <v>0.0107706392374387</v>
          </cell>
        </row>
        <row r="52">
          <cell r="C52" t="str">
            <v>Interest Rate/Foreign Exchange </v>
          </cell>
          <cell r="D52">
            <v>12</v>
          </cell>
          <cell r="E52">
            <v>0.0063626723223754</v>
          </cell>
          <cell r="F52">
            <v>14</v>
          </cell>
          <cell r="G52">
            <v>0.00753944746620712</v>
          </cell>
        </row>
        <row r="53">
          <cell r="C53" t="str">
            <v>Long-term gas trading</v>
          </cell>
          <cell r="D53">
            <v>16</v>
          </cell>
          <cell r="E53">
            <v>0.00848356309650053</v>
          </cell>
          <cell r="F53">
            <v>9</v>
          </cell>
          <cell r="G53">
            <v>0.00484678765684743</v>
          </cell>
        </row>
        <row r="54">
          <cell r="C54" t="str">
            <v>Mexico</v>
          </cell>
          <cell r="D54">
            <v>5</v>
          </cell>
          <cell r="E54">
            <v>0.00265111346765642</v>
          </cell>
          <cell r="F54">
            <v>22</v>
          </cell>
          <cell r="G54">
            <v>0.0118477031611826</v>
          </cell>
        </row>
        <row r="55">
          <cell r="C55" t="str">
            <v>Midstream IPP Origination</v>
          </cell>
          <cell r="D55">
            <v>0</v>
          </cell>
          <cell r="E55">
            <v>0</v>
          </cell>
          <cell r="F55">
            <v>18</v>
          </cell>
          <cell r="G55">
            <v>0.00969357531369487</v>
          </cell>
        </row>
        <row r="56">
          <cell r="C56" t="str">
            <v>New Business Development </v>
          </cell>
          <cell r="D56">
            <v>13</v>
          </cell>
          <cell r="E56">
            <v>0.00689289501590668</v>
          </cell>
          <cell r="F56">
            <v>14</v>
          </cell>
          <cell r="G56">
            <v>0.00753944746620712</v>
          </cell>
        </row>
        <row r="57">
          <cell r="C57" t="str">
            <v>Office of Chairman</v>
          </cell>
          <cell r="D57">
            <v>35</v>
          </cell>
          <cell r="E57">
            <v>0.0185577942735949</v>
          </cell>
          <cell r="F57">
            <v>48</v>
          </cell>
          <cell r="G57">
            <v>0.025849534169853</v>
          </cell>
        </row>
        <row r="58">
          <cell r="C58" t="str">
            <v>Pulp &amp; Paper</v>
          </cell>
          <cell r="D58">
            <v>32</v>
          </cell>
          <cell r="E58">
            <v>0.0169671261930011</v>
          </cell>
          <cell r="F58">
            <v>43</v>
          </cell>
          <cell r="G58">
            <v>0.0231568743604933</v>
          </cell>
        </row>
        <row r="59">
          <cell r="C59" t="str">
            <v>Restructuring</v>
          </cell>
          <cell r="D59">
            <v>0</v>
          </cell>
          <cell r="E59">
            <v>0</v>
          </cell>
          <cell r="F59">
            <v>11</v>
          </cell>
          <cell r="G59">
            <v>0.00592385158059131</v>
          </cell>
        </row>
        <row r="60">
          <cell r="C60" t="str">
            <v>Risk Management (Middle Mkt) - Hou</v>
          </cell>
          <cell r="D60">
            <v>19</v>
          </cell>
          <cell r="E60">
            <v>0.0100742311770944</v>
          </cell>
          <cell r="F60">
            <v>14</v>
          </cell>
          <cell r="G60">
            <v>0.00753944746620712</v>
          </cell>
        </row>
        <row r="61">
          <cell r="C61" t="str">
            <v>Risk Management (Middle Mkt) - NY</v>
          </cell>
          <cell r="D61">
            <v>3</v>
          </cell>
          <cell r="E61">
            <v>0.00159066808059385</v>
          </cell>
          <cell r="F61">
            <v>4</v>
          </cell>
          <cell r="G61">
            <v>0.00215412784748775</v>
          </cell>
        </row>
        <row r="62">
          <cell r="C62" t="str">
            <v>Short-term gas trading - Central</v>
          </cell>
          <cell r="D62">
            <v>20</v>
          </cell>
          <cell r="E62">
            <v>0.0106044538706257</v>
          </cell>
          <cell r="F62">
            <v>12</v>
          </cell>
          <cell r="G62">
            <v>0.00646238354246325</v>
          </cell>
        </row>
        <row r="63">
          <cell r="C63" t="str">
            <v>Short-term gas trading - East</v>
          </cell>
          <cell r="D63">
            <v>22</v>
          </cell>
          <cell r="E63">
            <v>0.0116648992576882</v>
          </cell>
          <cell r="F63">
            <v>16</v>
          </cell>
          <cell r="G63">
            <v>0.00861651138995099</v>
          </cell>
        </row>
        <row r="64">
          <cell r="C64" t="str">
            <v>Short-term gas trading - Texas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</row>
        <row r="65">
          <cell r="C65" t="str">
            <v>Short-term gas trading - West</v>
          </cell>
          <cell r="D65">
            <v>12</v>
          </cell>
          <cell r="E65">
            <v>0.0063626723223754</v>
          </cell>
          <cell r="F65">
            <v>8</v>
          </cell>
          <cell r="G65">
            <v>0.0043082556949755</v>
          </cell>
        </row>
        <row r="66">
          <cell r="C66" t="str">
            <v>SO2</v>
          </cell>
          <cell r="D66">
            <v>4</v>
          </cell>
          <cell r="E66">
            <v>0.00212089077412513</v>
          </cell>
          <cell r="F66">
            <v>2</v>
          </cell>
          <cell r="G66">
            <v>0.00107706392374387</v>
          </cell>
        </row>
        <row r="67">
          <cell r="C67" t="str">
            <v>Upstream Origination</v>
          </cell>
          <cell r="D67">
            <v>25</v>
          </cell>
          <cell r="E67">
            <v>0.0132555673382821</v>
          </cell>
          <cell r="F67">
            <v>15</v>
          </cell>
          <cell r="G67">
            <v>0.00807797942807906</v>
          </cell>
        </row>
        <row r="68">
          <cell r="C68" t="str">
            <v>Weather Derivatives</v>
          </cell>
          <cell r="D68">
            <v>13</v>
          </cell>
          <cell r="E68">
            <v>0.00689289501590668</v>
          </cell>
          <cell r="F68">
            <v>23</v>
          </cell>
          <cell r="G68">
            <v>0.0123862351230546</v>
          </cell>
        </row>
        <row r="69">
          <cell r="C69" t="str">
            <v>West Midstream Origination</v>
          </cell>
          <cell r="D69">
            <v>35</v>
          </cell>
          <cell r="E69">
            <v>0.0185577942735949</v>
          </cell>
          <cell r="F69">
            <v>38</v>
          </cell>
          <cell r="G69">
            <v>0.0204642145511336</v>
          </cell>
        </row>
        <row r="70">
          <cell r="C70" t="str">
            <v>West Power Trading</v>
          </cell>
          <cell r="D70">
            <v>53</v>
          </cell>
          <cell r="E70">
            <v>0.028101802757158</v>
          </cell>
          <cell r="F70">
            <v>58</v>
          </cell>
          <cell r="G70">
            <v>0.0312348537885724</v>
          </cell>
        </row>
        <row r="72">
          <cell r="C72" t="str">
            <v>Totals</v>
          </cell>
          <cell r="D72">
            <v>1886</v>
          </cell>
          <cell r="E72">
            <v>1</v>
          </cell>
          <cell r="F72">
            <v>1856.9</v>
          </cell>
          <cell r="G72">
            <v>1</v>
          </cell>
        </row>
      </sheetData>
      <sheetData sheetId="27"/>
      <sheetData sheetId="2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ssumptions"/>
      <sheetName val="Forecast vs 00 budget"/>
      <sheetName val="Budget vs budget"/>
      <sheetName val="Forecast vs 01 budget"/>
      <sheetName val="Allocation"/>
      <sheetName val="2000 Budget"/>
      <sheetName val="2000 Forecast"/>
      <sheetName val="2001 allocation"/>
      <sheetName val="Research"/>
      <sheetName val="Uplo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86">
          <cell r="D86">
            <v>908035.125</v>
          </cell>
          <cell r="E86">
            <v>871954.0375</v>
          </cell>
          <cell r="F86">
            <v>871954.0375</v>
          </cell>
          <cell r="G86">
            <v>871954.0375</v>
          </cell>
          <cell r="H86">
            <v>871954.0375</v>
          </cell>
          <cell r="I86">
            <v>874954.0375</v>
          </cell>
          <cell r="J86">
            <v>874954.0375</v>
          </cell>
          <cell r="K86">
            <v>874954.0375</v>
          </cell>
          <cell r="L86">
            <v>874954.0375</v>
          </cell>
          <cell r="M86">
            <v>874954.0375</v>
          </cell>
          <cell r="N86">
            <v>874954.0375</v>
          </cell>
          <cell r="O86">
            <v>874954.0375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comments" Target="../comments11.xml"/><Relationship Id="rId2" Type="http://schemas.openxmlformats.org/officeDocument/2006/relationships/vmlDrawing" Target="../drawings/vmlDrawing2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41"/>
    <col collapsed="false" customWidth="true" hidden="false" outlineLevel="0" max="2" min="2" style="0" width="59.42"/>
    <col collapsed="false" customWidth="true" hidden="false" outlineLevel="0" max="3" min="3" style="1" width="21.99"/>
    <col collapsed="false" customWidth="true" hidden="false" outlineLevel="0" max="4" min="4" style="0" width="16.13"/>
  </cols>
  <sheetData>
    <row r="1" customFormat="false" ht="65.25" hidden="false" customHeight="true" outlineLevel="0" collapsed="false">
      <c r="C1" s="2" t="s">
        <v>0</v>
      </c>
    </row>
    <row r="2" customFormat="false" ht="15.75" hidden="false" customHeight="false" outlineLevel="0" collapsed="false">
      <c r="B2" s="3" t="s">
        <v>1</v>
      </c>
      <c r="C2" s="0"/>
    </row>
    <row r="3" customFormat="false" ht="15.75" hidden="false" customHeight="false" outlineLevel="0" collapsed="false">
      <c r="B3" s="3" t="s">
        <v>2</v>
      </c>
    </row>
    <row r="4" customFormat="false" ht="15.75" hidden="false" customHeight="false" outlineLevel="0" collapsed="false">
      <c r="B4" s="3" t="s">
        <v>3</v>
      </c>
    </row>
    <row r="5" customFormat="false" ht="35.25" hidden="false" customHeight="true" outlineLevel="0" collapsed="false">
      <c r="B5" s="3" t="s">
        <v>4</v>
      </c>
    </row>
    <row r="6" customFormat="false" ht="35.25" hidden="false" customHeight="true" outlineLevel="0" collapsed="false">
      <c r="B6" s="4"/>
    </row>
    <row r="7" customFormat="false" ht="12.75" hidden="false" customHeight="false" outlineLevel="0" collapsed="false">
      <c r="B7" s="4"/>
    </row>
    <row r="8" customFormat="false" ht="15" hidden="false" customHeight="false" outlineLevel="0" collapsed="false">
      <c r="A8" s="5" t="s">
        <v>5</v>
      </c>
      <c r="B8" s="5"/>
      <c r="C8" s="6" t="s">
        <v>6</v>
      </c>
      <c r="D8" s="7"/>
    </row>
    <row r="9" customFormat="false" ht="15" hidden="false" customHeight="false" outlineLevel="0" collapsed="false">
      <c r="A9" s="7" t="str">
        <f aca="false">'Co 011 Invoice'!A9</f>
        <v>Regina Hawley, Lisa Wilson, Shelly Pierce</v>
      </c>
      <c r="B9" s="5"/>
      <c r="C9" s="8"/>
      <c r="D9" s="7"/>
    </row>
    <row r="10" customFormat="false" ht="41.25" hidden="false" customHeight="true" outlineLevel="0" collapsed="false">
      <c r="A10" s="7"/>
      <c r="B10" s="7"/>
      <c r="C10" s="8"/>
      <c r="D10" s="7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</row>
    <row r="11" customFormat="false" ht="22.5" hidden="false" customHeight="true" outlineLevel="0" collapsed="false">
      <c r="A11" s="10" t="s">
        <v>7</v>
      </c>
      <c r="B11" s="10"/>
      <c r="C11" s="11" t="s">
        <v>8</v>
      </c>
      <c r="D11" s="7"/>
      <c r="H11" s="9"/>
      <c r="I11" s="9"/>
      <c r="J11" s="12"/>
      <c r="K11" s="9"/>
      <c r="L11" s="9"/>
      <c r="M11" s="9"/>
      <c r="N11" s="9"/>
      <c r="O11" s="9"/>
      <c r="P11" s="9"/>
      <c r="Q11" s="9"/>
      <c r="R11" s="9"/>
    </row>
    <row r="12" customFormat="false" ht="18.75" hidden="true" customHeight="true" outlineLevel="0" collapsed="false">
      <c r="A12" s="13" t="s">
        <v>9</v>
      </c>
      <c r="B12" s="14"/>
      <c r="C12" s="15"/>
      <c r="D12" s="7"/>
      <c r="H12" s="9"/>
      <c r="I12" s="9"/>
      <c r="J12" s="12"/>
      <c r="K12" s="9"/>
      <c r="L12" s="9"/>
      <c r="M12" s="9"/>
      <c r="N12" s="9"/>
      <c r="O12" s="9"/>
      <c r="P12" s="9"/>
      <c r="Q12" s="9"/>
      <c r="R12" s="9"/>
    </row>
    <row r="13" customFormat="false" ht="20.25" hidden="true" customHeight="true" outlineLevel="0" collapsed="false">
      <c r="A13" s="16" t="s">
        <v>10</v>
      </c>
      <c r="B13" s="17"/>
      <c r="C13" s="18"/>
      <c r="D13" s="7"/>
      <c r="H13" s="9"/>
      <c r="I13" s="9"/>
      <c r="J13" s="12"/>
      <c r="K13" s="9"/>
      <c r="L13" s="9"/>
      <c r="M13" s="9"/>
      <c r="N13" s="9"/>
      <c r="O13" s="9"/>
      <c r="P13" s="9"/>
      <c r="Q13" s="9"/>
      <c r="R13" s="9"/>
    </row>
    <row r="14" customFormat="false" ht="20.25" hidden="true" customHeight="true" outlineLevel="0" collapsed="false">
      <c r="A14" s="19" t="s">
        <v>11</v>
      </c>
      <c r="B14" s="20"/>
      <c r="C14" s="21" t="n">
        <f aca="false">SUM(C12:C13)</f>
        <v>0</v>
      </c>
      <c r="D14" s="7"/>
      <c r="H14" s="9"/>
      <c r="I14" s="9"/>
      <c r="J14" s="12"/>
      <c r="K14" s="9"/>
      <c r="L14" s="9"/>
      <c r="M14" s="9"/>
      <c r="N14" s="9"/>
      <c r="O14" s="9"/>
      <c r="P14" s="9"/>
      <c r="Q14" s="9"/>
      <c r="R14" s="9"/>
    </row>
    <row r="15" customFormat="false" ht="20.25" hidden="true" customHeight="true" outlineLevel="0" collapsed="false">
      <c r="A15" s="19"/>
      <c r="B15" s="17"/>
      <c r="C15" s="22"/>
      <c r="D15" s="7"/>
      <c r="H15" s="9"/>
      <c r="I15" s="9"/>
      <c r="J15" s="12"/>
      <c r="K15" s="9"/>
      <c r="L15" s="9"/>
      <c r="M15" s="9"/>
      <c r="N15" s="9"/>
      <c r="O15" s="9"/>
      <c r="P15" s="9"/>
      <c r="Q15" s="9"/>
      <c r="R15" s="9"/>
    </row>
    <row r="16" customFormat="false" ht="20.25" hidden="false" customHeight="true" outlineLevel="0" collapsed="false">
      <c r="A16" s="23" t="s">
        <v>12</v>
      </c>
      <c r="B16" s="17"/>
      <c r="C16" s="22"/>
      <c r="D16" s="7"/>
      <c r="H16" s="9"/>
      <c r="I16" s="9"/>
      <c r="J16" s="12"/>
      <c r="K16" s="9"/>
      <c r="L16" s="9"/>
      <c r="M16" s="9"/>
      <c r="N16" s="9"/>
      <c r="O16" s="9"/>
      <c r="P16" s="9"/>
      <c r="Q16" s="9"/>
      <c r="R16" s="9"/>
    </row>
    <row r="17" customFormat="false" ht="20.25" hidden="false" customHeight="true" outlineLevel="0" collapsed="false">
      <c r="A17" s="23" t="s">
        <v>13</v>
      </c>
      <c r="B17" s="7"/>
      <c r="C17" s="24"/>
      <c r="D17" s="23"/>
      <c r="H17" s="9"/>
      <c r="I17" s="9"/>
      <c r="J17" s="12"/>
      <c r="K17" s="9"/>
      <c r="L17" s="9"/>
      <c r="M17" s="9"/>
      <c r="N17" s="9"/>
      <c r="O17" s="9"/>
      <c r="P17" s="9"/>
      <c r="Q17" s="9"/>
      <c r="R17" s="9"/>
    </row>
    <row r="18" customFormat="false" ht="20.25" hidden="false" customHeight="true" outlineLevel="0" collapsed="false">
      <c r="A18" s="25" t="s">
        <v>14</v>
      </c>
      <c r="B18" s="7"/>
      <c r="C18" s="26" t="n">
        <f aca="false">SUM(C16:C17)</f>
        <v>0</v>
      </c>
      <c r="D18" s="27"/>
      <c r="H18" s="9"/>
      <c r="I18" s="9"/>
      <c r="J18" s="12"/>
      <c r="K18" s="9"/>
      <c r="L18" s="9"/>
      <c r="M18" s="9"/>
      <c r="N18" s="9"/>
      <c r="O18" s="9"/>
      <c r="P18" s="9"/>
      <c r="Q18" s="9"/>
      <c r="R18" s="9"/>
    </row>
    <row r="19" customFormat="false" ht="20.25" hidden="false" customHeight="true" outlineLevel="0" collapsed="false">
      <c r="A19" s="23"/>
      <c r="B19" s="7"/>
      <c r="C19" s="23"/>
      <c r="D19" s="23"/>
      <c r="H19" s="9"/>
      <c r="I19" s="9"/>
      <c r="J19" s="12"/>
      <c r="K19" s="9"/>
      <c r="L19" s="9"/>
      <c r="M19" s="9"/>
      <c r="N19" s="9"/>
      <c r="O19" s="9"/>
      <c r="P19" s="9"/>
      <c r="Q19" s="9"/>
      <c r="R19" s="9"/>
    </row>
    <row r="20" customFormat="false" ht="20.25" hidden="false" customHeight="true" outlineLevel="0" collapsed="false">
      <c r="A20" s="23" t="s">
        <v>15</v>
      </c>
      <c r="B20" s="7"/>
      <c r="C20" s="23"/>
      <c r="D20" s="23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</row>
    <row r="21" customFormat="false" ht="20.25" hidden="false" customHeight="true" outlineLevel="0" collapsed="false">
      <c r="A21" s="23" t="s">
        <v>16</v>
      </c>
      <c r="B21" s="7"/>
      <c r="C21" s="24"/>
      <c r="D21" s="23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</row>
    <row r="22" customFormat="false" ht="20.25" hidden="false" customHeight="true" outlineLevel="0" collapsed="false">
      <c r="A22" s="25" t="s">
        <v>17</v>
      </c>
      <c r="B22" s="7"/>
      <c r="C22" s="28" t="n">
        <f aca="false">SUM(C20:C21)</f>
        <v>0</v>
      </c>
      <c r="D22" s="27"/>
    </row>
    <row r="23" customFormat="false" ht="20.25" hidden="false" customHeight="true" outlineLevel="0" collapsed="false">
      <c r="A23" s="25"/>
      <c r="B23" s="7"/>
      <c r="C23" s="23"/>
      <c r="D23" s="23"/>
    </row>
    <row r="24" customFormat="false" ht="20.25" hidden="false" customHeight="true" outlineLevel="0" collapsed="false">
      <c r="A24" s="23" t="s">
        <v>18</v>
      </c>
      <c r="B24" s="7"/>
      <c r="C24" s="23"/>
      <c r="D24" s="23"/>
    </row>
    <row r="25" customFormat="false" ht="20.25" hidden="false" customHeight="true" outlineLevel="0" collapsed="false">
      <c r="A25" s="23" t="s">
        <v>16</v>
      </c>
      <c r="B25" s="7"/>
      <c r="C25" s="24"/>
      <c r="D25" s="23"/>
    </row>
    <row r="26" customFormat="false" ht="20.25" hidden="false" customHeight="true" outlineLevel="0" collapsed="false">
      <c r="A26" s="25" t="s">
        <v>19</v>
      </c>
      <c r="B26" s="27"/>
      <c r="C26" s="21" t="n">
        <f aca="false">SUM(C24:C25)</f>
        <v>0</v>
      </c>
      <c r="D26" s="7"/>
    </row>
    <row r="27" customFormat="false" ht="20.25" hidden="false" customHeight="true" outlineLevel="0" collapsed="false">
      <c r="A27" s="16"/>
      <c r="B27" s="17"/>
      <c r="C27" s="15"/>
      <c r="D27" s="7"/>
    </row>
    <row r="28" customFormat="false" ht="30" hidden="false" customHeight="true" outlineLevel="0" collapsed="false">
      <c r="A28" s="23"/>
      <c r="B28" s="29"/>
      <c r="C28" s="30"/>
      <c r="D28" s="7"/>
    </row>
    <row r="29" customFormat="false" ht="30" hidden="false" customHeight="true" outlineLevel="0" collapsed="false">
      <c r="A29" s="23"/>
      <c r="B29" s="31" t="s">
        <v>20</v>
      </c>
      <c r="C29" s="32" t="n">
        <f aca="false">C26+C22+C18+C14</f>
        <v>0</v>
      </c>
      <c r="D29" s="7"/>
    </row>
    <row r="30" customFormat="false" ht="30" hidden="false" customHeight="true" outlineLevel="0" collapsed="false">
      <c r="A30" s="23"/>
      <c r="B30" s="33" t="s">
        <v>21</v>
      </c>
      <c r="C30" s="30"/>
      <c r="D30" s="7"/>
    </row>
    <row r="31" customFormat="false" ht="15" hidden="false" customHeight="false" outlineLevel="0" collapsed="false">
      <c r="A31" s="23"/>
      <c r="B31" s="33" t="s">
        <v>22</v>
      </c>
      <c r="C31" s="30"/>
      <c r="D31" s="7"/>
    </row>
    <row r="32" customFormat="false" ht="15" hidden="false" customHeight="false" outlineLevel="0" collapsed="false">
      <c r="A32" s="34"/>
      <c r="B32" s="35" t="s">
        <v>23</v>
      </c>
      <c r="C32" s="36" t="n">
        <f aca="false">C31+C30+C29</f>
        <v>0</v>
      </c>
      <c r="D32" s="7"/>
    </row>
    <row r="33" customFormat="false" ht="14.25" hidden="false" customHeight="false" outlineLevel="0" collapsed="false">
      <c r="A33" s="7"/>
      <c r="B33" s="7"/>
      <c r="C33" s="8"/>
      <c r="D33" s="7"/>
    </row>
    <row r="34" customFormat="false" ht="14.25" hidden="false" customHeight="false" outlineLevel="0" collapsed="false">
      <c r="A34" s="7"/>
      <c r="B34" s="7"/>
      <c r="C34" s="8"/>
      <c r="D34" s="7"/>
    </row>
    <row r="35" customFormat="false" ht="14.25" hidden="false" customHeight="false" outlineLevel="0" collapsed="false">
      <c r="A35" s="7"/>
      <c r="B35" s="7"/>
      <c r="C35" s="8"/>
      <c r="D35" s="7"/>
    </row>
    <row r="36" customFormat="false" ht="14.25" hidden="false" customHeight="false" outlineLevel="0" collapsed="false">
      <c r="A36" s="7"/>
      <c r="B36" s="7"/>
      <c r="C36" s="8"/>
      <c r="D36" s="7"/>
    </row>
    <row r="37" customFormat="false" ht="14.25" hidden="false" customHeight="false" outlineLevel="0" collapsed="false">
      <c r="A37" s="7"/>
      <c r="B37" s="7"/>
      <c r="C37" s="8"/>
      <c r="D37" s="7"/>
    </row>
    <row r="38" customFormat="false" ht="14.25" hidden="false" customHeight="false" outlineLevel="0" collapsed="false">
      <c r="A38" s="7"/>
      <c r="B38" s="7"/>
      <c r="C38" s="8"/>
      <c r="D38" s="7"/>
    </row>
    <row r="39" customFormat="false" ht="14.25" hidden="false" customHeight="false" outlineLevel="0" collapsed="false">
      <c r="A39" s="7"/>
      <c r="B39" s="7"/>
      <c r="C39" s="8"/>
      <c r="D39" s="7"/>
    </row>
    <row r="40" customFormat="false" ht="14.25" hidden="false" customHeight="false" outlineLevel="0" collapsed="false">
      <c r="A40" s="7"/>
      <c r="B40" s="7"/>
      <c r="C40" s="8"/>
      <c r="D40" s="7"/>
    </row>
    <row r="41" customFormat="false" ht="14.25" hidden="false" customHeight="false" outlineLevel="0" collapsed="false">
      <c r="A41" s="7"/>
      <c r="B41" s="7"/>
      <c r="C41" s="8"/>
      <c r="D41" s="7"/>
    </row>
    <row r="42" customFormat="false" ht="14.25" hidden="false" customHeight="false" outlineLevel="0" collapsed="false">
      <c r="A42" s="7"/>
      <c r="B42" s="7"/>
      <c r="C42" s="8"/>
      <c r="D42" s="7"/>
    </row>
    <row r="43" customFormat="false" ht="14.25" hidden="false" customHeight="false" outlineLevel="0" collapsed="false">
      <c r="A43" s="7"/>
      <c r="B43" s="7"/>
      <c r="C43" s="8"/>
      <c r="D43" s="7"/>
    </row>
    <row r="44" customFormat="false" ht="14.25" hidden="false" customHeight="false" outlineLevel="0" collapsed="false">
      <c r="A44" s="7"/>
      <c r="B44" s="7"/>
      <c r="C44" s="8"/>
      <c r="D44" s="7"/>
    </row>
    <row r="45" customFormat="false" ht="14.25" hidden="false" customHeight="false" outlineLevel="0" collapsed="false">
      <c r="A45" s="7"/>
      <c r="B45" s="7"/>
      <c r="C45" s="8"/>
      <c r="D45" s="7"/>
    </row>
    <row r="46" customFormat="false" ht="14.25" hidden="false" customHeight="false" outlineLevel="0" collapsed="false">
      <c r="A46" s="7"/>
      <c r="B46" s="7"/>
      <c r="C46" s="8"/>
      <c r="D46" s="7"/>
    </row>
    <row r="47" customFormat="false" ht="14.25" hidden="false" customHeight="false" outlineLevel="0" collapsed="false">
      <c r="A47" s="7"/>
      <c r="B47" s="7"/>
      <c r="C47" s="8"/>
      <c r="D47" s="7"/>
    </row>
    <row r="48" customFormat="false" ht="14.25" hidden="false" customHeight="false" outlineLevel="0" collapsed="false">
      <c r="A48" s="7"/>
      <c r="B48" s="7"/>
      <c r="C48" s="8"/>
      <c r="D48" s="7"/>
    </row>
    <row r="49" customFormat="false" ht="14.25" hidden="false" customHeight="false" outlineLevel="0" collapsed="false">
      <c r="A49" s="7"/>
      <c r="B49" s="7"/>
      <c r="C49" s="8"/>
      <c r="D49" s="7"/>
    </row>
    <row r="50" customFormat="false" ht="14.25" hidden="false" customHeight="false" outlineLevel="0" collapsed="false">
      <c r="A50" s="7"/>
      <c r="B50" s="7"/>
      <c r="C50" s="8"/>
      <c r="D50" s="7"/>
    </row>
    <row r="51" customFormat="false" ht="14.25" hidden="false" customHeight="false" outlineLevel="0" collapsed="false">
      <c r="A51" s="7"/>
      <c r="B51" s="7"/>
      <c r="C51" s="8"/>
      <c r="D51" s="7"/>
    </row>
    <row r="52" customFormat="false" ht="14.25" hidden="false" customHeight="false" outlineLevel="0" collapsed="false">
      <c r="A52" s="7"/>
      <c r="B52" s="7"/>
      <c r="C52" s="8"/>
      <c r="D52" s="7"/>
    </row>
    <row r="53" customFormat="false" ht="14.25" hidden="false" customHeight="false" outlineLevel="0" collapsed="false">
      <c r="A53" s="7"/>
      <c r="B53" s="7"/>
      <c r="C53" s="8"/>
      <c r="D53" s="7"/>
    </row>
    <row r="54" customFormat="false" ht="14.25" hidden="false" customHeight="false" outlineLevel="0" collapsed="false">
      <c r="A54" s="7"/>
      <c r="B54" s="7"/>
      <c r="C54" s="8"/>
      <c r="D54" s="7"/>
    </row>
    <row r="55" customFormat="false" ht="14.25" hidden="false" customHeight="false" outlineLevel="0" collapsed="false">
      <c r="A55" s="7"/>
      <c r="B55" s="7"/>
      <c r="C55" s="8"/>
      <c r="D55" s="7"/>
    </row>
    <row r="56" customFormat="false" ht="14.25" hidden="false" customHeight="false" outlineLevel="0" collapsed="false">
      <c r="A56" s="7"/>
      <c r="B56" s="7"/>
      <c r="C56" s="8"/>
      <c r="D56" s="7"/>
    </row>
    <row r="57" customFormat="false" ht="14.25" hidden="false" customHeight="false" outlineLevel="0" collapsed="false">
      <c r="A57" s="7"/>
      <c r="B57" s="7"/>
      <c r="C57" s="8"/>
    </row>
    <row r="58" customFormat="false" ht="14.25" hidden="false" customHeight="false" outlineLevel="0" collapsed="false">
      <c r="A58" s="7"/>
      <c r="B58" s="7"/>
      <c r="C58" s="8"/>
    </row>
  </sheetData>
  <mergeCells count="1">
    <mergeCell ref="A11:B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4">
              <controlPr defaultSize="0" print="false" autoFill="0" autoPict="0">
                <anchor moveWithCells="true" sizeWithCells="false">
                  <from>
                    <xdr:col>9</xdr:col>
                    <xdr:colOff>29880</xdr:colOff>
                    <xdr:row>0</xdr:row>
                    <xdr:rowOff>77760</xdr:rowOff>
                  </from>
                  <to>
                    <xdr:col>13</xdr:col>
                    <xdr:colOff>50400</xdr:colOff>
                    <xdr:row>4</xdr:row>
                    <xdr:rowOff>447480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4" activeCellId="0" sqref="F14"/>
    </sheetView>
  </sheetViews>
  <sheetFormatPr defaultColWidth="9.0546875" defaultRowHeight="12.75" customHeight="true" zeroHeight="false" outlineLevelRow="0" outlineLevelCol="0"/>
  <sheetData>
    <row r="5" customFormat="false" ht="12.75" hidden="false" customHeight="false" outlineLevel="0" collapsed="false">
      <c r="A5" s="0" t="s">
        <v>295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8" activeCellId="0" sqref="D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42" width="20.41"/>
    <col collapsed="false" customWidth="true" hidden="false" outlineLevel="0" max="3" min="3" style="0" width="6.41"/>
    <col collapsed="false" customWidth="true" hidden="false" outlineLevel="0" max="4" min="4" style="0" width="13.14"/>
    <col collapsed="false" customWidth="true" hidden="false" outlineLevel="0" max="5" min="5" style="0" width="13.56"/>
    <col collapsed="false" customWidth="true" hidden="false" outlineLevel="0" max="6" min="6" style="0" width="4.99"/>
    <col collapsed="false" customWidth="true" hidden="false" outlineLevel="0" max="7" min="7" style="0" width="13.28"/>
    <col collapsed="false" customWidth="true" hidden="false" outlineLevel="0" max="8" min="8" style="0" width="12.99"/>
    <col collapsed="false" customWidth="true" hidden="false" outlineLevel="0" max="9" min="9" style="0" width="10.28"/>
  </cols>
  <sheetData>
    <row r="1" customFormat="false" ht="15.75" hidden="false" customHeight="false" outlineLevel="0" collapsed="false">
      <c r="A1" s="249" t="s">
        <v>296</v>
      </c>
    </row>
    <row r="2" customFormat="false" ht="12.75" hidden="false" customHeight="false" outlineLevel="0" collapsed="false">
      <c r="A2" s="250" t="str">
        <f aca="false">'Co 011 Invoice'!C8</f>
        <v>2001 Plan</v>
      </c>
    </row>
    <row r="3" customFormat="false" ht="12.75" hidden="false" customHeight="false" outlineLevel="0" collapsed="false">
      <c r="B3" s="242"/>
      <c r="C3" s="242"/>
    </row>
    <row r="4" customFormat="false" ht="15.75" hidden="false" customHeight="false" outlineLevel="0" collapsed="false">
      <c r="A4" s="251" t="s">
        <v>297</v>
      </c>
      <c r="B4" s="242"/>
      <c r="C4" s="242"/>
      <c r="D4" s="252" t="s">
        <v>298</v>
      </c>
      <c r="E4" s="252" t="s">
        <v>299</v>
      </c>
      <c r="F4" s="153"/>
      <c r="G4" s="252" t="s">
        <v>58</v>
      </c>
    </row>
    <row r="5" customFormat="false" ht="15.75" hidden="false" customHeight="false" outlineLevel="0" collapsed="false">
      <c r="A5" s="253"/>
      <c r="B5" s="242"/>
      <c r="C5" s="242"/>
      <c r="D5" s="252" t="s">
        <v>300</v>
      </c>
      <c r="E5" s="252" t="s">
        <v>300</v>
      </c>
      <c r="F5" s="153"/>
      <c r="G5" s="252" t="s">
        <v>300</v>
      </c>
    </row>
    <row r="6" customFormat="false" ht="12.75" hidden="false" customHeight="false" outlineLevel="0" collapsed="false">
      <c r="A6" s="253"/>
      <c r="B6" s="242"/>
      <c r="C6" s="242"/>
      <c r="D6" s="254" t="s">
        <v>301</v>
      </c>
      <c r="E6" s="254" t="s">
        <v>301</v>
      </c>
      <c r="F6" s="153"/>
      <c r="G6" s="254" t="s">
        <v>301</v>
      </c>
    </row>
    <row r="7" customFormat="false" ht="12.75" hidden="false" customHeight="false" outlineLevel="0" collapsed="false">
      <c r="A7" s="253"/>
      <c r="B7" s="242"/>
      <c r="C7" s="242"/>
      <c r="E7" s="204"/>
    </row>
    <row r="8" customFormat="false" ht="12.75" hidden="false" customHeight="false" outlineLevel="0" collapsed="false">
      <c r="A8" s="255" t="s">
        <v>302</v>
      </c>
      <c r="B8" s="256"/>
      <c r="C8" s="256"/>
      <c r="D8" s="257"/>
      <c r="E8" s="204"/>
      <c r="G8" s="258" t="n">
        <f aca="false">SUM(D8:F8)</f>
        <v>0</v>
      </c>
    </row>
    <row r="9" customFormat="false" ht="12.75" hidden="false" customHeight="false" outlineLevel="0" collapsed="false">
      <c r="A9" s="255"/>
      <c r="B9" s="256"/>
      <c r="C9" s="256"/>
      <c r="D9" s="257"/>
      <c r="E9" s="204"/>
      <c r="G9" s="258"/>
    </row>
    <row r="10" customFormat="false" ht="12.75" hidden="false" customHeight="false" outlineLevel="0" collapsed="false">
      <c r="A10" s="255" t="s">
        <v>303</v>
      </c>
      <c r="B10" s="256"/>
      <c r="C10" s="256"/>
      <c r="D10" s="259"/>
      <c r="E10" s="260" t="n">
        <f aca="false">+'Co 011 Invoice'!C25</f>
        <v>0</v>
      </c>
      <c r="G10" s="261" t="n">
        <f aca="false">SUM(D10:F10)</f>
        <v>0</v>
      </c>
    </row>
    <row r="11" customFormat="false" ht="12.75" hidden="false" customHeight="false" outlineLevel="0" collapsed="false">
      <c r="A11" s="255"/>
      <c r="B11" s="256"/>
      <c r="C11" s="256"/>
      <c r="E11" s="204"/>
      <c r="F11" s="242"/>
      <c r="G11" s="258"/>
    </row>
    <row r="12" customFormat="false" ht="13.5" hidden="false" customHeight="false" outlineLevel="0" collapsed="false">
      <c r="A12" s="241" t="s">
        <v>304</v>
      </c>
      <c r="B12" s="256"/>
      <c r="C12" s="256"/>
      <c r="D12" s="262" t="n">
        <f aca="false">SUM(D8)</f>
        <v>0</v>
      </c>
      <c r="E12" s="262" t="n">
        <f aca="false">SUM(E8:E10)</f>
        <v>0</v>
      </c>
      <c r="F12" s="241"/>
      <c r="G12" s="263" t="n">
        <f aca="false">SUM(G8:G10)</f>
        <v>0</v>
      </c>
      <c r="H12" s="207"/>
    </row>
    <row r="13" customFormat="false" ht="13.5" hidden="false" customHeight="false" outlineLevel="0" collapsed="false">
      <c r="B13" s="242"/>
      <c r="C13" s="242"/>
      <c r="F13" s="242"/>
    </row>
    <row r="14" customFormat="false" ht="12.75" hidden="false" customHeight="false" outlineLevel="0" collapsed="false">
      <c r="B14" s="242"/>
      <c r="C14" s="242"/>
    </row>
    <row r="15" customFormat="false" ht="15.75" hidden="false" customHeight="false" outlineLevel="0" collapsed="false">
      <c r="A15" s="251"/>
      <c r="B15" s="242"/>
      <c r="C15" s="242"/>
      <c r="D15" s="264"/>
      <c r="E15" s="264"/>
      <c r="F15" s="265"/>
      <c r="G15" s="264"/>
      <c r="H15" s="242"/>
      <c r="I15" s="242"/>
    </row>
    <row r="16" customFormat="false" ht="15.75" hidden="false" customHeight="false" outlineLevel="0" collapsed="false">
      <c r="B16" s="242"/>
      <c r="C16" s="242"/>
      <c r="D16" s="264"/>
      <c r="E16" s="264"/>
      <c r="F16" s="265"/>
      <c r="G16" s="264"/>
      <c r="H16" s="242"/>
      <c r="I16" s="242"/>
    </row>
    <row r="17" customFormat="false" ht="12.75" hidden="false" customHeight="false" outlineLevel="0" collapsed="false">
      <c r="B17" s="242"/>
      <c r="C17" s="242"/>
      <c r="D17" s="266"/>
      <c r="E17" s="266"/>
      <c r="F17" s="265"/>
      <c r="G17" s="266"/>
      <c r="H17" s="242"/>
      <c r="I17" s="242"/>
    </row>
    <row r="18" customFormat="false" ht="12.75" hidden="false" customHeight="false" outlineLevel="0" collapsed="false">
      <c r="B18" s="242"/>
      <c r="C18" s="242"/>
      <c r="D18" s="267"/>
      <c r="E18" s="267"/>
      <c r="F18" s="242"/>
      <c r="G18" s="267"/>
      <c r="H18" s="242"/>
      <c r="I18" s="242"/>
    </row>
    <row r="19" customFormat="false" ht="12.75" hidden="false" customHeight="false" outlineLevel="0" collapsed="false">
      <c r="A19" s="255"/>
      <c r="B19" s="242"/>
      <c r="C19" s="242"/>
      <c r="D19" s="204"/>
      <c r="E19" s="204"/>
      <c r="F19" s="242"/>
      <c r="G19" s="268"/>
      <c r="H19" s="242"/>
      <c r="I19" s="242"/>
    </row>
    <row r="20" customFormat="false" ht="12.75" hidden="false" customHeight="false" outlineLevel="0" collapsed="false">
      <c r="A20" s="269"/>
      <c r="B20" s="269"/>
      <c r="C20" s="269"/>
      <c r="D20" s="242"/>
      <c r="E20" s="204"/>
      <c r="F20" s="242"/>
      <c r="G20" s="268"/>
      <c r="H20" s="242"/>
      <c r="I20" s="242"/>
    </row>
    <row r="21" customFormat="false" ht="12.75" hidden="false" customHeight="false" outlineLevel="0" collapsed="false">
      <c r="A21" s="269"/>
      <c r="B21" s="269"/>
      <c r="C21" s="269"/>
      <c r="D21" s="242"/>
      <c r="E21" s="204"/>
      <c r="F21" s="242"/>
      <c r="G21" s="268"/>
      <c r="H21" s="242"/>
      <c r="I21" s="242"/>
    </row>
    <row r="22" customFormat="false" ht="12.75" hidden="false" customHeight="false" outlineLevel="0" collapsed="false">
      <c r="A22" s="269"/>
      <c r="B22" s="269"/>
      <c r="C22" s="269"/>
      <c r="D22" s="242"/>
      <c r="E22" s="204"/>
      <c r="F22" s="242"/>
      <c r="G22" s="268"/>
      <c r="H22" s="242"/>
      <c r="I22" s="242"/>
    </row>
    <row r="23" customFormat="false" ht="12.75" hidden="false" customHeight="false" outlineLevel="0" collapsed="false">
      <c r="A23" s="269"/>
      <c r="B23" s="269"/>
      <c r="C23" s="269"/>
      <c r="D23" s="242"/>
      <c r="E23" s="204"/>
      <c r="F23" s="242"/>
      <c r="G23" s="268"/>
      <c r="H23" s="204"/>
      <c r="I23" s="204"/>
    </row>
    <row r="24" customFormat="false" ht="12.75" hidden="false" customHeight="false" outlineLevel="0" collapsed="false">
      <c r="A24" s="269"/>
      <c r="B24" s="269"/>
      <c r="C24" s="269"/>
      <c r="D24" s="242"/>
      <c r="E24" s="204"/>
      <c r="F24" s="242"/>
      <c r="G24" s="268"/>
      <c r="H24" s="204"/>
      <c r="I24" s="204"/>
    </row>
    <row r="25" customFormat="false" ht="12.75" hidden="false" customHeight="false" outlineLevel="0" collapsed="false">
      <c r="A25" s="269"/>
      <c r="B25" s="269"/>
      <c r="C25" s="269"/>
      <c r="D25" s="242"/>
      <c r="E25" s="204"/>
      <c r="F25" s="242"/>
      <c r="G25" s="268"/>
      <c r="H25" s="204"/>
      <c r="I25" s="204"/>
    </row>
    <row r="26" customFormat="false" ht="12.75" hidden="false" customHeight="false" outlineLevel="0" collapsed="false">
      <c r="A26" s="269"/>
      <c r="B26" s="269"/>
      <c r="C26" s="269"/>
      <c r="D26" s="242"/>
      <c r="E26" s="204"/>
      <c r="F26" s="242"/>
      <c r="G26" s="268"/>
      <c r="H26" s="204"/>
      <c r="I26" s="204"/>
    </row>
    <row r="27" customFormat="false" ht="12.75" hidden="false" customHeight="false" outlineLevel="0" collapsed="false">
      <c r="A27" s="270"/>
      <c r="B27" s="242"/>
      <c r="C27" s="242"/>
      <c r="D27" s="204"/>
      <c r="E27" s="204"/>
      <c r="F27" s="242"/>
      <c r="G27" s="268"/>
      <c r="H27" s="242"/>
      <c r="I27" s="242"/>
    </row>
    <row r="28" customFormat="false" ht="12.75" hidden="false" customHeight="false" outlineLevel="0" collapsed="false">
      <c r="A28" s="270"/>
      <c r="B28" s="242"/>
      <c r="C28" s="242"/>
      <c r="D28" s="204"/>
      <c r="E28" s="204"/>
      <c r="F28" s="242"/>
      <c r="G28" s="268"/>
      <c r="H28" s="242"/>
      <c r="I28" s="242"/>
    </row>
    <row r="29" customFormat="false" ht="12.75" hidden="false" customHeight="false" outlineLevel="0" collapsed="false">
      <c r="A29" s="270"/>
      <c r="B29" s="242"/>
      <c r="C29" s="242"/>
      <c r="D29" s="204"/>
      <c r="E29" s="204"/>
      <c r="F29" s="242"/>
      <c r="G29" s="268"/>
      <c r="H29" s="242"/>
      <c r="I29" s="242"/>
    </row>
    <row r="30" customFormat="false" ht="12.75" hidden="false" customHeight="false" outlineLevel="0" collapsed="false">
      <c r="A30" s="270"/>
      <c r="B30" s="242"/>
      <c r="C30" s="242"/>
      <c r="D30" s="204"/>
      <c r="E30" s="204"/>
      <c r="F30" s="242"/>
      <c r="G30" s="268"/>
      <c r="H30" s="242"/>
      <c r="I30" s="242"/>
    </row>
    <row r="31" customFormat="false" ht="12.75" hidden="false" customHeight="false" outlineLevel="0" collapsed="false">
      <c r="A31" s="270"/>
      <c r="B31" s="242"/>
      <c r="C31" s="242"/>
      <c r="D31" s="204"/>
      <c r="E31" s="204"/>
      <c r="F31" s="242"/>
      <c r="G31" s="268"/>
      <c r="H31" s="242"/>
      <c r="I31" s="242"/>
    </row>
    <row r="32" customFormat="false" ht="12.75" hidden="false" customHeight="false" outlineLevel="0" collapsed="false">
      <c r="A32" s="270"/>
      <c r="B32" s="242"/>
      <c r="C32" s="242"/>
      <c r="D32" s="204"/>
      <c r="E32" s="204"/>
      <c r="F32" s="242"/>
      <c r="G32" s="268"/>
      <c r="H32" s="242"/>
      <c r="I32" s="242"/>
    </row>
    <row r="33" customFormat="false" ht="12.75" hidden="false" customHeight="false" outlineLevel="0" collapsed="false">
      <c r="A33" s="270"/>
      <c r="B33" s="242"/>
      <c r="C33" s="242"/>
      <c r="D33" s="204"/>
      <c r="E33" s="204"/>
      <c r="F33" s="242"/>
      <c r="G33" s="268"/>
      <c r="H33" s="242"/>
      <c r="I33" s="242"/>
    </row>
    <row r="34" customFormat="false" ht="12.75" hidden="false" customHeight="false" outlineLevel="0" collapsed="false">
      <c r="A34" s="270"/>
      <c r="B34" s="242"/>
      <c r="C34" s="242"/>
      <c r="D34" s="204"/>
      <c r="E34" s="204"/>
      <c r="F34" s="242"/>
      <c r="G34" s="268"/>
      <c r="H34" s="242"/>
      <c r="I34" s="242"/>
    </row>
    <row r="35" customFormat="false" ht="12.75" hidden="false" customHeight="false" outlineLevel="0" collapsed="false">
      <c r="A35" s="270"/>
      <c r="B35" s="242"/>
      <c r="C35" s="242"/>
      <c r="D35" s="204"/>
      <c r="E35" s="204"/>
      <c r="F35" s="242"/>
      <c r="G35" s="268"/>
      <c r="H35" s="242"/>
      <c r="I35" s="242"/>
    </row>
    <row r="36" customFormat="false" ht="12.75" hidden="false" customHeight="false" outlineLevel="0" collapsed="false">
      <c r="A36" s="270"/>
      <c r="B36" s="242"/>
      <c r="C36" s="242"/>
      <c r="D36" s="204"/>
      <c r="E36" s="204"/>
      <c r="F36" s="242"/>
      <c r="G36" s="268"/>
      <c r="H36" s="242"/>
      <c r="I36" s="242"/>
    </row>
    <row r="37" customFormat="false" ht="12.75" hidden="false" customHeight="false" outlineLevel="0" collapsed="false">
      <c r="A37" s="270"/>
      <c r="B37" s="242"/>
      <c r="C37" s="242"/>
      <c r="D37" s="204"/>
      <c r="E37" s="204"/>
      <c r="F37" s="242"/>
      <c r="G37" s="268"/>
      <c r="H37" s="242"/>
      <c r="I37" s="242"/>
    </row>
    <row r="38" customFormat="false" ht="12.75" hidden="false" customHeight="false" outlineLevel="0" collapsed="false">
      <c r="A38" s="255"/>
      <c r="B38" s="242"/>
      <c r="C38" s="242"/>
      <c r="D38" s="241"/>
      <c r="E38" s="204"/>
      <c r="F38" s="242"/>
      <c r="G38" s="271"/>
      <c r="H38" s="242"/>
      <c r="I38" s="242"/>
    </row>
    <row r="39" customFormat="false" ht="12.75" hidden="false" customHeight="false" outlineLevel="0" collapsed="false">
      <c r="A39" s="241"/>
      <c r="B39" s="242"/>
      <c r="C39" s="242"/>
      <c r="D39" s="271"/>
      <c r="E39" s="268"/>
      <c r="F39" s="242"/>
      <c r="G39" s="272"/>
      <c r="H39" s="242"/>
      <c r="I39" s="242"/>
    </row>
    <row r="40" customFormat="false" ht="12.75" hidden="false" customHeight="false" outlineLevel="0" collapsed="false">
      <c r="B40" s="242"/>
      <c r="C40" s="242"/>
      <c r="D40" s="242"/>
      <c r="E40" s="242"/>
      <c r="F40" s="242"/>
      <c r="G40" s="242"/>
      <c r="H40" s="242"/>
      <c r="I40" s="242"/>
    </row>
    <row r="41" customFormat="false" ht="12.75" hidden="false" customHeight="false" outlineLevel="0" collapsed="false">
      <c r="B41" s="242"/>
      <c r="C41" s="242"/>
      <c r="D41" s="242"/>
      <c r="E41" s="242"/>
      <c r="F41" s="242"/>
      <c r="G41" s="242"/>
      <c r="H41" s="242"/>
      <c r="I41" s="242"/>
    </row>
    <row r="42" customFormat="false" ht="12.75" hidden="false" customHeight="false" outlineLevel="0" collapsed="false">
      <c r="B42" s="242"/>
      <c r="C42" s="242"/>
      <c r="D42" s="242"/>
      <c r="E42" s="242"/>
      <c r="F42" s="242"/>
      <c r="G42" s="242"/>
      <c r="H42" s="242"/>
      <c r="I42" s="242"/>
    </row>
    <row r="43" customFormat="false" ht="12.75" hidden="false" customHeight="false" outlineLevel="0" collapsed="false">
      <c r="B43" s="242"/>
      <c r="C43" s="242"/>
      <c r="D43" s="242"/>
      <c r="E43" s="242"/>
      <c r="F43" s="242"/>
      <c r="G43" s="242"/>
      <c r="H43" s="242"/>
      <c r="I43" s="242"/>
    </row>
    <row r="44" customFormat="false" ht="12.75" hidden="false" customHeight="false" outlineLevel="0" collapsed="false">
      <c r="B44" s="242"/>
      <c r="C44" s="242"/>
      <c r="D44" s="242"/>
      <c r="E44" s="242"/>
      <c r="F44" s="242"/>
      <c r="G44" s="242"/>
      <c r="H44" s="242"/>
      <c r="I44" s="24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41"/>
    <col collapsed="false" customWidth="true" hidden="false" outlineLevel="0" max="2" min="2" style="0" width="59.42"/>
    <col collapsed="false" customWidth="true" hidden="false" outlineLevel="0" max="3" min="3" style="1" width="29.85"/>
    <col collapsed="false" customWidth="true" hidden="false" outlineLevel="0" max="9" min="7" style="37" width="9.14"/>
  </cols>
  <sheetData>
    <row r="1" customFormat="false" ht="65.25" hidden="false" customHeight="true" outlineLevel="0" collapsed="false">
      <c r="C1" s="2" t="s">
        <v>0</v>
      </c>
    </row>
    <row r="2" customFormat="false" ht="15.75" hidden="false" customHeight="false" outlineLevel="0" collapsed="false">
      <c r="B2" s="3" t="s">
        <v>1</v>
      </c>
      <c r="C2" s="0"/>
    </row>
    <row r="3" customFormat="false" ht="15.75" hidden="false" customHeight="false" outlineLevel="0" collapsed="false">
      <c r="B3" s="3" t="s">
        <v>2</v>
      </c>
    </row>
    <row r="4" customFormat="false" ht="15.75" hidden="false" customHeight="false" outlineLevel="0" collapsed="false">
      <c r="B4" s="3" t="s">
        <v>3</v>
      </c>
    </row>
    <row r="5" customFormat="false" ht="35.25" hidden="false" customHeight="true" outlineLevel="0" collapsed="false">
      <c r="B5" s="38" t="s">
        <v>24</v>
      </c>
    </row>
    <row r="6" customFormat="false" ht="35.25" hidden="false" customHeight="true" outlineLevel="0" collapsed="false">
      <c r="B6" s="4"/>
    </row>
    <row r="7" customFormat="false" ht="12.75" hidden="false" customHeight="false" outlineLevel="0" collapsed="false">
      <c r="B7" s="4"/>
    </row>
    <row r="8" customFormat="false" ht="15" hidden="false" customHeight="false" outlineLevel="0" collapsed="false">
      <c r="A8" s="5" t="s">
        <v>25</v>
      </c>
      <c r="B8" s="5"/>
      <c r="C8" s="39" t="s">
        <v>26</v>
      </c>
      <c r="D8" s="7"/>
      <c r="E8" s="7"/>
      <c r="F8" s="7"/>
      <c r="G8" s="9"/>
      <c r="H8" s="9"/>
      <c r="I8" s="9"/>
    </row>
    <row r="9" customFormat="false" ht="15" hidden="false" customHeight="false" outlineLevel="0" collapsed="false">
      <c r="A9" s="7" t="s">
        <v>27</v>
      </c>
      <c r="B9" s="5"/>
      <c r="C9" s="8"/>
      <c r="D9" s="7"/>
      <c r="E9" s="7"/>
      <c r="F9" s="7"/>
      <c r="G9" s="9"/>
      <c r="H9" s="9"/>
      <c r="I9" s="9"/>
    </row>
    <row r="10" customFormat="false" ht="41.25" hidden="false" customHeight="true" outlineLevel="0" collapsed="false">
      <c r="A10" s="7"/>
      <c r="B10" s="40"/>
      <c r="C10" s="8"/>
      <c r="D10" s="7"/>
      <c r="E10" s="7"/>
      <c r="F10" s="7"/>
      <c r="G10" s="9"/>
      <c r="H10" s="9"/>
      <c r="I10" s="9"/>
    </row>
    <row r="11" customFormat="false" ht="22.5" hidden="false" customHeight="true" outlineLevel="0" collapsed="false">
      <c r="A11" s="41" t="s">
        <v>7</v>
      </c>
      <c r="B11" s="41"/>
      <c r="C11" s="42" t="s">
        <v>8</v>
      </c>
      <c r="D11" s="7"/>
      <c r="E11" s="7"/>
      <c r="F11" s="7"/>
      <c r="G11" s="9"/>
      <c r="H11" s="43"/>
      <c r="I11" s="44"/>
      <c r="J11" s="27"/>
      <c r="K11" s="27"/>
      <c r="L11" s="27"/>
      <c r="M11" s="27"/>
      <c r="N11" s="27"/>
      <c r="O11" s="27"/>
      <c r="P11" s="27"/>
      <c r="Q11" s="27"/>
    </row>
    <row r="12" customFormat="false" ht="18.75" hidden="false" customHeight="true" outlineLevel="0" collapsed="false">
      <c r="A12" s="45" t="s">
        <v>28</v>
      </c>
      <c r="B12" s="46"/>
      <c r="C12" s="30" t="n">
        <f aca="false">+'Research Detail'!Z65+'Research Detail'!Z63</f>
        <v>2019941.6712</v>
      </c>
      <c r="D12" s="7"/>
      <c r="E12" s="7"/>
      <c r="F12" s="7"/>
      <c r="G12" s="47"/>
      <c r="H12" s="47"/>
      <c r="I12" s="47"/>
      <c r="J12" s="27"/>
      <c r="K12" s="27"/>
      <c r="L12" s="27"/>
      <c r="M12" s="27"/>
      <c r="N12" s="27"/>
      <c r="O12" s="27"/>
      <c r="P12" s="27"/>
      <c r="Q12" s="27"/>
    </row>
    <row r="13" customFormat="false" ht="20.25" hidden="true" customHeight="true" outlineLevel="0" collapsed="false">
      <c r="A13" s="23" t="s">
        <v>16</v>
      </c>
      <c r="B13" s="29"/>
      <c r="C13" s="48"/>
      <c r="D13" s="7"/>
      <c r="E13" s="7"/>
      <c r="F13" s="7"/>
      <c r="G13" s="27"/>
      <c r="H13" s="27"/>
      <c r="I13" s="12"/>
      <c r="J13" s="27"/>
      <c r="K13" s="27"/>
      <c r="L13" s="27"/>
      <c r="M13" s="27"/>
      <c r="N13" s="27"/>
      <c r="O13" s="27"/>
      <c r="P13" s="27"/>
      <c r="Q13" s="27"/>
    </row>
    <row r="14" customFormat="false" ht="20.25" hidden="true" customHeight="true" outlineLevel="0" collapsed="false">
      <c r="A14" s="49" t="s">
        <v>29</v>
      </c>
      <c r="B14" s="50"/>
      <c r="C14" s="51" t="n">
        <f aca="false">SUM(C12:C13)</f>
        <v>2019941.6712</v>
      </c>
      <c r="D14" s="7"/>
      <c r="E14" s="7"/>
      <c r="F14" s="7"/>
      <c r="G14" s="27"/>
      <c r="H14" s="27"/>
      <c r="I14" s="12"/>
      <c r="J14" s="27"/>
      <c r="K14" s="27"/>
      <c r="L14" s="27"/>
      <c r="M14" s="27"/>
      <c r="N14" s="27"/>
      <c r="O14" s="27"/>
      <c r="P14" s="27"/>
      <c r="Q14" s="27"/>
    </row>
    <row r="15" customFormat="false" ht="20.25" hidden="false" customHeight="true" outlineLevel="0" collapsed="false">
      <c r="A15" s="23"/>
      <c r="B15" s="7"/>
      <c r="C15" s="52"/>
      <c r="D15" s="7"/>
      <c r="E15" s="7"/>
      <c r="F15" s="7"/>
      <c r="G15" s="27"/>
      <c r="H15" s="27"/>
      <c r="I15" s="12"/>
      <c r="J15" s="27"/>
      <c r="K15" s="27"/>
      <c r="L15" s="27"/>
      <c r="M15" s="27"/>
      <c r="N15" s="27"/>
      <c r="O15" s="27"/>
      <c r="P15" s="27"/>
      <c r="Q15" s="27"/>
    </row>
    <row r="16" customFormat="false" ht="20.25" hidden="false" customHeight="true" outlineLevel="0" collapsed="false">
      <c r="A16" s="23" t="s">
        <v>12</v>
      </c>
      <c r="B16" s="7"/>
      <c r="C16" s="53" t="n">
        <f aca="false">+'HR Detail'!J75</f>
        <v>837176.056338028</v>
      </c>
      <c r="D16" s="7"/>
      <c r="E16" s="7"/>
      <c r="F16" s="7"/>
      <c r="G16" s="27"/>
      <c r="H16" s="27"/>
      <c r="I16" s="12"/>
      <c r="J16" s="27"/>
      <c r="K16" s="27"/>
      <c r="L16" s="27"/>
      <c r="M16" s="27"/>
      <c r="N16" s="27"/>
      <c r="O16" s="27"/>
      <c r="P16" s="27"/>
      <c r="Q16" s="27"/>
    </row>
    <row r="17" customFormat="false" ht="20.25" hidden="true" customHeight="true" outlineLevel="0" collapsed="false">
      <c r="A17" s="23" t="s">
        <v>13</v>
      </c>
      <c r="B17" s="7"/>
      <c r="C17" s="54"/>
      <c r="D17" s="7"/>
      <c r="E17" s="7"/>
      <c r="F17" s="7"/>
      <c r="G17" s="27"/>
      <c r="H17" s="27"/>
      <c r="I17" s="12"/>
      <c r="J17" s="27"/>
      <c r="K17" s="27"/>
      <c r="L17" s="27"/>
      <c r="M17" s="27"/>
      <c r="N17" s="27"/>
      <c r="O17" s="27"/>
      <c r="P17" s="27"/>
      <c r="Q17" s="27"/>
    </row>
    <row r="18" customFormat="false" ht="20.25" hidden="true" customHeight="true" outlineLevel="0" collapsed="false">
      <c r="A18" s="49" t="s">
        <v>14</v>
      </c>
      <c r="B18" s="7"/>
      <c r="C18" s="55" t="n">
        <f aca="false">SUM(C16:C17)</f>
        <v>837176.056338028</v>
      </c>
      <c r="D18" s="7"/>
      <c r="E18" s="7"/>
      <c r="F18" s="7"/>
      <c r="G18" s="27"/>
      <c r="H18" s="27"/>
      <c r="I18" s="12"/>
      <c r="J18" s="27"/>
      <c r="K18" s="27"/>
      <c r="L18" s="27"/>
      <c r="M18" s="27"/>
      <c r="N18" s="27"/>
      <c r="O18" s="27"/>
      <c r="P18" s="27"/>
      <c r="Q18" s="27"/>
    </row>
    <row r="19" customFormat="false" ht="20.25" hidden="false" customHeight="true" outlineLevel="0" collapsed="false">
      <c r="A19" s="23"/>
      <c r="B19" s="7"/>
      <c r="C19" s="52"/>
      <c r="D19" s="7"/>
      <c r="E19" s="7"/>
      <c r="F19" s="7"/>
      <c r="G19" s="27"/>
      <c r="H19" s="27"/>
      <c r="I19" s="12"/>
      <c r="J19" s="27"/>
      <c r="K19" s="27"/>
      <c r="L19" s="27"/>
      <c r="M19" s="27"/>
      <c r="N19" s="27"/>
      <c r="O19" s="27"/>
      <c r="P19" s="27"/>
      <c r="Q19" s="27"/>
    </row>
    <row r="20" customFormat="false" ht="20.25" hidden="false" customHeight="true" outlineLevel="0" collapsed="false">
      <c r="A20" s="23" t="s">
        <v>30</v>
      </c>
      <c r="B20" s="29"/>
      <c r="C20" s="30" t="n">
        <f aca="false">395876+52781</f>
        <v>448657</v>
      </c>
      <c r="D20" s="7"/>
      <c r="E20" s="7"/>
      <c r="F20" s="7"/>
      <c r="G20" s="27"/>
      <c r="H20" s="27"/>
      <c r="I20" s="12"/>
      <c r="J20" s="27"/>
      <c r="K20" s="27"/>
      <c r="L20" s="27"/>
      <c r="M20" s="27"/>
      <c r="N20" s="27"/>
      <c r="O20" s="27"/>
      <c r="P20" s="27"/>
      <c r="Q20" s="27"/>
    </row>
    <row r="21" customFormat="false" ht="20.25" hidden="true" customHeight="true" outlineLevel="0" collapsed="false">
      <c r="A21" s="23"/>
      <c r="B21" s="29"/>
      <c r="C21" s="48"/>
      <c r="D21" s="7"/>
      <c r="E21" s="7"/>
      <c r="F21" s="7"/>
      <c r="G21" s="9"/>
      <c r="H21" s="9"/>
      <c r="I21" s="12"/>
      <c r="J21" s="27"/>
      <c r="K21" s="27"/>
      <c r="L21" s="27"/>
      <c r="M21" s="27"/>
      <c r="N21" s="27"/>
      <c r="O21" s="27"/>
      <c r="P21" s="27"/>
      <c r="Q21" s="27"/>
    </row>
    <row r="22" customFormat="false" ht="20.25" hidden="true" customHeight="true" outlineLevel="0" collapsed="false">
      <c r="A22" s="49" t="s">
        <v>17</v>
      </c>
      <c r="B22" s="27"/>
      <c r="C22" s="56" t="n">
        <f aca="false">SUM(C20:C21)</f>
        <v>448657</v>
      </c>
      <c r="D22" s="7"/>
      <c r="E22" s="7"/>
      <c r="F22" s="7"/>
      <c r="G22" s="9"/>
      <c r="H22" s="9"/>
      <c r="I22" s="12"/>
      <c r="J22" s="27"/>
      <c r="K22" s="27"/>
      <c r="L22" s="27"/>
      <c r="M22" s="27"/>
      <c r="N22" s="27"/>
      <c r="O22" s="27"/>
      <c r="P22" s="27"/>
      <c r="Q22" s="27"/>
    </row>
    <row r="23" customFormat="false" ht="20.25" hidden="false" customHeight="true" outlineLevel="0" collapsed="false">
      <c r="A23" s="25"/>
      <c r="B23" s="29"/>
      <c r="C23" s="30"/>
      <c r="D23" s="7"/>
      <c r="E23" s="7"/>
      <c r="F23" s="7"/>
      <c r="G23" s="9"/>
      <c r="H23" s="9"/>
      <c r="I23" s="12"/>
      <c r="J23" s="27"/>
      <c r="K23" s="27"/>
      <c r="L23" s="27"/>
      <c r="M23" s="27"/>
      <c r="N23" s="27"/>
      <c r="O23" s="27"/>
      <c r="P23" s="27"/>
      <c r="Q23" s="27"/>
    </row>
    <row r="24" customFormat="false" ht="20.25" hidden="false" customHeight="true" outlineLevel="0" collapsed="false">
      <c r="A24" s="23" t="s">
        <v>18</v>
      </c>
      <c r="B24" s="29"/>
      <c r="C24" s="30" t="n">
        <v>0</v>
      </c>
      <c r="D24" s="7"/>
      <c r="E24" s="7"/>
      <c r="F24" s="7"/>
      <c r="G24" s="9"/>
      <c r="H24" s="9"/>
      <c r="I24" s="12"/>
      <c r="J24" s="27"/>
      <c r="K24" s="27"/>
      <c r="L24" s="27"/>
      <c r="M24" s="27"/>
      <c r="N24" s="27"/>
      <c r="O24" s="27"/>
      <c r="P24" s="27"/>
      <c r="Q24" s="27"/>
    </row>
    <row r="25" customFormat="false" ht="20.25" hidden="true" customHeight="true" outlineLevel="0" collapsed="false">
      <c r="A25" s="23" t="s">
        <v>16</v>
      </c>
      <c r="B25" s="29"/>
      <c r="C25" s="48"/>
      <c r="D25" s="7"/>
      <c r="E25" s="7"/>
      <c r="F25" s="7"/>
      <c r="G25" s="9"/>
      <c r="H25" s="9"/>
      <c r="I25" s="12"/>
    </row>
    <row r="26" customFormat="false" ht="20.25" hidden="true" customHeight="true" outlineLevel="0" collapsed="false">
      <c r="A26" s="49" t="s">
        <v>19</v>
      </c>
      <c r="B26" s="50"/>
      <c r="C26" s="51" t="n">
        <f aca="false">SUM(C24:C25)</f>
        <v>0</v>
      </c>
      <c r="D26" s="7"/>
      <c r="E26" s="7"/>
      <c r="F26" s="7"/>
      <c r="G26" s="9"/>
      <c r="H26" s="9"/>
      <c r="I26" s="12"/>
    </row>
    <row r="27" customFormat="false" ht="20.25" hidden="false" customHeight="true" outlineLevel="0" collapsed="false">
      <c r="A27" s="23"/>
      <c r="B27" s="29"/>
      <c r="C27" s="30"/>
      <c r="D27" s="7"/>
      <c r="E27" s="7"/>
      <c r="F27" s="7"/>
      <c r="G27" s="9"/>
      <c r="H27" s="9"/>
      <c r="I27" s="12"/>
    </row>
    <row r="28" customFormat="false" ht="20.25" hidden="false" customHeight="true" outlineLevel="0" collapsed="false">
      <c r="A28" s="23" t="s">
        <v>31</v>
      </c>
      <c r="B28" s="29"/>
      <c r="C28" s="30" t="n">
        <f aca="false">34695+31572</f>
        <v>66267</v>
      </c>
      <c r="D28" s="7"/>
      <c r="E28" s="7"/>
      <c r="F28" s="7"/>
      <c r="G28" s="9"/>
      <c r="H28" s="9"/>
      <c r="I28" s="12"/>
    </row>
    <row r="29" customFormat="false" ht="20.25" hidden="true" customHeight="true" outlineLevel="0" collapsed="false">
      <c r="A29" s="23" t="s">
        <v>16</v>
      </c>
      <c r="B29" s="29"/>
      <c r="C29" s="48"/>
      <c r="D29" s="7"/>
      <c r="E29" s="7"/>
      <c r="F29" s="7"/>
      <c r="G29" s="9"/>
      <c r="H29" s="9"/>
      <c r="I29" s="12"/>
    </row>
    <row r="30" customFormat="false" ht="20.25" hidden="true" customHeight="true" outlineLevel="0" collapsed="false">
      <c r="A30" s="49" t="s">
        <v>32</v>
      </c>
      <c r="B30" s="50"/>
      <c r="C30" s="51" t="n">
        <f aca="false">SUM(C28:C29)</f>
        <v>66267</v>
      </c>
      <c r="D30" s="7"/>
      <c r="E30" s="7"/>
      <c r="F30" s="7"/>
      <c r="G30" s="9"/>
      <c r="H30" s="9"/>
      <c r="I30" s="12"/>
    </row>
    <row r="31" customFormat="false" ht="21.75" hidden="false" customHeight="true" outlineLevel="0" collapsed="false">
      <c r="A31" s="23"/>
      <c r="B31" s="29"/>
      <c r="C31" s="30"/>
      <c r="D31" s="7"/>
      <c r="E31" s="7"/>
      <c r="F31" s="7"/>
      <c r="G31" s="9"/>
      <c r="H31" s="57"/>
      <c r="I31" s="58"/>
    </row>
    <row r="32" customFormat="false" ht="21.75" hidden="false" customHeight="true" outlineLevel="0" collapsed="false">
      <c r="A32" s="23"/>
      <c r="B32" s="59" t="s">
        <v>20</v>
      </c>
      <c r="C32" s="60" t="n">
        <f aca="false">C26+C22+C18+C14+C30</f>
        <v>3372041.72753803</v>
      </c>
      <c r="D32" s="7"/>
      <c r="E32" s="7"/>
      <c r="F32" s="7"/>
      <c r="G32" s="9"/>
      <c r="H32" s="61"/>
      <c r="I32" s="58"/>
    </row>
    <row r="33" customFormat="false" ht="21.75" hidden="false" customHeight="true" outlineLevel="0" collapsed="false">
      <c r="A33" s="23"/>
      <c r="B33" s="33" t="s">
        <v>21</v>
      </c>
      <c r="C33" s="30"/>
      <c r="D33" s="7"/>
      <c r="E33" s="7"/>
      <c r="F33" s="7"/>
      <c r="G33" s="9"/>
      <c r="H33" s="9"/>
      <c r="I33" s="44"/>
    </row>
    <row r="34" customFormat="false" ht="21.75" hidden="false" customHeight="true" outlineLevel="0" collapsed="false">
      <c r="A34" s="23"/>
      <c r="B34" s="33" t="s">
        <v>22</v>
      </c>
      <c r="C34" s="30"/>
      <c r="D34" s="7"/>
      <c r="E34" s="7"/>
      <c r="F34" s="7"/>
      <c r="G34" s="9"/>
      <c r="H34" s="9"/>
      <c r="I34" s="9"/>
    </row>
    <row r="35" customFormat="false" ht="21.75" hidden="false" customHeight="true" outlineLevel="0" collapsed="false">
      <c r="A35" s="34"/>
      <c r="B35" s="62" t="s">
        <v>23</v>
      </c>
      <c r="C35" s="63" t="n">
        <f aca="false">C34+C33+C32</f>
        <v>3372041.72753803</v>
      </c>
      <c r="D35" s="7"/>
      <c r="E35" s="7"/>
      <c r="F35" s="7"/>
      <c r="G35" s="9"/>
      <c r="H35" s="9"/>
      <c r="I35" s="9"/>
    </row>
    <row r="36" customFormat="false" ht="21.75" hidden="false" customHeight="true" outlineLevel="0" collapsed="false">
      <c r="A36" s="23"/>
      <c r="B36" s="7"/>
      <c r="C36" s="64"/>
      <c r="D36" s="7"/>
      <c r="E36" s="7"/>
      <c r="F36" s="7"/>
      <c r="G36" s="9"/>
      <c r="H36" s="9"/>
      <c r="I36" s="9"/>
    </row>
    <row r="37" customFormat="false" ht="14.25" hidden="false" customHeight="false" outlineLevel="0" collapsed="false">
      <c r="A37" s="27"/>
      <c r="B37" s="27"/>
      <c r="C37" s="65"/>
      <c r="D37" s="7"/>
      <c r="E37" s="7"/>
      <c r="F37" s="7"/>
      <c r="G37" s="7"/>
      <c r="H37" s="7"/>
      <c r="I37" s="7"/>
    </row>
    <row r="38" customFormat="false" ht="14.25" hidden="false" customHeight="false" outlineLevel="0" collapsed="false">
      <c r="A38" s="27"/>
      <c r="B38" s="27"/>
      <c r="C38" s="65"/>
      <c r="D38" s="7"/>
      <c r="E38" s="7"/>
      <c r="F38" s="7"/>
      <c r="G38" s="7"/>
      <c r="H38" s="7"/>
      <c r="I38" s="7"/>
    </row>
    <row r="39" customFormat="false" ht="14.25" hidden="false" customHeight="false" outlineLevel="0" collapsed="false">
      <c r="A39" s="27"/>
      <c r="B39" s="27"/>
      <c r="C39" s="65"/>
      <c r="D39" s="7"/>
      <c r="E39" s="7"/>
      <c r="F39" s="7"/>
      <c r="G39" s="7"/>
      <c r="H39" s="7"/>
      <c r="I39" s="7"/>
    </row>
    <row r="40" customFormat="false" ht="14.25" hidden="false" customHeight="false" outlineLevel="0" collapsed="false">
      <c r="A40" s="27"/>
      <c r="B40" s="27"/>
      <c r="C40" s="65"/>
      <c r="D40" s="7"/>
      <c r="E40" s="7"/>
      <c r="F40" s="7"/>
      <c r="G40" s="7"/>
      <c r="H40" s="7"/>
      <c r="I40" s="7"/>
    </row>
    <row r="41" customFormat="false" ht="14.25" hidden="false" customHeight="false" outlineLevel="0" collapsed="false">
      <c r="A41" s="27"/>
      <c r="B41" s="27"/>
      <c r="C41" s="65"/>
      <c r="D41" s="7"/>
      <c r="E41" s="7"/>
      <c r="F41" s="7"/>
      <c r="G41" s="7"/>
      <c r="H41" s="7"/>
      <c r="I41" s="7"/>
    </row>
    <row r="42" customFormat="false" ht="14.25" hidden="false" customHeight="false" outlineLevel="0" collapsed="false">
      <c r="A42" s="27"/>
      <c r="B42" s="27"/>
      <c r="C42" s="65"/>
      <c r="D42" s="7"/>
      <c r="E42" s="7"/>
      <c r="F42" s="7"/>
      <c r="G42" s="7"/>
      <c r="H42" s="7"/>
      <c r="I42" s="7"/>
    </row>
    <row r="43" customFormat="false" ht="14.25" hidden="false" customHeight="false" outlineLevel="0" collapsed="false">
      <c r="A43" s="27"/>
      <c r="B43" s="27"/>
      <c r="C43" s="65"/>
      <c r="D43" s="7"/>
      <c r="E43" s="7"/>
      <c r="F43" s="7"/>
      <c r="G43" s="7"/>
      <c r="H43" s="7"/>
      <c r="I43" s="7"/>
    </row>
    <row r="44" customFormat="false" ht="14.25" hidden="false" customHeight="false" outlineLevel="0" collapsed="false">
      <c r="A44" s="27"/>
      <c r="B44" s="27"/>
      <c r="C44" s="65"/>
      <c r="D44" s="7"/>
      <c r="E44" s="7"/>
      <c r="F44" s="7"/>
      <c r="G44" s="7"/>
      <c r="H44" s="7"/>
      <c r="I44" s="7"/>
    </row>
    <row r="45" customFormat="false" ht="14.25" hidden="false" customHeight="false" outlineLevel="0" collapsed="false">
      <c r="A45" s="27"/>
      <c r="B45" s="27"/>
      <c r="C45" s="66"/>
      <c r="D45" s="7"/>
      <c r="E45" s="7"/>
      <c r="F45" s="7"/>
      <c r="G45" s="9"/>
      <c r="H45" s="9"/>
      <c r="I45" s="9"/>
    </row>
    <row r="46" customFormat="false" ht="14.25" hidden="false" customHeight="false" outlineLevel="0" collapsed="false">
      <c r="A46" s="27"/>
      <c r="B46" s="27"/>
      <c r="C46" s="66"/>
      <c r="D46" s="7"/>
      <c r="E46" s="7"/>
      <c r="F46" s="7"/>
      <c r="G46" s="9"/>
      <c r="H46" s="9"/>
      <c r="I46" s="9"/>
    </row>
    <row r="47" customFormat="false" ht="14.25" hidden="false" customHeight="false" outlineLevel="0" collapsed="false">
      <c r="A47" s="27"/>
      <c r="B47" s="27"/>
      <c r="C47" s="66"/>
      <c r="D47" s="7"/>
      <c r="E47" s="7"/>
      <c r="F47" s="7"/>
      <c r="G47" s="9"/>
      <c r="H47" s="9"/>
      <c r="I47" s="9"/>
    </row>
    <row r="48" customFormat="false" ht="14.25" hidden="false" customHeight="false" outlineLevel="0" collapsed="false">
      <c r="A48" s="27"/>
      <c r="B48" s="27"/>
      <c r="C48" s="66"/>
      <c r="D48" s="7"/>
      <c r="E48" s="7"/>
      <c r="F48" s="7"/>
      <c r="G48" s="9"/>
      <c r="H48" s="9"/>
      <c r="I48" s="9"/>
    </row>
    <row r="49" customFormat="false" ht="14.25" hidden="false" customHeight="false" outlineLevel="0" collapsed="false">
      <c r="A49" s="7"/>
      <c r="B49" s="7"/>
      <c r="C49" s="8"/>
      <c r="D49" s="7"/>
      <c r="E49" s="7"/>
      <c r="F49" s="7"/>
      <c r="G49" s="9"/>
      <c r="H49" s="9"/>
      <c r="I49" s="9"/>
    </row>
    <row r="50" customFormat="false" ht="14.25" hidden="false" customHeight="false" outlineLevel="0" collapsed="false">
      <c r="A50" s="7"/>
      <c r="B50" s="7"/>
      <c r="C50" s="8"/>
      <c r="D50" s="7"/>
      <c r="E50" s="7"/>
      <c r="F50" s="7"/>
      <c r="G50" s="9"/>
      <c r="H50" s="9"/>
      <c r="I50" s="9"/>
    </row>
    <row r="51" customFormat="false" ht="14.25" hidden="false" customHeight="false" outlineLevel="0" collapsed="false">
      <c r="A51" s="7"/>
      <c r="B51" s="7"/>
      <c r="C51" s="8"/>
      <c r="D51" s="7"/>
      <c r="E51" s="7"/>
      <c r="F51" s="7"/>
      <c r="G51" s="9"/>
      <c r="H51" s="9"/>
      <c r="I51" s="9"/>
    </row>
    <row r="52" customFormat="false" ht="14.25" hidden="false" customHeight="false" outlineLevel="0" collapsed="false">
      <c r="A52" s="7"/>
      <c r="B52" s="7"/>
      <c r="C52" s="8"/>
      <c r="D52" s="7"/>
      <c r="E52" s="7"/>
      <c r="F52" s="7"/>
      <c r="G52" s="9"/>
      <c r="H52" s="9"/>
      <c r="I52" s="9"/>
    </row>
    <row r="53" customFormat="false" ht="14.25" hidden="false" customHeight="false" outlineLevel="0" collapsed="false">
      <c r="A53" s="7"/>
      <c r="B53" s="7"/>
      <c r="C53" s="8"/>
      <c r="D53" s="7"/>
      <c r="E53" s="7"/>
      <c r="F53" s="7"/>
      <c r="G53" s="9"/>
      <c r="H53" s="9"/>
      <c r="I53" s="9"/>
    </row>
    <row r="54" customFormat="false" ht="14.25" hidden="false" customHeight="false" outlineLevel="0" collapsed="false">
      <c r="A54" s="7"/>
      <c r="B54" s="7"/>
      <c r="C54" s="8"/>
      <c r="D54" s="7"/>
      <c r="E54" s="7"/>
      <c r="F54" s="7"/>
      <c r="G54" s="9"/>
      <c r="H54" s="9"/>
      <c r="I54" s="9"/>
    </row>
    <row r="55" customFormat="false" ht="14.25" hidden="false" customHeight="false" outlineLevel="0" collapsed="false">
      <c r="A55" s="7"/>
      <c r="B55" s="7"/>
      <c r="C55" s="8"/>
      <c r="D55" s="7"/>
      <c r="E55" s="7"/>
      <c r="F55" s="7"/>
      <c r="G55" s="9"/>
      <c r="H55" s="9"/>
      <c r="I55" s="9"/>
    </row>
    <row r="56" customFormat="false" ht="14.25" hidden="false" customHeight="false" outlineLevel="0" collapsed="false">
      <c r="A56" s="7"/>
      <c r="B56" s="7"/>
      <c r="C56" s="8"/>
      <c r="D56" s="7"/>
      <c r="E56" s="7"/>
      <c r="F56" s="7"/>
      <c r="G56" s="9"/>
      <c r="H56" s="9"/>
      <c r="I56" s="9"/>
    </row>
    <row r="57" customFormat="false" ht="14.25" hidden="false" customHeight="false" outlineLevel="0" collapsed="false">
      <c r="A57" s="7"/>
      <c r="B57" s="7"/>
      <c r="C57" s="8"/>
      <c r="D57" s="7"/>
      <c r="E57" s="7"/>
      <c r="F57" s="7"/>
      <c r="G57" s="9"/>
      <c r="H57" s="9"/>
      <c r="I57" s="9"/>
    </row>
    <row r="58" customFormat="false" ht="14.25" hidden="false" customHeight="false" outlineLevel="0" collapsed="false">
      <c r="A58" s="7"/>
      <c r="B58" s="7"/>
      <c r="C58" s="8"/>
      <c r="D58" s="7"/>
      <c r="E58" s="7"/>
      <c r="F58" s="7"/>
      <c r="G58" s="9"/>
      <c r="H58" s="9"/>
      <c r="I58" s="9"/>
    </row>
    <row r="59" customFormat="false" ht="14.25" hidden="false" customHeight="false" outlineLevel="0" collapsed="false">
      <c r="A59" s="7"/>
      <c r="B59" s="7"/>
      <c r="C59" s="8"/>
      <c r="D59" s="7"/>
      <c r="E59" s="7"/>
      <c r="F59" s="7"/>
      <c r="G59" s="9"/>
      <c r="H59" s="9"/>
      <c r="I59" s="9"/>
    </row>
    <row r="60" customFormat="false" ht="14.25" hidden="false" customHeight="false" outlineLevel="0" collapsed="false">
      <c r="A60" s="7"/>
      <c r="B60" s="7"/>
      <c r="C60" s="8"/>
      <c r="D60" s="7"/>
      <c r="E60" s="7"/>
      <c r="F60" s="7"/>
      <c r="G60" s="9"/>
      <c r="H60" s="9"/>
      <c r="I60" s="9"/>
    </row>
    <row r="61" customFormat="false" ht="14.25" hidden="false" customHeight="false" outlineLevel="0" collapsed="false">
      <c r="A61" s="7"/>
      <c r="B61" s="7"/>
      <c r="C61" s="8"/>
      <c r="D61" s="7"/>
      <c r="E61" s="7"/>
      <c r="F61" s="7"/>
      <c r="G61" s="9"/>
      <c r="H61" s="9"/>
      <c r="I61" s="9"/>
    </row>
    <row r="62" customFormat="false" ht="14.25" hidden="false" customHeight="false" outlineLevel="0" collapsed="false">
      <c r="D62" s="7"/>
      <c r="E62" s="7"/>
      <c r="F62" s="7"/>
      <c r="G62" s="9"/>
      <c r="H62" s="9"/>
      <c r="I62" s="9"/>
    </row>
    <row r="63" customFormat="false" ht="14.25" hidden="false" customHeight="false" outlineLevel="0" collapsed="false">
      <c r="D63" s="7"/>
      <c r="E63" s="7"/>
      <c r="F63" s="7"/>
      <c r="G63" s="9"/>
      <c r="H63" s="9"/>
      <c r="I63" s="9"/>
    </row>
    <row r="64" customFormat="false" ht="14.25" hidden="false" customHeight="false" outlineLevel="0" collapsed="false">
      <c r="D64" s="7"/>
      <c r="E64" s="7"/>
      <c r="F64" s="7"/>
      <c r="G64" s="9"/>
      <c r="H64" s="9"/>
      <c r="I64" s="9"/>
    </row>
    <row r="65" customFormat="false" ht="14.25" hidden="false" customHeight="false" outlineLevel="0" collapsed="false">
      <c r="D65" s="7"/>
      <c r="E65" s="7"/>
      <c r="F65" s="7"/>
      <c r="G65" s="9"/>
      <c r="H65" s="9"/>
      <c r="I65" s="9"/>
    </row>
    <row r="66" customFormat="false" ht="14.25" hidden="false" customHeight="false" outlineLevel="0" collapsed="false">
      <c r="D66" s="7"/>
      <c r="E66" s="7"/>
      <c r="F66" s="7"/>
      <c r="G66" s="9"/>
      <c r="H66" s="9"/>
      <c r="I66" s="9"/>
    </row>
    <row r="67" customFormat="false" ht="14.25" hidden="false" customHeight="false" outlineLevel="0" collapsed="false">
      <c r="D67" s="7"/>
      <c r="E67" s="7"/>
      <c r="F67" s="7"/>
      <c r="G67" s="9"/>
      <c r="H67" s="9"/>
      <c r="I67" s="9"/>
    </row>
    <row r="68" customFormat="false" ht="14.25" hidden="false" customHeight="false" outlineLevel="0" collapsed="false">
      <c r="D68" s="7"/>
      <c r="E68" s="7"/>
      <c r="F68" s="7"/>
      <c r="G68" s="9"/>
      <c r="H68" s="9"/>
      <c r="I68" s="9"/>
    </row>
    <row r="69" customFormat="false" ht="14.25" hidden="false" customHeight="false" outlineLevel="0" collapsed="false">
      <c r="D69" s="7"/>
      <c r="E69" s="7"/>
      <c r="F69" s="7"/>
      <c r="G69" s="9"/>
      <c r="H69" s="9"/>
      <c r="I69" s="9"/>
    </row>
  </sheetData>
  <mergeCells count="1">
    <mergeCell ref="A11:B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6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9" activeCellId="0" sqref="C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41"/>
    <col collapsed="false" customWidth="true" hidden="false" outlineLevel="0" max="2" min="2" style="0" width="52.28"/>
    <col collapsed="false" customWidth="true" hidden="false" outlineLevel="0" max="3" min="3" style="1" width="18.7"/>
    <col collapsed="false" customWidth="true" hidden="false" outlineLevel="0" max="9" min="7" style="37" width="9.14"/>
  </cols>
  <sheetData>
    <row r="1" customFormat="false" ht="65.25" hidden="false" customHeight="true" outlineLevel="0" collapsed="false">
      <c r="C1" s="2" t="s">
        <v>0</v>
      </c>
    </row>
    <row r="2" customFormat="false" ht="15.75" hidden="false" customHeight="false" outlineLevel="0" collapsed="false">
      <c r="B2" s="3" t="s">
        <v>1</v>
      </c>
      <c r="C2" s="0"/>
    </row>
    <row r="3" customFormat="false" ht="15.75" hidden="false" customHeight="false" outlineLevel="0" collapsed="false">
      <c r="B3" s="3" t="s">
        <v>2</v>
      </c>
    </row>
    <row r="4" customFormat="false" ht="15.75" hidden="false" customHeight="false" outlineLevel="0" collapsed="false">
      <c r="B4" s="3" t="s">
        <v>3</v>
      </c>
    </row>
    <row r="5" customFormat="false" ht="35.25" hidden="false" customHeight="true" outlineLevel="0" collapsed="false">
      <c r="B5" s="3" t="s">
        <v>4</v>
      </c>
    </row>
    <row r="6" customFormat="false" ht="35.25" hidden="false" customHeight="true" outlineLevel="0" collapsed="false">
      <c r="B6" s="4"/>
    </row>
    <row r="7" customFormat="false" ht="12.75" hidden="false" customHeight="false" outlineLevel="0" collapsed="false">
      <c r="B7" s="4"/>
    </row>
    <row r="8" customFormat="false" ht="15" hidden="false" customHeight="false" outlineLevel="0" collapsed="false">
      <c r="A8" s="5" t="s">
        <v>33</v>
      </c>
      <c r="B8" s="5"/>
      <c r="C8" s="39" t="str">
        <f aca="false">+'Co 359 Invoice'!C8</f>
        <v>3/2000</v>
      </c>
      <c r="D8" s="7"/>
      <c r="E8" s="7"/>
      <c r="F8" s="7"/>
      <c r="G8" s="9"/>
      <c r="H8" s="9"/>
      <c r="I8" s="9"/>
    </row>
    <row r="9" customFormat="false" ht="15" hidden="false" customHeight="false" outlineLevel="0" collapsed="false">
      <c r="A9" s="7" t="s">
        <v>27</v>
      </c>
      <c r="B9" s="5"/>
      <c r="C9" s="8"/>
      <c r="D9" s="7"/>
      <c r="E9" s="7"/>
      <c r="F9" s="7"/>
      <c r="G9" s="9"/>
      <c r="H9" s="9"/>
      <c r="I9" s="9"/>
    </row>
    <row r="10" customFormat="false" ht="41.25" hidden="false" customHeight="true" outlineLevel="0" collapsed="false">
      <c r="A10" s="7"/>
      <c r="B10" s="40"/>
      <c r="C10" s="8"/>
      <c r="D10" s="7"/>
      <c r="E10" s="7"/>
      <c r="F10" s="7"/>
      <c r="G10" s="9"/>
      <c r="H10" s="9"/>
      <c r="I10" s="9"/>
    </row>
    <row r="11" customFormat="false" ht="22.5" hidden="false" customHeight="true" outlineLevel="0" collapsed="false">
      <c r="A11" s="67" t="s">
        <v>7</v>
      </c>
      <c r="B11" s="67"/>
      <c r="C11" s="42" t="s">
        <v>8</v>
      </c>
      <c r="D11" s="7"/>
      <c r="E11" s="7"/>
      <c r="F11" s="7"/>
      <c r="G11" s="9"/>
      <c r="H11" s="43"/>
      <c r="I11" s="44"/>
      <c r="J11" s="27"/>
      <c r="K11" s="27"/>
      <c r="L11" s="27"/>
      <c r="M11" s="27"/>
      <c r="N11" s="27"/>
      <c r="O11" s="27"/>
      <c r="P11" s="27"/>
      <c r="Q11" s="27"/>
    </row>
    <row r="12" customFormat="false" ht="18.75" hidden="true" customHeight="true" outlineLevel="0" collapsed="false">
      <c r="A12" s="45" t="s">
        <v>34</v>
      </c>
      <c r="B12" s="46"/>
      <c r="C12" s="68" t="n">
        <v>0</v>
      </c>
      <c r="D12" s="7"/>
      <c r="E12" s="7"/>
      <c r="F12" s="7"/>
      <c r="G12" s="47"/>
      <c r="H12" s="47"/>
      <c r="I12" s="47"/>
      <c r="J12" s="27"/>
      <c r="K12" s="27"/>
      <c r="L12" s="27"/>
      <c r="M12" s="27"/>
      <c r="N12" s="27"/>
      <c r="O12" s="27"/>
      <c r="P12" s="27"/>
      <c r="Q12" s="27"/>
    </row>
    <row r="13" customFormat="false" ht="20.25" hidden="true" customHeight="true" outlineLevel="0" collapsed="false">
      <c r="A13" s="23" t="s">
        <v>16</v>
      </c>
      <c r="B13" s="29"/>
      <c r="C13" s="69" t="n">
        <v>0</v>
      </c>
      <c r="D13" s="7"/>
      <c r="E13" s="7"/>
      <c r="F13" s="7"/>
      <c r="G13" s="27"/>
      <c r="H13" s="27"/>
      <c r="I13" s="12"/>
      <c r="J13" s="27"/>
      <c r="K13" s="27"/>
      <c r="L13" s="27"/>
      <c r="M13" s="27"/>
      <c r="N13" s="27"/>
      <c r="O13" s="27"/>
      <c r="P13" s="27"/>
      <c r="Q13" s="27"/>
    </row>
    <row r="14" customFormat="false" ht="20.25" hidden="true" customHeight="true" outlineLevel="0" collapsed="false">
      <c r="A14" s="25" t="s">
        <v>29</v>
      </c>
      <c r="B14" s="50"/>
      <c r="C14" s="70" t="n">
        <f aca="false">SUM(C12:C13)</f>
        <v>0</v>
      </c>
      <c r="D14" s="7"/>
      <c r="E14" s="7"/>
      <c r="F14" s="7"/>
      <c r="G14" s="27"/>
      <c r="H14" s="27"/>
      <c r="I14" s="12"/>
      <c r="J14" s="27"/>
      <c r="K14" s="27"/>
      <c r="L14" s="27"/>
      <c r="M14" s="27"/>
      <c r="N14" s="27"/>
      <c r="O14" s="27"/>
      <c r="P14" s="27"/>
      <c r="Q14" s="27"/>
    </row>
    <row r="15" customFormat="false" ht="20.25" hidden="true" customHeight="true" outlineLevel="0" collapsed="false">
      <c r="A15" s="23"/>
      <c r="B15" s="29"/>
      <c r="C15" s="68"/>
      <c r="D15" s="7"/>
      <c r="E15" s="7"/>
      <c r="F15" s="7"/>
      <c r="G15" s="27"/>
      <c r="H15" s="27"/>
      <c r="I15" s="12"/>
      <c r="J15" s="27"/>
      <c r="K15" s="27"/>
      <c r="L15" s="27"/>
      <c r="M15" s="27"/>
      <c r="N15" s="27"/>
      <c r="O15" s="27"/>
      <c r="P15" s="27"/>
      <c r="Q15" s="27"/>
    </row>
    <row r="16" customFormat="false" ht="20.25" hidden="true" customHeight="true" outlineLevel="0" collapsed="false">
      <c r="A16" s="23"/>
      <c r="B16" s="27"/>
      <c r="C16" s="71"/>
      <c r="D16" s="7"/>
      <c r="E16" s="7"/>
      <c r="F16" s="7"/>
      <c r="G16" s="27"/>
      <c r="H16" s="27"/>
      <c r="I16" s="12"/>
      <c r="J16" s="27"/>
      <c r="K16" s="27"/>
      <c r="L16" s="27"/>
      <c r="M16" s="27"/>
      <c r="N16" s="27"/>
      <c r="O16" s="27"/>
      <c r="P16" s="27"/>
      <c r="Q16" s="27"/>
    </row>
    <row r="17" customFormat="false" ht="20.25" hidden="false" customHeight="true" outlineLevel="0" collapsed="false">
      <c r="A17" s="23" t="s">
        <v>12</v>
      </c>
      <c r="B17" s="27"/>
      <c r="C17" s="72"/>
      <c r="D17" s="7"/>
      <c r="E17" s="7"/>
      <c r="F17" s="7"/>
      <c r="G17" s="27"/>
      <c r="H17" s="27"/>
      <c r="I17" s="12"/>
      <c r="J17" s="27"/>
      <c r="K17" s="27"/>
      <c r="L17" s="27"/>
      <c r="M17" s="27"/>
      <c r="N17" s="27"/>
      <c r="O17" s="27"/>
      <c r="P17" s="27"/>
      <c r="Q17" s="27"/>
    </row>
    <row r="18" customFormat="false" ht="20.25" hidden="false" customHeight="true" outlineLevel="0" collapsed="false">
      <c r="A18" s="23" t="s">
        <v>13</v>
      </c>
      <c r="B18" s="27"/>
      <c r="C18" s="73"/>
      <c r="D18" s="7"/>
      <c r="E18" s="7"/>
      <c r="F18" s="7"/>
      <c r="G18" s="27"/>
      <c r="H18" s="27"/>
      <c r="I18" s="12"/>
      <c r="J18" s="27"/>
      <c r="K18" s="27"/>
      <c r="L18" s="27"/>
      <c r="M18" s="27"/>
      <c r="N18" s="27"/>
      <c r="O18" s="27"/>
      <c r="P18" s="27"/>
      <c r="Q18" s="27"/>
    </row>
    <row r="19" customFormat="false" ht="20.25" hidden="false" customHeight="true" outlineLevel="0" collapsed="false">
      <c r="A19" s="25" t="s">
        <v>14</v>
      </c>
      <c r="B19" s="27"/>
      <c r="C19" s="74" t="n">
        <f aca="false">SUM(C17:C18)</f>
        <v>0</v>
      </c>
      <c r="D19" s="7"/>
      <c r="E19" s="7"/>
      <c r="F19" s="7"/>
      <c r="G19" s="27"/>
      <c r="H19" s="27"/>
      <c r="I19" s="12"/>
      <c r="J19" s="27"/>
      <c r="K19" s="27"/>
      <c r="L19" s="27"/>
      <c r="M19" s="27"/>
      <c r="N19" s="27"/>
      <c r="O19" s="27"/>
      <c r="P19" s="27"/>
      <c r="Q19" s="27"/>
    </row>
    <row r="20" customFormat="false" ht="20.25" hidden="false" customHeight="true" outlineLevel="0" collapsed="false">
      <c r="A20" s="23"/>
      <c r="B20" s="27"/>
      <c r="C20" s="71"/>
      <c r="D20" s="7"/>
      <c r="E20" s="7"/>
      <c r="F20" s="7"/>
      <c r="G20" s="27"/>
      <c r="H20" s="27"/>
      <c r="I20" s="12"/>
      <c r="J20" s="27"/>
      <c r="K20" s="27"/>
      <c r="L20" s="27"/>
      <c r="M20" s="27"/>
      <c r="N20" s="27"/>
      <c r="O20" s="27"/>
      <c r="P20" s="27"/>
      <c r="Q20" s="27"/>
    </row>
    <row r="21" customFormat="false" ht="20.25" hidden="false" customHeight="true" outlineLevel="0" collapsed="false">
      <c r="A21" s="23" t="s">
        <v>15</v>
      </c>
      <c r="B21" s="29"/>
      <c r="C21" s="68"/>
      <c r="D21" s="7"/>
      <c r="E21" s="7"/>
      <c r="F21" s="7"/>
      <c r="G21" s="27"/>
      <c r="H21" s="27"/>
      <c r="I21" s="12"/>
      <c r="J21" s="27"/>
      <c r="K21" s="27"/>
      <c r="L21" s="27"/>
      <c r="M21" s="27"/>
      <c r="N21" s="27"/>
      <c r="O21" s="27"/>
      <c r="P21" s="27"/>
      <c r="Q21" s="27"/>
    </row>
    <row r="22" customFormat="false" ht="20.25" hidden="false" customHeight="true" outlineLevel="0" collapsed="false">
      <c r="A22" s="23" t="s">
        <v>16</v>
      </c>
      <c r="B22" s="29"/>
      <c r="C22" s="69"/>
      <c r="D22" s="7"/>
      <c r="E22" s="7"/>
      <c r="F22" s="7"/>
      <c r="G22" s="9"/>
      <c r="H22" s="9"/>
      <c r="I22" s="12"/>
      <c r="J22" s="27"/>
      <c r="K22" s="27"/>
      <c r="L22" s="27"/>
      <c r="M22" s="27"/>
      <c r="N22" s="27"/>
      <c r="O22" s="27"/>
      <c r="P22" s="27"/>
      <c r="Q22" s="27"/>
    </row>
    <row r="23" customFormat="false" ht="20.25" hidden="false" customHeight="true" outlineLevel="0" collapsed="false">
      <c r="A23" s="25" t="s">
        <v>17</v>
      </c>
      <c r="B23" s="27"/>
      <c r="C23" s="75" t="n">
        <v>0</v>
      </c>
      <c r="D23" s="7"/>
      <c r="E23" s="7"/>
      <c r="F23" s="7"/>
      <c r="G23" s="9"/>
      <c r="H23" s="9"/>
      <c r="I23" s="12"/>
      <c r="J23" s="27"/>
      <c r="K23" s="27"/>
      <c r="L23" s="27"/>
      <c r="M23" s="27"/>
      <c r="N23" s="27"/>
      <c r="O23" s="27"/>
      <c r="P23" s="27"/>
      <c r="Q23" s="27"/>
    </row>
    <row r="24" customFormat="false" ht="20.25" hidden="false" customHeight="true" outlineLevel="0" collapsed="false">
      <c r="A24" s="25"/>
      <c r="B24" s="29"/>
      <c r="C24" s="68"/>
      <c r="D24" s="7"/>
      <c r="E24" s="7"/>
      <c r="F24" s="7"/>
      <c r="G24" s="9"/>
      <c r="H24" s="9"/>
      <c r="I24" s="12"/>
      <c r="J24" s="27"/>
      <c r="K24" s="27"/>
      <c r="L24" s="27"/>
      <c r="M24" s="27"/>
      <c r="N24" s="27"/>
      <c r="O24" s="27"/>
      <c r="P24" s="27"/>
      <c r="Q24" s="27"/>
    </row>
    <row r="25" customFormat="false" ht="20.25" hidden="false" customHeight="true" outlineLevel="0" collapsed="false">
      <c r="A25" s="23" t="s">
        <v>18</v>
      </c>
      <c r="B25" s="29"/>
      <c r="C25" s="68"/>
      <c r="D25" s="7"/>
      <c r="E25" s="7"/>
      <c r="F25" s="7"/>
      <c r="G25" s="9"/>
      <c r="H25" s="9"/>
      <c r="I25" s="12"/>
      <c r="J25" s="27"/>
      <c r="K25" s="27"/>
      <c r="L25" s="27"/>
      <c r="M25" s="27"/>
      <c r="N25" s="27"/>
      <c r="O25" s="27"/>
      <c r="P25" s="27"/>
      <c r="Q25" s="27"/>
    </row>
    <row r="26" customFormat="false" ht="20.25" hidden="false" customHeight="true" outlineLevel="0" collapsed="false">
      <c r="A26" s="23" t="s">
        <v>16</v>
      </c>
      <c r="B26" s="29"/>
      <c r="C26" s="69"/>
      <c r="D26" s="7"/>
      <c r="E26" s="7"/>
      <c r="F26" s="7"/>
      <c r="G26" s="9"/>
      <c r="H26" s="9"/>
      <c r="I26" s="12"/>
    </row>
    <row r="27" customFormat="false" ht="20.25" hidden="false" customHeight="true" outlineLevel="0" collapsed="false">
      <c r="A27" s="25" t="s">
        <v>19</v>
      </c>
      <c r="B27" s="50"/>
      <c r="C27" s="70" t="n">
        <f aca="false">SUM(C25:C26)</f>
        <v>0</v>
      </c>
      <c r="D27" s="7"/>
      <c r="E27" s="7"/>
      <c r="F27" s="7"/>
      <c r="G27" s="9"/>
      <c r="H27" s="9"/>
      <c r="I27" s="12"/>
    </row>
    <row r="28" customFormat="false" ht="20.25" hidden="false" customHeight="true" outlineLevel="0" collapsed="false">
      <c r="A28" s="23"/>
      <c r="B28" s="29"/>
      <c r="C28" s="68"/>
      <c r="D28" s="7"/>
      <c r="E28" s="7"/>
      <c r="F28" s="7"/>
      <c r="G28" s="9"/>
      <c r="H28" s="9"/>
      <c r="I28" s="12"/>
    </row>
    <row r="29" customFormat="false" ht="20.25" hidden="false" customHeight="true" outlineLevel="0" collapsed="false">
      <c r="A29" s="23"/>
      <c r="B29" s="29"/>
      <c r="C29" s="68"/>
      <c r="D29" s="7"/>
      <c r="E29" s="7"/>
      <c r="F29" s="7"/>
      <c r="G29" s="9"/>
      <c r="H29" s="9"/>
      <c r="I29" s="12"/>
    </row>
    <row r="30" customFormat="false" ht="21.75" hidden="false" customHeight="true" outlineLevel="0" collapsed="false">
      <c r="A30" s="23"/>
      <c r="B30" s="29"/>
      <c r="C30" s="68"/>
      <c r="D30" s="7"/>
      <c r="E30" s="7"/>
      <c r="F30" s="7"/>
      <c r="G30" s="9"/>
      <c r="H30" s="57"/>
      <c r="I30" s="58"/>
    </row>
    <row r="31" customFormat="false" ht="21.75" hidden="false" customHeight="true" outlineLevel="0" collapsed="false">
      <c r="A31" s="23"/>
      <c r="B31" s="29"/>
      <c r="C31" s="68"/>
      <c r="D31" s="7"/>
      <c r="E31" s="7"/>
      <c r="F31" s="7"/>
      <c r="G31" s="9"/>
      <c r="H31" s="57"/>
      <c r="I31" s="58"/>
    </row>
    <row r="32" customFormat="false" ht="21.75" hidden="false" customHeight="true" outlineLevel="0" collapsed="false">
      <c r="A32" s="23"/>
      <c r="B32" s="31" t="s">
        <v>20</v>
      </c>
      <c r="C32" s="76" t="n">
        <f aca="false">C27+C23+C19+C14</f>
        <v>0</v>
      </c>
      <c r="D32" s="7"/>
      <c r="E32" s="7"/>
      <c r="F32" s="7"/>
      <c r="G32" s="9"/>
      <c r="H32" s="61"/>
      <c r="I32" s="58"/>
    </row>
    <row r="33" customFormat="false" ht="21.75" hidden="false" customHeight="true" outlineLevel="0" collapsed="false">
      <c r="A33" s="23"/>
      <c r="B33" s="33" t="s">
        <v>21</v>
      </c>
      <c r="C33" s="68"/>
      <c r="D33" s="7"/>
      <c r="E33" s="7"/>
      <c r="F33" s="7"/>
      <c r="G33" s="9"/>
      <c r="H33" s="9"/>
      <c r="I33" s="44"/>
    </row>
    <row r="34" customFormat="false" ht="21.75" hidden="false" customHeight="true" outlineLevel="0" collapsed="false">
      <c r="A34" s="23"/>
      <c r="B34" s="33" t="s">
        <v>22</v>
      </c>
      <c r="C34" s="68"/>
      <c r="D34" s="7"/>
      <c r="E34" s="7"/>
      <c r="F34" s="7"/>
      <c r="G34" s="9"/>
      <c r="H34" s="9"/>
      <c r="I34" s="9"/>
    </row>
    <row r="35" customFormat="false" ht="21.75" hidden="false" customHeight="true" outlineLevel="0" collapsed="false">
      <c r="A35" s="77"/>
      <c r="B35" s="78" t="s">
        <v>23</v>
      </c>
      <c r="C35" s="79" t="n">
        <f aca="false">C34+C33+C32</f>
        <v>0</v>
      </c>
      <c r="D35" s="7"/>
      <c r="E35" s="7"/>
      <c r="F35" s="7"/>
      <c r="G35" s="9"/>
      <c r="H35" s="9"/>
      <c r="I35" s="9"/>
    </row>
    <row r="36" customFormat="false" ht="21.75" hidden="false" customHeight="true" outlineLevel="0" collapsed="false">
      <c r="A36" s="23"/>
      <c r="B36" s="7"/>
      <c r="C36" s="64"/>
      <c r="D36" s="7"/>
      <c r="E36" s="7"/>
      <c r="F36" s="7"/>
      <c r="G36" s="9"/>
      <c r="H36" s="9"/>
      <c r="I36" s="9"/>
    </row>
    <row r="37" customFormat="false" ht="14.25" hidden="false" customHeight="false" outlineLevel="0" collapsed="false">
      <c r="A37" s="27"/>
      <c r="B37" s="27"/>
      <c r="C37" s="65"/>
      <c r="D37" s="7"/>
      <c r="E37" s="7"/>
      <c r="F37" s="7"/>
      <c r="G37" s="7"/>
      <c r="H37" s="7"/>
      <c r="I37" s="7"/>
    </row>
    <row r="38" customFormat="false" ht="14.25" hidden="false" customHeight="false" outlineLevel="0" collapsed="false">
      <c r="A38" s="27"/>
      <c r="B38" s="27"/>
      <c r="C38" s="65"/>
      <c r="D38" s="7"/>
      <c r="E38" s="7"/>
      <c r="F38" s="7"/>
      <c r="G38" s="7"/>
      <c r="H38" s="7"/>
      <c r="I38" s="7"/>
    </row>
    <row r="39" customFormat="false" ht="14.25" hidden="false" customHeight="false" outlineLevel="0" collapsed="false">
      <c r="A39" s="27"/>
      <c r="B39" s="27"/>
      <c r="C39" s="65"/>
      <c r="D39" s="7"/>
      <c r="E39" s="7"/>
      <c r="F39" s="7"/>
      <c r="G39" s="7"/>
      <c r="H39" s="7"/>
      <c r="I39" s="7"/>
    </row>
    <row r="40" customFormat="false" ht="14.25" hidden="false" customHeight="false" outlineLevel="0" collapsed="false">
      <c r="A40" s="27"/>
      <c r="B40" s="27"/>
      <c r="C40" s="65"/>
      <c r="D40" s="7"/>
      <c r="E40" s="7"/>
      <c r="F40" s="7"/>
      <c r="G40" s="7"/>
      <c r="H40" s="7"/>
      <c r="I40" s="7"/>
    </row>
    <row r="41" customFormat="false" ht="14.25" hidden="false" customHeight="false" outlineLevel="0" collapsed="false">
      <c r="A41" s="27"/>
      <c r="B41" s="27"/>
      <c r="C41" s="65"/>
      <c r="D41" s="7"/>
      <c r="E41" s="7"/>
      <c r="F41" s="7"/>
      <c r="G41" s="7"/>
      <c r="H41" s="7"/>
      <c r="I41" s="7"/>
    </row>
    <row r="42" customFormat="false" ht="14.25" hidden="false" customHeight="false" outlineLevel="0" collapsed="false">
      <c r="A42" s="27"/>
      <c r="B42" s="27"/>
      <c r="C42" s="65"/>
      <c r="D42" s="7"/>
      <c r="E42" s="7"/>
      <c r="F42" s="7"/>
      <c r="G42" s="7"/>
      <c r="H42" s="7"/>
      <c r="I42" s="7"/>
    </row>
    <row r="43" customFormat="false" ht="14.25" hidden="false" customHeight="false" outlineLevel="0" collapsed="false">
      <c r="A43" s="27"/>
      <c r="B43" s="27"/>
      <c r="C43" s="65"/>
      <c r="D43" s="7"/>
      <c r="E43" s="7"/>
      <c r="F43" s="7"/>
      <c r="G43" s="7"/>
      <c r="H43" s="7"/>
      <c r="I43" s="7"/>
    </row>
    <row r="44" customFormat="false" ht="14.25" hidden="false" customHeight="false" outlineLevel="0" collapsed="false">
      <c r="A44" s="27"/>
      <c r="B44" s="27"/>
      <c r="C44" s="65"/>
      <c r="D44" s="7"/>
      <c r="E44" s="7"/>
      <c r="F44" s="7"/>
      <c r="G44" s="7"/>
      <c r="H44" s="7"/>
      <c r="I44" s="7"/>
    </row>
    <row r="45" customFormat="false" ht="14.25" hidden="false" customHeight="false" outlineLevel="0" collapsed="false">
      <c r="A45" s="27"/>
      <c r="B45" s="27"/>
      <c r="C45" s="66"/>
      <c r="D45" s="7"/>
      <c r="E45" s="7"/>
      <c r="F45" s="7"/>
      <c r="G45" s="9"/>
      <c r="H45" s="9"/>
      <c r="I45" s="9"/>
    </row>
    <row r="46" customFormat="false" ht="14.25" hidden="false" customHeight="false" outlineLevel="0" collapsed="false">
      <c r="A46" s="27"/>
      <c r="B46" s="27"/>
      <c r="C46" s="66"/>
      <c r="D46" s="7"/>
      <c r="E46" s="7"/>
      <c r="F46" s="7"/>
      <c r="G46" s="9"/>
      <c r="H46" s="9"/>
      <c r="I46" s="9"/>
    </row>
    <row r="47" customFormat="false" ht="14.25" hidden="false" customHeight="false" outlineLevel="0" collapsed="false">
      <c r="A47" s="27"/>
      <c r="B47" s="27"/>
      <c r="C47" s="66"/>
      <c r="D47" s="7"/>
      <c r="E47" s="7"/>
      <c r="F47" s="7"/>
      <c r="G47" s="9"/>
      <c r="H47" s="9"/>
      <c r="I47" s="9"/>
    </row>
    <row r="48" customFormat="false" ht="14.25" hidden="false" customHeight="false" outlineLevel="0" collapsed="false">
      <c r="A48" s="27"/>
      <c r="B48" s="27"/>
      <c r="C48" s="66"/>
      <c r="D48" s="7"/>
      <c r="E48" s="7"/>
      <c r="F48" s="7"/>
      <c r="G48" s="9"/>
      <c r="H48" s="9"/>
      <c r="I48" s="9"/>
    </row>
    <row r="49" customFormat="false" ht="14.25" hidden="false" customHeight="false" outlineLevel="0" collapsed="false">
      <c r="A49" s="7"/>
      <c r="B49" s="7"/>
      <c r="C49" s="8"/>
      <c r="D49" s="7"/>
      <c r="E49" s="7"/>
      <c r="F49" s="7"/>
      <c r="G49" s="9"/>
      <c r="H49" s="9"/>
      <c r="I49" s="9"/>
    </row>
    <row r="50" customFormat="false" ht="14.25" hidden="false" customHeight="false" outlineLevel="0" collapsed="false">
      <c r="A50" s="7"/>
      <c r="B50" s="7"/>
      <c r="C50" s="8"/>
      <c r="D50" s="7"/>
      <c r="E50" s="7"/>
      <c r="F50" s="7"/>
      <c r="G50" s="9"/>
      <c r="H50" s="9"/>
      <c r="I50" s="9"/>
    </row>
    <row r="51" customFormat="false" ht="14.25" hidden="false" customHeight="false" outlineLevel="0" collapsed="false">
      <c r="A51" s="7"/>
      <c r="B51" s="7"/>
      <c r="C51" s="8"/>
      <c r="D51" s="7"/>
      <c r="E51" s="7"/>
      <c r="F51" s="7"/>
      <c r="G51" s="9"/>
      <c r="H51" s="9"/>
      <c r="I51" s="9"/>
    </row>
    <row r="52" customFormat="false" ht="14.25" hidden="false" customHeight="false" outlineLevel="0" collapsed="false">
      <c r="A52" s="7"/>
      <c r="B52" s="7"/>
      <c r="C52" s="8"/>
      <c r="D52" s="7"/>
      <c r="E52" s="7"/>
      <c r="F52" s="7"/>
      <c r="G52" s="9"/>
      <c r="H52" s="9"/>
      <c r="I52" s="9"/>
    </row>
    <row r="53" customFormat="false" ht="14.25" hidden="false" customHeight="false" outlineLevel="0" collapsed="false">
      <c r="A53" s="7"/>
      <c r="B53" s="7"/>
      <c r="C53" s="8"/>
      <c r="D53" s="7"/>
      <c r="E53" s="7"/>
      <c r="F53" s="7"/>
      <c r="G53" s="9"/>
      <c r="H53" s="9"/>
      <c r="I53" s="9"/>
    </row>
    <row r="54" customFormat="false" ht="14.25" hidden="false" customHeight="false" outlineLevel="0" collapsed="false">
      <c r="A54" s="7"/>
      <c r="B54" s="7"/>
      <c r="C54" s="8"/>
      <c r="D54" s="7"/>
      <c r="E54" s="7"/>
      <c r="F54" s="7"/>
      <c r="G54" s="9"/>
      <c r="H54" s="9"/>
      <c r="I54" s="9"/>
    </row>
    <row r="55" customFormat="false" ht="14.25" hidden="false" customHeight="false" outlineLevel="0" collapsed="false">
      <c r="A55" s="7"/>
      <c r="B55" s="7"/>
      <c r="C55" s="8"/>
      <c r="D55" s="7"/>
      <c r="E55" s="7"/>
      <c r="F55" s="7"/>
      <c r="G55" s="9"/>
      <c r="H55" s="9"/>
      <c r="I55" s="9"/>
    </row>
    <row r="56" customFormat="false" ht="14.25" hidden="false" customHeight="false" outlineLevel="0" collapsed="false">
      <c r="A56" s="7"/>
      <c r="B56" s="7"/>
      <c r="C56" s="8"/>
      <c r="D56" s="7"/>
      <c r="E56" s="7"/>
      <c r="F56" s="7"/>
      <c r="G56" s="9"/>
      <c r="H56" s="9"/>
      <c r="I56" s="9"/>
    </row>
    <row r="57" customFormat="false" ht="14.25" hidden="false" customHeight="false" outlineLevel="0" collapsed="false">
      <c r="A57" s="7"/>
      <c r="B57" s="7"/>
      <c r="C57" s="8"/>
      <c r="D57" s="7"/>
      <c r="E57" s="7"/>
      <c r="F57" s="7"/>
      <c r="G57" s="9"/>
      <c r="H57" s="9"/>
      <c r="I57" s="9"/>
    </row>
    <row r="58" customFormat="false" ht="14.25" hidden="false" customHeight="false" outlineLevel="0" collapsed="false">
      <c r="A58" s="7"/>
      <c r="B58" s="7"/>
      <c r="C58" s="8"/>
      <c r="D58" s="7"/>
      <c r="E58" s="7"/>
      <c r="F58" s="7"/>
      <c r="G58" s="9"/>
      <c r="H58" s="9"/>
      <c r="I58" s="9"/>
    </row>
    <row r="59" customFormat="false" ht="14.25" hidden="false" customHeight="false" outlineLevel="0" collapsed="false">
      <c r="A59" s="7"/>
      <c r="B59" s="7"/>
      <c r="C59" s="8"/>
      <c r="D59" s="7"/>
      <c r="E59" s="7"/>
      <c r="F59" s="7"/>
      <c r="G59" s="9"/>
      <c r="H59" s="9"/>
      <c r="I59" s="9"/>
    </row>
    <row r="60" customFormat="false" ht="14.25" hidden="false" customHeight="false" outlineLevel="0" collapsed="false">
      <c r="A60" s="7"/>
      <c r="B60" s="7"/>
      <c r="C60" s="8"/>
      <c r="D60" s="7"/>
      <c r="E60" s="7"/>
      <c r="F60" s="7"/>
      <c r="G60" s="9"/>
      <c r="H60" s="9"/>
      <c r="I60" s="9"/>
    </row>
    <row r="61" customFormat="false" ht="14.25" hidden="false" customHeight="false" outlineLevel="0" collapsed="false">
      <c r="A61" s="7"/>
      <c r="B61" s="7"/>
      <c r="C61" s="8"/>
      <c r="D61" s="7"/>
      <c r="E61" s="7"/>
      <c r="F61" s="7"/>
      <c r="G61" s="9"/>
      <c r="H61" s="9"/>
      <c r="I61" s="9"/>
    </row>
    <row r="62" customFormat="false" ht="14.25" hidden="false" customHeight="false" outlineLevel="0" collapsed="false">
      <c r="D62" s="7"/>
      <c r="E62" s="7"/>
      <c r="F62" s="7"/>
      <c r="G62" s="9"/>
      <c r="H62" s="9"/>
      <c r="I62" s="9"/>
    </row>
    <row r="63" customFormat="false" ht="14.25" hidden="false" customHeight="false" outlineLevel="0" collapsed="false">
      <c r="D63" s="7"/>
      <c r="E63" s="7"/>
      <c r="F63" s="7"/>
      <c r="G63" s="9"/>
      <c r="H63" s="9"/>
      <c r="I63" s="9"/>
    </row>
    <row r="64" customFormat="false" ht="14.25" hidden="false" customHeight="false" outlineLevel="0" collapsed="false">
      <c r="D64" s="7"/>
      <c r="E64" s="7"/>
      <c r="F64" s="7"/>
      <c r="G64" s="9"/>
      <c r="H64" s="9"/>
      <c r="I64" s="9"/>
    </row>
    <row r="65" customFormat="false" ht="14.25" hidden="false" customHeight="false" outlineLevel="0" collapsed="false">
      <c r="D65" s="7"/>
      <c r="E65" s="7"/>
      <c r="F65" s="7"/>
      <c r="G65" s="9"/>
      <c r="H65" s="9"/>
      <c r="I65" s="9"/>
    </row>
    <row r="66" customFormat="false" ht="14.25" hidden="false" customHeight="false" outlineLevel="0" collapsed="false">
      <c r="D66" s="7"/>
      <c r="E66" s="7"/>
      <c r="F66" s="7"/>
      <c r="G66" s="9"/>
      <c r="H66" s="9"/>
      <c r="I66" s="9"/>
    </row>
    <row r="67" customFormat="false" ht="14.25" hidden="false" customHeight="false" outlineLevel="0" collapsed="false">
      <c r="D67" s="7"/>
      <c r="E67" s="7"/>
      <c r="F67" s="7"/>
      <c r="G67" s="9"/>
      <c r="H67" s="9"/>
      <c r="I67" s="9"/>
    </row>
    <row r="68" customFormat="false" ht="14.25" hidden="false" customHeight="false" outlineLevel="0" collapsed="false">
      <c r="D68" s="7"/>
      <c r="E68" s="7"/>
      <c r="F68" s="7"/>
      <c r="G68" s="9"/>
      <c r="H68" s="9"/>
      <c r="I68" s="9"/>
    </row>
    <row r="69" customFormat="false" ht="14.25" hidden="false" customHeight="false" outlineLevel="0" collapsed="false">
      <c r="D69" s="7"/>
      <c r="E69" s="7"/>
      <c r="F69" s="7"/>
      <c r="G69" s="9"/>
      <c r="H69" s="9"/>
      <c r="I69" s="9"/>
    </row>
  </sheetData>
  <mergeCells count="1">
    <mergeCell ref="A11:B11"/>
  </mergeCells>
  <printOptions headings="false" gridLines="false" gridLinesSet="true" horizontalCentered="false" verticalCentered="false"/>
  <pageMargins left="0.540277777777778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V9" activeCellId="0" sqref="V9:V2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80" width="13.7"/>
    <col collapsed="false" customWidth="true" hidden="false" outlineLevel="0" max="2" min="2" style="81" width="2.7"/>
    <col collapsed="false" customWidth="true" hidden="false" outlineLevel="0" max="3" min="3" style="81" width="26.28"/>
    <col collapsed="false" customWidth="true" hidden="false" outlineLevel="0" max="4" min="4" style="81" width="2.7"/>
    <col collapsed="false" customWidth="true" hidden="false" outlineLevel="0" max="5" min="5" style="81" width="15.85"/>
    <col collapsed="false" customWidth="true" hidden="false" outlineLevel="0" max="6" min="6" style="81" width="14.28"/>
    <col collapsed="false" customWidth="true" hidden="false" outlineLevel="0" max="7" min="7" style="81" width="11.7"/>
    <col collapsed="false" customWidth="true" hidden="true" outlineLevel="0" max="8" min="8" style="81" width="5.13"/>
    <col collapsed="false" customWidth="true" hidden="true" outlineLevel="0" max="9" min="9" style="81" width="16.42"/>
    <col collapsed="false" customWidth="true" hidden="true" outlineLevel="0" max="10" min="10" style="81" width="14.14"/>
    <col collapsed="false" customWidth="true" hidden="true" outlineLevel="0" max="11" min="11" style="81" width="11.7"/>
    <col collapsed="false" customWidth="true" hidden="true" outlineLevel="0" max="12" min="12" style="81" width="2.7"/>
    <col collapsed="false" customWidth="true" hidden="true" outlineLevel="0" max="13" min="13" style="81" width="16.42"/>
    <col collapsed="false" customWidth="true" hidden="true" outlineLevel="0" max="14" min="14" style="81" width="13.28"/>
    <col collapsed="false" customWidth="true" hidden="true" outlineLevel="0" max="15" min="15" style="81" width="11.7"/>
    <col collapsed="false" customWidth="true" hidden="true" outlineLevel="0" max="16" min="16" style="81" width="2.7"/>
    <col collapsed="false" customWidth="true" hidden="true" outlineLevel="0" max="17" min="17" style="81" width="16.42"/>
    <col collapsed="false" customWidth="true" hidden="true" outlineLevel="0" max="18" min="18" style="81" width="13.28"/>
    <col collapsed="false" customWidth="true" hidden="true" outlineLevel="0" max="19" min="19" style="81" width="11.7"/>
    <col collapsed="false" customWidth="true" hidden="true" outlineLevel="0" max="20" min="20" style="81" width="2.7"/>
    <col collapsed="false" customWidth="true" hidden="true" outlineLevel="0" max="21" min="21" style="81" width="14.7"/>
    <col collapsed="false" customWidth="true" hidden="true" outlineLevel="0" max="22" min="22" style="81" width="13.99"/>
    <col collapsed="false" customWidth="true" hidden="true" outlineLevel="0" max="23" min="23" style="81" width="11.7"/>
    <col collapsed="false" customWidth="true" hidden="true" outlineLevel="0" max="24" min="24" style="81" width="2.7"/>
    <col collapsed="false" customWidth="true" hidden="true" outlineLevel="0" max="25" min="25" style="81" width="15.41"/>
    <col collapsed="false" customWidth="true" hidden="true" outlineLevel="0" max="26" min="26" style="81" width="14.14"/>
    <col collapsed="false" customWidth="true" hidden="true" outlineLevel="0" max="27" min="27" style="81" width="15.7"/>
    <col collapsed="false" customWidth="true" hidden="true" outlineLevel="0" max="28" min="28" style="81" width="2.7"/>
    <col collapsed="false" customWidth="true" hidden="true" outlineLevel="0" max="29" min="29" style="81" width="15.41"/>
    <col collapsed="false" customWidth="true" hidden="true" outlineLevel="0" max="30" min="30" style="81" width="14.14"/>
    <col collapsed="false" customWidth="true" hidden="true" outlineLevel="0" max="31" min="31" style="81" width="15.7"/>
    <col collapsed="false" customWidth="true" hidden="true" outlineLevel="0" max="32" min="32" style="81" width="2.7"/>
    <col collapsed="false" customWidth="true" hidden="true" outlineLevel="0" max="33" min="33" style="81" width="14.85"/>
    <col collapsed="false" customWidth="true" hidden="true" outlineLevel="0" max="34" min="34" style="81" width="16.7"/>
    <col collapsed="false" customWidth="true" hidden="true" outlineLevel="0" max="35" min="35" style="81" width="14.28"/>
    <col collapsed="false" customWidth="true" hidden="true" outlineLevel="0" max="36" min="36" style="81" width="14.85"/>
    <col collapsed="false" customWidth="true" hidden="true" outlineLevel="0" max="39" min="37" style="81" width="9.06"/>
    <col collapsed="false" customWidth="false" hidden="false" outlineLevel="0" max="257" min="40" style="81" width="9.14"/>
  </cols>
  <sheetData>
    <row r="1" customFormat="false" ht="15" hidden="false" customHeight="false" outlineLevel="0" collapsed="false">
      <c r="A1" s="82" t="s">
        <v>35</v>
      </c>
      <c r="B1" s="83"/>
      <c r="C1" s="84" t="n">
        <v>36220</v>
      </c>
    </row>
    <row r="2" customFormat="false" ht="15.75" hidden="false" customHeight="false" outlineLevel="0" collapsed="false">
      <c r="A2" s="85" t="s">
        <v>36</v>
      </c>
      <c r="B2" s="86"/>
      <c r="C2" s="87" t="n">
        <v>36161</v>
      </c>
    </row>
    <row r="4" customFormat="false" ht="15" hidden="false" customHeight="false" outlineLevel="0" collapsed="false">
      <c r="E4" s="88" t="s">
        <v>37</v>
      </c>
      <c r="I4" s="88" t="s">
        <v>38</v>
      </c>
      <c r="M4" s="88" t="s">
        <v>39</v>
      </c>
      <c r="Q4" s="88" t="s">
        <v>40</v>
      </c>
      <c r="U4" s="88" t="s">
        <v>41</v>
      </c>
      <c r="Y4" s="88" t="s">
        <v>42</v>
      </c>
      <c r="AC4" s="88" t="s">
        <v>43</v>
      </c>
    </row>
    <row r="5" customFormat="false" ht="15" hidden="false" customHeight="false" outlineLevel="0" collapsed="false">
      <c r="A5" s="89" t="s">
        <v>44</v>
      </c>
      <c r="C5" s="90" t="s">
        <v>45</v>
      </c>
      <c r="E5" s="91" t="s">
        <v>46</v>
      </c>
      <c r="F5" s="91"/>
      <c r="G5" s="91"/>
      <c r="I5" s="91" t="s">
        <v>47</v>
      </c>
      <c r="J5" s="91"/>
      <c r="K5" s="91"/>
      <c r="M5" s="91" t="s">
        <v>48</v>
      </c>
      <c r="N5" s="91"/>
      <c r="O5" s="91"/>
      <c r="Q5" s="91" t="s">
        <v>49</v>
      </c>
      <c r="R5" s="91"/>
      <c r="S5" s="91"/>
      <c r="U5" s="91" t="s">
        <v>50</v>
      </c>
      <c r="V5" s="91"/>
      <c r="W5" s="91"/>
      <c r="Y5" s="91" t="s">
        <v>51</v>
      </c>
      <c r="Z5" s="91"/>
      <c r="AA5" s="91"/>
      <c r="AC5" s="91" t="s">
        <v>52</v>
      </c>
      <c r="AD5" s="91"/>
      <c r="AE5" s="91"/>
      <c r="AG5" s="91" t="s">
        <v>53</v>
      </c>
      <c r="AH5" s="91"/>
      <c r="AI5" s="91"/>
    </row>
    <row r="6" customFormat="false" ht="15" hidden="false" customHeight="false" outlineLevel="0" collapsed="false">
      <c r="A6" s="92" t="s">
        <v>54</v>
      </c>
      <c r="C6" s="93" t="s">
        <v>55</v>
      </c>
      <c r="E6" s="94" t="s">
        <v>56</v>
      </c>
      <c r="F6" s="95" t="s">
        <v>57</v>
      </c>
      <c r="G6" s="96" t="s">
        <v>58</v>
      </c>
      <c r="I6" s="94" t="s">
        <v>56</v>
      </c>
      <c r="J6" s="95" t="s">
        <v>57</v>
      </c>
      <c r="K6" s="96" t="s">
        <v>58</v>
      </c>
      <c r="M6" s="94" t="s">
        <v>56</v>
      </c>
      <c r="N6" s="95" t="s">
        <v>57</v>
      </c>
      <c r="O6" s="96" t="s">
        <v>58</v>
      </c>
      <c r="Q6" s="94" t="s">
        <v>56</v>
      </c>
      <c r="R6" s="95" t="s">
        <v>57</v>
      </c>
      <c r="S6" s="96" t="s">
        <v>58</v>
      </c>
      <c r="U6" s="94" t="s">
        <v>56</v>
      </c>
      <c r="V6" s="95" t="s">
        <v>57</v>
      </c>
      <c r="W6" s="96" t="s">
        <v>58</v>
      </c>
      <c r="Y6" s="94" t="s">
        <v>56</v>
      </c>
      <c r="Z6" s="95" t="s">
        <v>57</v>
      </c>
      <c r="AA6" s="96" t="s">
        <v>58</v>
      </c>
      <c r="AC6" s="94" t="s">
        <v>56</v>
      </c>
      <c r="AD6" s="95" t="s">
        <v>57</v>
      </c>
      <c r="AE6" s="96" t="s">
        <v>58</v>
      </c>
      <c r="AG6" s="94" t="s">
        <v>56</v>
      </c>
      <c r="AH6" s="95" t="s">
        <v>57</v>
      </c>
      <c r="AI6" s="96" t="s">
        <v>58</v>
      </c>
      <c r="AK6" s="81" t="s">
        <v>59</v>
      </c>
      <c r="AL6" s="81" t="s">
        <v>60</v>
      </c>
    </row>
    <row r="7" customFormat="false" ht="3" hidden="false" customHeight="true" outlineLevel="0" collapsed="false"/>
    <row r="8" customFormat="false" ht="15" hidden="false" customHeight="false" outlineLevel="0" collapsed="false">
      <c r="A8" s="80" t="n">
        <v>969</v>
      </c>
      <c r="C8" s="81" t="s">
        <v>61</v>
      </c>
      <c r="E8" s="97"/>
      <c r="F8" s="97" t="n">
        <v>12.134583563155</v>
      </c>
      <c r="G8" s="97" t="n">
        <f aca="false">SUM(E8:F8)</f>
        <v>12.134583563155</v>
      </c>
      <c r="H8" s="97"/>
      <c r="I8" s="98" t="n">
        <v>0</v>
      </c>
      <c r="J8" s="97"/>
      <c r="K8" s="97" t="n">
        <f aca="false">SUM(I8:J8)</f>
        <v>0</v>
      </c>
      <c r="L8" s="97"/>
      <c r="M8" s="98" t="n">
        <f aca="false">36088-28752</f>
        <v>7336</v>
      </c>
      <c r="N8" s="97" t="n">
        <f aca="false">(M8/M$25)*N$25</f>
        <v>497.741150956549</v>
      </c>
      <c r="O8" s="97" t="n">
        <f aca="false">SUM(M8:N8)</f>
        <v>7833.74115095655</v>
      </c>
      <c r="P8" s="97"/>
      <c r="Q8" s="98"/>
      <c r="R8" s="97" t="n">
        <v>644.025899983151</v>
      </c>
      <c r="S8" s="97" t="n">
        <f aca="false">SUM(Q8:R8)</f>
        <v>644.025899983151</v>
      </c>
      <c r="T8" s="97"/>
      <c r="U8" s="98" t="n">
        <v>0</v>
      </c>
      <c r="V8" s="97" t="n">
        <v>0</v>
      </c>
      <c r="W8" s="97" t="n">
        <f aca="false">U8+V8</f>
        <v>0</v>
      </c>
      <c r="X8" s="97"/>
      <c r="Y8" s="98" t="n">
        <f aca="false">27228-13444</f>
        <v>13784</v>
      </c>
      <c r="Z8" s="99" t="n">
        <f aca="false">(Y8/Y$25)*Z$25</f>
        <v>793.069785308805</v>
      </c>
      <c r="AA8" s="97" t="n">
        <f aca="false">SUM(Y8:Z8)</f>
        <v>14577.0697853088</v>
      </c>
      <c r="AC8" s="97"/>
      <c r="AD8" s="99" t="n">
        <v>2362.95026671603</v>
      </c>
      <c r="AE8" s="97" t="n">
        <f aca="false">SUM(AC8:AD8)</f>
        <v>2362.95026671603</v>
      </c>
      <c r="AG8" s="100" t="n">
        <f aca="false">E8+I8+Q8+U8+Y8+M8+AC8</f>
        <v>21120</v>
      </c>
      <c r="AH8" s="100" t="n">
        <f aca="false">F8+J8+R8+V8+Z8+N8+AD8</f>
        <v>4309.92168652769</v>
      </c>
      <c r="AI8" s="100" t="n">
        <f aca="false">G8+K8+S8+W8+AA8+O8+AE8</f>
        <v>25429.9216865277</v>
      </c>
      <c r="AK8" s="101" t="n">
        <v>5</v>
      </c>
      <c r="AP8" s="80" t="n">
        <v>969</v>
      </c>
      <c r="AQ8" s="102"/>
      <c r="AR8" s="103" t="n">
        <v>14</v>
      </c>
    </row>
    <row r="9" customFormat="false" ht="15" hidden="false" customHeight="false" outlineLevel="0" collapsed="false">
      <c r="A9" s="80" t="n">
        <v>912</v>
      </c>
      <c r="C9" s="81" t="s">
        <v>62</v>
      </c>
      <c r="E9" s="97"/>
      <c r="F9" s="97" t="n">
        <v>0</v>
      </c>
      <c r="G9" s="97" t="n">
        <f aca="false">SUM(E9:F9)</f>
        <v>0</v>
      </c>
      <c r="H9" s="97"/>
      <c r="I9" s="98"/>
      <c r="J9" s="97" t="n">
        <v>288.624658181031</v>
      </c>
      <c r="K9" s="97" t="n">
        <f aca="false">SUM(I9:J9)</f>
        <v>288.624658181031</v>
      </c>
      <c r="L9" s="97"/>
      <c r="M9" s="98" t="n">
        <v>0</v>
      </c>
      <c r="N9" s="97" t="n">
        <f aca="false">(M9/M$25)*N$25</f>
        <v>0</v>
      </c>
      <c r="O9" s="97" t="n">
        <f aca="false">SUM(M9:N9)</f>
        <v>0</v>
      </c>
      <c r="P9" s="97"/>
      <c r="Q9" s="98"/>
      <c r="R9" s="97" t="n">
        <v>133.404121577244</v>
      </c>
      <c r="S9" s="97" t="n">
        <f aca="false">SUM(Q9:R9)</f>
        <v>133.404121577244</v>
      </c>
      <c r="T9" s="97"/>
      <c r="U9" s="98"/>
      <c r="V9" s="97" t="n">
        <v>0</v>
      </c>
      <c r="W9" s="97" t="n">
        <f aca="false">SUM(U9:V9)</f>
        <v>0</v>
      </c>
      <c r="X9" s="97"/>
      <c r="Y9" s="98"/>
      <c r="Z9" s="99" t="n">
        <f aca="false">(Y9/Y$25)*Z$25</f>
        <v>0</v>
      </c>
      <c r="AA9" s="97" t="n">
        <f aca="false">SUM(Y9:Z9)</f>
        <v>0</v>
      </c>
      <c r="AC9" s="97"/>
      <c r="AD9" s="99" t="n">
        <v>1100.69054426526</v>
      </c>
      <c r="AE9" s="97" t="n">
        <f aca="false">SUM(AC9:AD9)</f>
        <v>1100.69054426526</v>
      </c>
      <c r="AG9" s="100" t="n">
        <f aca="false">E9+I9+Q9+U9+Y9+M9+AC9</f>
        <v>0</v>
      </c>
      <c r="AH9" s="100" t="n">
        <f aca="false">F9+J9+R9+V9+Z9+N9+AD9</f>
        <v>1522.71932402354</v>
      </c>
      <c r="AI9" s="100" t="n">
        <f aca="false">G9+K9+S9+W9+AA9+O9+AE9</f>
        <v>1522.71932402354</v>
      </c>
      <c r="AK9" s="101" t="n">
        <v>0</v>
      </c>
      <c r="AP9" s="80" t="n">
        <v>912</v>
      </c>
      <c r="AQ9" s="102"/>
      <c r="AR9" s="103"/>
    </row>
    <row r="10" customFormat="false" ht="15" hidden="false" customHeight="false" outlineLevel="0" collapsed="false">
      <c r="A10" s="80" t="s">
        <v>63</v>
      </c>
      <c r="C10" s="81" t="s">
        <v>64</v>
      </c>
      <c r="E10" s="97"/>
      <c r="F10" s="97" t="n">
        <v>211.869829012686</v>
      </c>
      <c r="G10" s="97" t="n">
        <f aca="false">SUM(E10:F10)</f>
        <v>211.869829012686</v>
      </c>
      <c r="H10" s="97"/>
      <c r="I10" s="98"/>
      <c r="J10" s="97" t="n">
        <v>52.7599693100667</v>
      </c>
      <c r="K10" s="97" t="n">
        <f aca="false">SUM(I10:J10)</f>
        <v>52.7599693100667</v>
      </c>
      <c r="L10" s="97"/>
      <c r="M10" s="98" t="n">
        <v>0</v>
      </c>
      <c r="N10" s="97" t="n">
        <f aca="false">(M10/M$25)*N$25</f>
        <v>0</v>
      </c>
      <c r="O10" s="97" t="n">
        <f aca="false">SUM(M10:N10)</f>
        <v>0</v>
      </c>
      <c r="P10" s="97"/>
      <c r="Q10" s="98"/>
      <c r="R10" s="97" t="n">
        <v>384.22432438938</v>
      </c>
      <c r="S10" s="97" t="n">
        <f aca="false">SUM(Q10:R10)</f>
        <v>384.22432438938</v>
      </c>
      <c r="T10" s="97"/>
      <c r="U10" s="98" t="n">
        <v>0</v>
      </c>
      <c r="V10" s="97" t="n">
        <v>83</v>
      </c>
      <c r="W10" s="97" t="n">
        <f aca="false">SUM(U10:V10)</f>
        <v>83</v>
      </c>
      <c r="X10" s="97"/>
      <c r="Y10" s="98"/>
      <c r="Z10" s="99" t="n">
        <f aca="false">(Y10/Y$25)*Z$25</f>
        <v>0</v>
      </c>
      <c r="AA10" s="97" t="n">
        <f aca="false">SUM(Y10:Z10)</f>
        <v>0</v>
      </c>
      <c r="AC10" s="97"/>
      <c r="AD10" s="99" t="n">
        <v>166.002200921507</v>
      </c>
      <c r="AE10" s="97" t="n">
        <f aca="false">SUM(AC10:AD10)</f>
        <v>166.002200921507</v>
      </c>
      <c r="AG10" s="100" t="n">
        <f aca="false">E10+I10+Q10+U10+Y10+M10+AC10</f>
        <v>0</v>
      </c>
      <c r="AH10" s="100" t="n">
        <f aca="false">F10+J10+R10+V10+Z10+N10+AD10</f>
        <v>897.85632363364</v>
      </c>
      <c r="AI10" s="100" t="n">
        <f aca="false">G10+K10+S10+W10+AA10+O10+AE10</f>
        <v>897.85632363364</v>
      </c>
      <c r="AK10" s="101" t="n">
        <v>87.3</v>
      </c>
      <c r="AP10" s="80" t="s">
        <v>63</v>
      </c>
      <c r="AQ10" s="102"/>
      <c r="AR10" s="104" t="n">
        <v>1</v>
      </c>
    </row>
    <row r="11" customFormat="false" ht="15" hidden="false" customHeight="false" outlineLevel="0" collapsed="false">
      <c r="A11" s="80" t="s">
        <v>65</v>
      </c>
      <c r="C11" s="81" t="s">
        <v>66</v>
      </c>
      <c r="E11" s="97"/>
      <c r="F11" s="97" t="n">
        <v>60.672917815775</v>
      </c>
      <c r="G11" s="97" t="n">
        <f aca="false">SUM(E11:F11)</f>
        <v>60.672917815775</v>
      </c>
      <c r="H11" s="97"/>
      <c r="I11" s="98"/>
      <c r="J11" s="97" t="n">
        <v>0</v>
      </c>
      <c r="K11" s="97" t="n">
        <f aca="false">SUM(I11:J11)</f>
        <v>0</v>
      </c>
      <c r="L11" s="97"/>
      <c r="M11" s="98" t="n">
        <f aca="false">27427-21852</f>
        <v>5575</v>
      </c>
      <c r="N11" s="97" t="n">
        <f aca="false">(M11/M$25)*N$25</f>
        <v>378.258849043451</v>
      </c>
      <c r="O11" s="97" t="n">
        <f aca="false">SUM(M11:N11)</f>
        <v>5953.25884904345</v>
      </c>
      <c r="P11" s="97"/>
      <c r="Q11" s="98"/>
      <c r="R11" s="97" t="n">
        <v>0</v>
      </c>
      <c r="S11" s="97" t="n">
        <f aca="false">SUM(Q11:R11)</f>
        <v>0</v>
      </c>
      <c r="T11" s="97"/>
      <c r="U11" s="98" t="n">
        <v>0</v>
      </c>
      <c r="V11" s="97" t="n">
        <v>0</v>
      </c>
      <c r="W11" s="97" t="n">
        <f aca="false">U11+V11</f>
        <v>0</v>
      </c>
      <c r="X11" s="97"/>
      <c r="Y11" s="98"/>
      <c r="Z11" s="99" t="n">
        <f aca="false">(Y11/Y$25)*Z$25</f>
        <v>0</v>
      </c>
      <c r="AA11" s="97" t="n">
        <f aca="false">SUM(Y11:Z11)</f>
        <v>0</v>
      </c>
      <c r="AC11" s="97"/>
      <c r="AD11" s="99" t="n">
        <v>2198.02524888925</v>
      </c>
      <c r="AE11" s="97" t="n">
        <f aca="false">SUM(AC11:AD11)</f>
        <v>2198.02524888925</v>
      </c>
      <c r="AG11" s="100" t="n">
        <f aca="false">E11+I11+Q11+U11+Y11+M11+AC11</f>
        <v>5575</v>
      </c>
      <c r="AH11" s="100" t="n">
        <f aca="false">F11+J11+R11+V11+Z11+N11+AD11</f>
        <v>2636.95701574848</v>
      </c>
      <c r="AI11" s="100" t="n">
        <f aca="false">G11+K11+S11+W11+AA11+O11+AE11</f>
        <v>8211.95701574848</v>
      </c>
      <c r="AK11" s="101" t="n">
        <v>25</v>
      </c>
      <c r="AP11" s="80" t="s">
        <v>65</v>
      </c>
      <c r="AQ11" s="102"/>
      <c r="AR11" s="104" t="n">
        <v>25</v>
      </c>
    </row>
    <row r="12" customFormat="false" ht="15" hidden="false" customHeight="false" outlineLevel="0" collapsed="false">
      <c r="A12" s="80" t="s">
        <v>67</v>
      </c>
      <c r="C12" s="81" t="s">
        <v>68</v>
      </c>
      <c r="E12" s="97"/>
      <c r="F12" s="97" t="n">
        <v>46.111417539989</v>
      </c>
      <c r="G12" s="97" t="n">
        <f aca="false">SUM(E12:F12)</f>
        <v>46.111417539989</v>
      </c>
      <c r="H12" s="97"/>
      <c r="I12" s="98"/>
      <c r="J12" s="97" t="n">
        <v>0</v>
      </c>
      <c r="K12" s="97" t="n">
        <f aca="false">SUM(I12:J12)</f>
        <v>0</v>
      </c>
      <c r="L12" s="97"/>
      <c r="M12" s="98" t="n">
        <v>0</v>
      </c>
      <c r="N12" s="97" t="n">
        <f aca="false">(M12/M$25)*N$25</f>
        <v>0</v>
      </c>
      <c r="O12" s="97" t="n">
        <f aca="false">SUM(M12:N12)</f>
        <v>0</v>
      </c>
      <c r="P12" s="97"/>
      <c r="Q12" s="98"/>
      <c r="R12" s="97" t="n">
        <v>0</v>
      </c>
      <c r="S12" s="97" t="n">
        <f aca="false">SUM(Q12:R12)</f>
        <v>0</v>
      </c>
      <c r="T12" s="97"/>
      <c r="U12" s="98" t="n">
        <v>0</v>
      </c>
      <c r="V12" s="97" t="n">
        <v>0</v>
      </c>
      <c r="W12" s="97" t="n">
        <f aca="false">U12+V12</f>
        <v>0</v>
      </c>
      <c r="X12" s="97"/>
      <c r="Y12" s="98"/>
      <c r="Z12" s="99" t="n">
        <f aca="false">(Y12/Y$25)*Z$25</f>
        <v>0</v>
      </c>
      <c r="AA12" s="97" t="n">
        <f aca="false">SUM(Y12:Z12)</f>
        <v>0</v>
      </c>
      <c r="AC12" s="97"/>
      <c r="AD12" s="99" t="n">
        <v>0</v>
      </c>
      <c r="AE12" s="97" t="n">
        <f aca="false">SUM(AC12:AD12)</f>
        <v>0</v>
      </c>
      <c r="AG12" s="100" t="n">
        <f aca="false">E12+I12+Q12+U12+Y12+M12+AC12</f>
        <v>0</v>
      </c>
      <c r="AH12" s="100" t="n">
        <f aca="false">F12+J12+R12+V12+Z12+N12+AD12</f>
        <v>46.111417539989</v>
      </c>
      <c r="AI12" s="100" t="n">
        <f aca="false">G12+K12+S12+W12+AA12+O12+AE12</f>
        <v>46.111417539989</v>
      </c>
      <c r="AK12" s="101" t="n">
        <f aca="false">16+3</f>
        <v>19</v>
      </c>
      <c r="AP12" s="80" t="s">
        <v>67</v>
      </c>
      <c r="AQ12" s="102"/>
      <c r="AR12" s="104" t="n">
        <f aca="false">86-1+0.65+1</f>
        <v>86.65</v>
      </c>
    </row>
    <row r="13" customFormat="false" ht="15" hidden="false" customHeight="false" outlineLevel="0" collapsed="false">
      <c r="A13" s="80" t="n">
        <v>985</v>
      </c>
      <c r="C13" s="81" t="s">
        <v>69</v>
      </c>
      <c r="E13" s="97"/>
      <c r="F13" s="97" t="n">
        <v>87.3690016547159</v>
      </c>
      <c r="G13" s="97" t="n">
        <f aca="false">SUM(E13:F13)</f>
        <v>87.3690016547159</v>
      </c>
      <c r="H13" s="97"/>
      <c r="I13" s="98"/>
      <c r="J13" s="97" t="n">
        <v>0</v>
      </c>
      <c r="K13" s="97" t="n">
        <f aca="false">SUM(I13:J13)</f>
        <v>0</v>
      </c>
      <c r="L13" s="97"/>
      <c r="M13" s="98" t="n">
        <v>0</v>
      </c>
      <c r="N13" s="97" t="n">
        <f aca="false">(M13/M$25)*N$25</f>
        <v>0</v>
      </c>
      <c r="O13" s="97" t="n">
        <f aca="false">SUM(M13:N13)</f>
        <v>0</v>
      </c>
      <c r="P13" s="97"/>
      <c r="Q13" s="98"/>
      <c r="R13" s="97" t="n">
        <v>0</v>
      </c>
      <c r="S13" s="97" t="n">
        <f aca="false">SUM(Q13:R13)</f>
        <v>0</v>
      </c>
      <c r="T13" s="97"/>
      <c r="U13" s="98" t="n">
        <v>0</v>
      </c>
      <c r="V13" s="97" t="n">
        <v>0</v>
      </c>
      <c r="W13" s="97" t="n">
        <f aca="false">U13+V13</f>
        <v>0</v>
      </c>
      <c r="X13" s="97"/>
      <c r="Y13" s="98" t="n">
        <f aca="false">5826-2876</f>
        <v>2950</v>
      </c>
      <c r="Z13" s="99" t="n">
        <f aca="false">(Y13/Y$25)*Z$25</f>
        <v>169.729822015451</v>
      </c>
      <c r="AA13" s="97" t="n">
        <f aca="false">SUM(Y13:Z13)</f>
        <v>3119.72982201545</v>
      </c>
      <c r="AC13" s="97"/>
      <c r="AD13" s="99" t="n">
        <v>33.7489749602326</v>
      </c>
      <c r="AE13" s="97" t="n">
        <f aca="false">SUM(AC13:AD13)</f>
        <v>33.7489749602326</v>
      </c>
      <c r="AG13" s="100" t="n">
        <f aca="false">E13+I13+Q13+U13+Y13+M13+AC13</f>
        <v>2950</v>
      </c>
      <c r="AH13" s="100" t="n">
        <f aca="false">F13+J13+R13+V13+Z13+N13+AD13</f>
        <v>290.847798630399</v>
      </c>
      <c r="AI13" s="100" t="n">
        <f aca="false">G13+K13+S13+W13+AA13+O13+AE13</f>
        <v>3240.8477986304</v>
      </c>
      <c r="AK13" s="101" t="n">
        <v>36</v>
      </c>
      <c r="AP13" s="80" t="n">
        <v>985</v>
      </c>
      <c r="AQ13" s="102"/>
      <c r="AR13" s="104" t="n">
        <f aca="false">18-2+1+1</f>
        <v>18</v>
      </c>
    </row>
    <row r="14" customFormat="false" ht="15.75" hidden="false" customHeight="true" outlineLevel="0" collapsed="false">
      <c r="A14" s="105" t="s">
        <v>70</v>
      </c>
      <c r="C14" s="81" t="s">
        <v>71</v>
      </c>
      <c r="E14" s="97"/>
      <c r="F14" s="97" t="n">
        <v>0</v>
      </c>
      <c r="G14" s="97" t="n">
        <f aca="false">SUM(E14:F14)</f>
        <v>0</v>
      </c>
      <c r="H14" s="97"/>
      <c r="I14" s="98"/>
      <c r="J14" s="97" t="n">
        <v>0</v>
      </c>
      <c r="K14" s="97" t="n">
        <f aca="false">SUM(I14:J14)</f>
        <v>0</v>
      </c>
      <c r="L14" s="97"/>
      <c r="M14" s="98" t="n">
        <v>0</v>
      </c>
      <c r="N14" s="97" t="n">
        <f aca="false">(M14/M$25)*N$25</f>
        <v>0</v>
      </c>
      <c r="O14" s="97" t="n">
        <f aca="false">SUM(M14:N14)</f>
        <v>0</v>
      </c>
      <c r="P14" s="97"/>
      <c r="Q14" s="98"/>
      <c r="R14" s="97" t="n">
        <v>0</v>
      </c>
      <c r="S14" s="97" t="n">
        <f aca="false">SUM(Q14:R14)</f>
        <v>0</v>
      </c>
      <c r="T14" s="97"/>
      <c r="U14" s="98" t="n">
        <v>0</v>
      </c>
      <c r="V14" s="97" t="n">
        <v>0</v>
      </c>
      <c r="W14" s="97" t="n">
        <f aca="false">U14+V14</f>
        <v>0</v>
      </c>
      <c r="X14" s="97"/>
      <c r="Y14" s="98" t="n">
        <v>0</v>
      </c>
      <c r="Z14" s="99" t="n">
        <f aca="false">(Y14/Y$25)*Z$25</f>
        <v>0</v>
      </c>
      <c r="AA14" s="97" t="n">
        <f aca="false">SUM(Y14:Z14)</f>
        <v>0</v>
      </c>
      <c r="AC14" s="97"/>
      <c r="AD14" s="99" t="n">
        <v>0</v>
      </c>
      <c r="AE14" s="97" t="n">
        <f aca="false">SUM(AC14:AD14)</f>
        <v>0</v>
      </c>
      <c r="AG14" s="100" t="n">
        <f aca="false">E14+I14+Q14+U14+Y14+M14+AC14</f>
        <v>0</v>
      </c>
      <c r="AH14" s="100" t="n">
        <f aca="false">F14+J14+R14+V14+Z14+N14+AD14</f>
        <v>0</v>
      </c>
      <c r="AI14" s="100" t="n">
        <f aca="false">G14+K14+S14+W14+AA14+O14+AE14</f>
        <v>0</v>
      </c>
      <c r="AK14" s="101" t="n">
        <v>0</v>
      </c>
      <c r="AP14" s="105" t="s">
        <v>70</v>
      </c>
      <c r="AQ14" s="102"/>
      <c r="AR14" s="104" t="n">
        <v>36</v>
      </c>
    </row>
    <row r="15" customFormat="false" ht="15" hidden="false" customHeight="false" outlineLevel="0" collapsed="false">
      <c r="A15" s="80" t="n">
        <v>119</v>
      </c>
      <c r="C15" s="81" t="s">
        <v>72</v>
      </c>
      <c r="E15" s="97"/>
      <c r="F15" s="97" t="n">
        <v>0</v>
      </c>
      <c r="G15" s="97" t="n">
        <f aca="false">SUM(E15:F15)</f>
        <v>0</v>
      </c>
      <c r="H15" s="97"/>
      <c r="I15" s="98"/>
      <c r="J15" s="97" t="n">
        <v>0</v>
      </c>
      <c r="K15" s="97" t="n">
        <f aca="false">SUM(I15:J15)</f>
        <v>0</v>
      </c>
      <c r="L15" s="97"/>
      <c r="M15" s="98" t="n">
        <v>0</v>
      </c>
      <c r="N15" s="97" t="n">
        <f aca="false">(M15/M$25)*N$25</f>
        <v>0</v>
      </c>
      <c r="O15" s="97" t="n">
        <f aca="false">SUM(M15:N15)</f>
        <v>0</v>
      </c>
      <c r="P15" s="97"/>
      <c r="Q15" s="98"/>
      <c r="R15" s="97" t="n">
        <v>0</v>
      </c>
      <c r="S15" s="97" t="n">
        <f aca="false">SUM(Q15:R15)</f>
        <v>0</v>
      </c>
      <c r="T15" s="97"/>
      <c r="U15" s="98" t="n">
        <v>0</v>
      </c>
      <c r="V15" s="97" t="n">
        <v>0</v>
      </c>
      <c r="W15" s="97" t="n">
        <f aca="false">U15+V15</f>
        <v>0</v>
      </c>
      <c r="X15" s="97"/>
      <c r="Y15" s="98" t="n">
        <v>0</v>
      </c>
      <c r="Z15" s="99" t="n">
        <f aca="false">(Y15/Y$25)*Z$25</f>
        <v>0</v>
      </c>
      <c r="AA15" s="97" t="n">
        <f aca="false">SUM(Y15:Z15)</f>
        <v>0</v>
      </c>
      <c r="AC15" s="97"/>
      <c r="AD15" s="99" t="n">
        <v>0</v>
      </c>
      <c r="AE15" s="97" t="n">
        <f aca="false">SUM(AC15:AD15)</f>
        <v>0</v>
      </c>
      <c r="AG15" s="100" t="n">
        <f aca="false">E15+I15+Q15+U15+Y15+M15+AC15</f>
        <v>0</v>
      </c>
      <c r="AH15" s="100" t="n">
        <f aca="false">F15+J15+R15+V15+Z15+N15+AD15</f>
        <v>0</v>
      </c>
      <c r="AI15" s="100" t="n">
        <f aca="false">G15+K15+S15+W15+AA15+O15+AE15</f>
        <v>0</v>
      </c>
      <c r="AK15" s="101"/>
      <c r="AP15" s="80" t="n">
        <v>119</v>
      </c>
      <c r="AQ15" s="102"/>
      <c r="AR15" s="104"/>
    </row>
    <row r="16" customFormat="false" ht="15" hidden="false" customHeight="false" outlineLevel="0" collapsed="false">
      <c r="A16" s="80" t="n">
        <v>912</v>
      </c>
      <c r="C16" s="81" t="s">
        <v>73</v>
      </c>
      <c r="E16" s="97"/>
      <c r="F16" s="97" t="n">
        <v>0</v>
      </c>
      <c r="G16" s="97" t="n">
        <f aca="false">SUM(E16:F16)</f>
        <v>0</v>
      </c>
      <c r="H16" s="97"/>
      <c r="I16" s="98"/>
      <c r="J16" s="97" t="n">
        <v>0</v>
      </c>
      <c r="K16" s="97" t="n">
        <f aca="false">SUM(I16:J16)</f>
        <v>0</v>
      </c>
      <c r="L16" s="97"/>
      <c r="M16" s="98" t="n">
        <v>0</v>
      </c>
      <c r="N16" s="97" t="n">
        <f aca="false">(M16/M$25)*N$25</f>
        <v>0</v>
      </c>
      <c r="O16" s="97" t="n">
        <f aca="false">SUM(M16:N16)</f>
        <v>0</v>
      </c>
      <c r="P16" s="97"/>
      <c r="Q16" s="98"/>
      <c r="R16" s="97" t="n">
        <v>0</v>
      </c>
      <c r="S16" s="97" t="n">
        <f aca="false">SUM(Q16:R16)</f>
        <v>0</v>
      </c>
      <c r="T16" s="97"/>
      <c r="U16" s="98" t="n">
        <v>0</v>
      </c>
      <c r="V16" s="97" t="n">
        <v>0</v>
      </c>
      <c r="W16" s="97" t="n">
        <f aca="false">U16+V16</f>
        <v>0</v>
      </c>
      <c r="X16" s="97"/>
      <c r="Y16" s="98" t="n">
        <v>0</v>
      </c>
      <c r="Z16" s="99" t="n">
        <f aca="false">(Y16/Y$25)*Z$25</f>
        <v>0</v>
      </c>
      <c r="AA16" s="97" t="n">
        <f aca="false">SUM(Y16:Z16)</f>
        <v>0</v>
      </c>
      <c r="AC16" s="97"/>
      <c r="AD16" s="99" t="n">
        <v>0</v>
      </c>
      <c r="AE16" s="97" t="n">
        <f aca="false">SUM(AC16:AD16)</f>
        <v>0</v>
      </c>
      <c r="AG16" s="100" t="n">
        <f aca="false">E16+I16+Q16+U16+Y16+M16+AC16</f>
        <v>0</v>
      </c>
      <c r="AH16" s="100" t="n">
        <f aca="false">F16+J16+R16+V16+Z16+N16+AD16</f>
        <v>0</v>
      </c>
      <c r="AI16" s="100" t="n">
        <f aca="false">G16+K16+S16+W16+AA16+O16+AE16</f>
        <v>0</v>
      </c>
      <c r="AK16" s="101"/>
      <c r="AP16" s="80" t="n">
        <v>912</v>
      </c>
      <c r="AQ16" s="102"/>
      <c r="AR16" s="104" t="n">
        <v>3</v>
      </c>
    </row>
    <row r="17" customFormat="false" ht="15" hidden="false" customHeight="false" outlineLevel="0" collapsed="false">
      <c r="A17" s="80" t="n">
        <v>912</v>
      </c>
      <c r="C17" s="81" t="s">
        <v>74</v>
      </c>
      <c r="E17" s="97"/>
      <c r="F17" s="97" t="n">
        <v>0</v>
      </c>
      <c r="G17" s="97" t="n">
        <f aca="false">SUM(E17:F17)</f>
        <v>0</v>
      </c>
      <c r="H17" s="97"/>
      <c r="I17" s="98"/>
      <c r="J17" s="97" t="n">
        <v>0</v>
      </c>
      <c r="K17" s="97" t="n">
        <f aca="false">SUM(I17:J17)</f>
        <v>0</v>
      </c>
      <c r="L17" s="97"/>
      <c r="M17" s="98" t="n">
        <v>0</v>
      </c>
      <c r="N17" s="97" t="n">
        <f aca="false">(M17/M$25)*N$25</f>
        <v>0</v>
      </c>
      <c r="O17" s="97" t="n">
        <f aca="false">SUM(M17:N17)</f>
        <v>0</v>
      </c>
      <c r="P17" s="97"/>
      <c r="Q17" s="98"/>
      <c r="R17" s="97" t="n">
        <v>34.8374992692849</v>
      </c>
      <c r="S17" s="97" t="n">
        <f aca="false">SUM(Q17:R17)</f>
        <v>34.8374992692849</v>
      </c>
      <c r="T17" s="97"/>
      <c r="U17" s="98" t="n">
        <v>0</v>
      </c>
      <c r="V17" s="97" t="n">
        <v>0</v>
      </c>
      <c r="W17" s="97" t="n">
        <f aca="false">U17+V17</f>
        <v>0</v>
      </c>
      <c r="X17" s="97"/>
      <c r="Y17" s="98" t="n">
        <v>0</v>
      </c>
      <c r="Z17" s="99" t="n">
        <f aca="false">(Y17/Y$25)*Z$25</f>
        <v>0</v>
      </c>
      <c r="AA17" s="97" t="n">
        <f aca="false">SUM(Y17:Z17)</f>
        <v>0</v>
      </c>
      <c r="AC17" s="97"/>
      <c r="AD17" s="99" t="n">
        <v>0</v>
      </c>
      <c r="AE17" s="97" t="n">
        <f aca="false">SUM(AC17:AD17)</f>
        <v>0</v>
      </c>
      <c r="AG17" s="100" t="n">
        <f aca="false">E17+I17+Q17+U17+Y17+M17+AC17</f>
        <v>0</v>
      </c>
      <c r="AH17" s="100" t="n">
        <f aca="false">F17+J17+R17+V17+Z17+N17+AD17</f>
        <v>34.8374992692849</v>
      </c>
      <c r="AI17" s="100" t="n">
        <f aca="false">G17+K17+S17+W17+AA17+O17+AE17</f>
        <v>34.8374992692849</v>
      </c>
      <c r="AK17" s="101"/>
      <c r="AP17" s="80" t="n">
        <v>912</v>
      </c>
      <c r="AQ17" s="102"/>
      <c r="AR17" s="104" t="n">
        <f aca="false">6-1+0.35</f>
        <v>5.35</v>
      </c>
    </row>
    <row r="18" customFormat="false" ht="15" hidden="false" customHeight="false" outlineLevel="0" collapsed="false">
      <c r="A18" s="80" t="n">
        <v>912</v>
      </c>
      <c r="C18" s="81" t="s">
        <v>75</v>
      </c>
      <c r="E18" s="97"/>
      <c r="F18" s="97" t="n">
        <v>0</v>
      </c>
      <c r="G18" s="97" t="n">
        <f aca="false">SUM(E18:F18)</f>
        <v>0</v>
      </c>
      <c r="H18" s="97"/>
      <c r="I18" s="98"/>
      <c r="J18" s="97" t="n">
        <v>0</v>
      </c>
      <c r="K18" s="97" t="n">
        <f aca="false">SUM(I18:J18)</f>
        <v>0</v>
      </c>
      <c r="L18" s="97"/>
      <c r="M18" s="98" t="n">
        <v>0</v>
      </c>
      <c r="N18" s="97" t="n">
        <f aca="false">(M18/M$25)*N$25</f>
        <v>0</v>
      </c>
      <c r="O18" s="97" t="n">
        <f aca="false">SUM(M18:N18)</f>
        <v>0</v>
      </c>
      <c r="P18" s="97"/>
      <c r="Q18" s="98"/>
      <c r="R18" s="97" t="n">
        <v>6.98490772357304</v>
      </c>
      <c r="S18" s="97" t="n">
        <f aca="false">SUM(Q18:R18)</f>
        <v>6.98490772357304</v>
      </c>
      <c r="T18" s="97"/>
      <c r="U18" s="98" t="n">
        <v>0</v>
      </c>
      <c r="V18" s="97" t="n">
        <v>0</v>
      </c>
      <c r="W18" s="97" t="n">
        <f aca="false">U18+V18</f>
        <v>0</v>
      </c>
      <c r="X18" s="97"/>
      <c r="Y18" s="98" t="n">
        <v>0</v>
      </c>
      <c r="Z18" s="99" t="n">
        <f aca="false">(Y18/Y$25)*Z$25</f>
        <v>0</v>
      </c>
      <c r="AA18" s="97" t="n">
        <f aca="false">SUM(Y18:Z18)</f>
        <v>0</v>
      </c>
      <c r="AC18" s="97"/>
      <c r="AD18" s="99" t="n">
        <v>0</v>
      </c>
      <c r="AE18" s="97" t="n">
        <f aca="false">SUM(AC18:AD18)</f>
        <v>0</v>
      </c>
      <c r="AG18" s="100" t="n">
        <f aca="false">E18+I18+Q18+U18+Y18+M18+AC18</f>
        <v>0</v>
      </c>
      <c r="AH18" s="100" t="n">
        <f aca="false">F18+J18+R18+V18+Z18+N18+AD18</f>
        <v>6.98490772357304</v>
      </c>
      <c r="AI18" s="100" t="n">
        <f aca="false">G18+K18+S18+W18+AA18+O18+AE18</f>
        <v>6.98490772357304</v>
      </c>
      <c r="AK18" s="101"/>
      <c r="AP18" s="80" t="n">
        <v>912</v>
      </c>
      <c r="AQ18" s="102"/>
      <c r="AR18" s="104" t="n">
        <v>2</v>
      </c>
    </row>
    <row r="19" customFormat="false" ht="15" hidden="false" customHeight="false" outlineLevel="0" collapsed="false">
      <c r="A19" s="80" t="n">
        <v>359</v>
      </c>
      <c r="C19" s="81" t="s">
        <v>76</v>
      </c>
      <c r="E19" s="97"/>
      <c r="F19" s="97" t="n">
        <v>4.853833425262</v>
      </c>
      <c r="G19" s="97" t="n">
        <f aca="false">SUM(E19:F19)</f>
        <v>4.853833425262</v>
      </c>
      <c r="H19" s="97"/>
      <c r="I19" s="98"/>
      <c r="J19" s="97" t="n">
        <v>0</v>
      </c>
      <c r="K19" s="97" t="n">
        <f aca="false">SUM(I19:J19)</f>
        <v>0</v>
      </c>
      <c r="L19" s="97"/>
      <c r="M19" s="98" t="n">
        <v>0</v>
      </c>
      <c r="N19" s="97" t="n">
        <f aca="false">(M19/M$25)*N$25</f>
        <v>0</v>
      </c>
      <c r="O19" s="97" t="n">
        <f aca="false">SUM(M19:N19)</f>
        <v>0</v>
      </c>
      <c r="P19" s="97"/>
      <c r="Q19" s="98"/>
      <c r="R19" s="97" t="n">
        <v>0</v>
      </c>
      <c r="S19" s="97" t="n">
        <f aca="false">SUM(Q19:R19)</f>
        <v>0</v>
      </c>
      <c r="T19" s="97"/>
      <c r="U19" s="98"/>
      <c r="V19" s="97"/>
      <c r="W19" s="97"/>
      <c r="X19" s="97"/>
      <c r="Y19" s="98"/>
      <c r="Z19" s="99"/>
      <c r="AA19" s="97"/>
      <c r="AC19" s="97"/>
      <c r="AD19" s="99" t="n">
        <v>0</v>
      </c>
      <c r="AE19" s="97" t="n">
        <f aca="false">SUM(AC19:AD19)</f>
        <v>0</v>
      </c>
      <c r="AG19" s="100" t="n">
        <f aca="false">E19+I19+Q19+U19+Y19+M19+AC19</f>
        <v>0</v>
      </c>
      <c r="AH19" s="100" t="n">
        <f aca="false">F19+J19+R19+V19+Z19+N19+AD19</f>
        <v>4.853833425262</v>
      </c>
      <c r="AI19" s="100" t="n">
        <f aca="false">G19+K19+S19+W19+AA19+O19+AE19</f>
        <v>4.853833425262</v>
      </c>
      <c r="AK19" s="101" t="n">
        <v>2</v>
      </c>
      <c r="AP19" s="80" t="n">
        <v>359</v>
      </c>
    </row>
    <row r="20" customFormat="false" ht="15" hidden="false" customHeight="false" outlineLevel="0" collapsed="false">
      <c r="A20" s="80" t="n">
        <v>460</v>
      </c>
      <c r="C20" s="81" t="s">
        <v>77</v>
      </c>
      <c r="E20" s="97"/>
      <c r="F20" s="97" t="n">
        <v>0</v>
      </c>
      <c r="G20" s="97" t="n">
        <f aca="false">SUM(E20:F20)</f>
        <v>0</v>
      </c>
      <c r="H20" s="97"/>
      <c r="I20" s="98"/>
      <c r="J20" s="97" t="n">
        <v>640.615372508902</v>
      </c>
      <c r="K20" s="97" t="n">
        <f aca="false">SUM(I20:J20)</f>
        <v>640.615372508902</v>
      </c>
      <c r="L20" s="97"/>
      <c r="M20" s="98" t="n">
        <v>0</v>
      </c>
      <c r="N20" s="97" t="n">
        <f aca="false">(M20/M$25)*N$25</f>
        <v>0</v>
      </c>
      <c r="O20" s="97" t="n">
        <f aca="false">SUM(M20:N20)</f>
        <v>0</v>
      </c>
      <c r="P20" s="97"/>
      <c r="Q20" s="98"/>
      <c r="R20" s="97" t="n">
        <v>405.184487519385</v>
      </c>
      <c r="S20" s="97" t="n">
        <f aca="false">SUM(Q20:R20)</f>
        <v>405.184487519385</v>
      </c>
      <c r="T20" s="97"/>
      <c r="U20" s="98"/>
      <c r="V20" s="97"/>
      <c r="W20" s="97"/>
      <c r="X20" s="97"/>
      <c r="Y20" s="98" t="n">
        <f aca="false">13226-6531</f>
        <v>6695</v>
      </c>
      <c r="Z20" s="99" t="n">
        <f aca="false">(Y20/Y$25)*Z$25</f>
        <v>385.200392675744</v>
      </c>
      <c r="AA20" s="97" t="n">
        <f aca="false">Y20+Z20</f>
        <v>7080.20039267574</v>
      </c>
      <c r="AC20" s="97"/>
      <c r="AD20" s="99" t="n">
        <v>1390</v>
      </c>
      <c r="AE20" s="97" t="n">
        <f aca="false">SUM(AC20:AD20)</f>
        <v>1390</v>
      </c>
      <c r="AG20" s="100" t="n">
        <f aca="false">E20+I20+Q20+U20+Y20+M20+AC20</f>
        <v>6695</v>
      </c>
      <c r="AH20" s="100" t="n">
        <f aca="false">F20+J20+R20+V20+Z20+N20+AD20</f>
        <v>2821.00025270403</v>
      </c>
      <c r="AI20" s="100" t="n">
        <f aca="false">G20+K20+S20+W20+AA20+O20+AE20</f>
        <v>9516.00025270403</v>
      </c>
      <c r="AK20" s="101"/>
      <c r="AP20" s="80" t="n">
        <v>460</v>
      </c>
    </row>
    <row r="21" customFormat="false" ht="15" hidden="false" customHeight="false" outlineLevel="0" collapsed="false">
      <c r="A21" s="80" t="s">
        <v>78</v>
      </c>
      <c r="C21" s="0" t="s">
        <v>79</v>
      </c>
      <c r="E21" s="97"/>
      <c r="F21" s="97" t="n">
        <v>14.561500275786</v>
      </c>
      <c r="G21" s="97" t="n">
        <f aca="false">SUM(E21:F21)</f>
        <v>14.561500275786</v>
      </c>
      <c r="H21" s="97"/>
      <c r="I21" s="98"/>
      <c r="J21" s="97"/>
      <c r="K21" s="97"/>
      <c r="L21" s="97"/>
      <c r="M21" s="98"/>
      <c r="N21" s="97"/>
      <c r="O21" s="97"/>
      <c r="P21" s="97"/>
      <c r="Q21" s="98"/>
      <c r="R21" s="97" t="n">
        <v>0</v>
      </c>
      <c r="S21" s="97" t="n">
        <f aca="false">SUM(Q21:R21)</f>
        <v>0</v>
      </c>
      <c r="T21" s="97"/>
      <c r="U21" s="98"/>
      <c r="V21" s="97"/>
      <c r="W21" s="97"/>
      <c r="X21" s="97"/>
      <c r="Y21" s="98"/>
      <c r="Z21" s="99"/>
      <c r="AA21" s="97"/>
      <c r="AC21" s="97"/>
      <c r="AD21" s="99" t="n">
        <v>0</v>
      </c>
      <c r="AE21" s="97" t="n">
        <f aca="false">SUM(AC21:AD21)</f>
        <v>0</v>
      </c>
      <c r="AG21" s="100" t="n">
        <f aca="false">E21+I21+Q21+U21+Y21+M21+AC21</f>
        <v>0</v>
      </c>
      <c r="AH21" s="100" t="n">
        <f aca="false">F21+J21+R21+V21+Z21+N21+AD21</f>
        <v>14.561500275786</v>
      </c>
      <c r="AI21" s="100" t="n">
        <f aca="false">G21+K21+S21+W21+AA21+O21+AE21</f>
        <v>14.561500275786</v>
      </c>
      <c r="AK21" s="101" t="n">
        <v>6</v>
      </c>
      <c r="AP21" s="80" t="s">
        <v>78</v>
      </c>
    </row>
    <row r="22" customFormat="false" ht="15" hidden="false" customHeight="false" outlineLevel="0" collapsed="false">
      <c r="A22" s="80" t="s">
        <v>80</v>
      </c>
      <c r="C22" s="0"/>
      <c r="E22" s="97"/>
      <c r="F22" s="97"/>
      <c r="G22" s="97"/>
      <c r="H22" s="97"/>
      <c r="I22" s="98"/>
      <c r="J22" s="97"/>
      <c r="K22" s="97"/>
      <c r="L22" s="97"/>
      <c r="M22" s="98"/>
      <c r="N22" s="97"/>
      <c r="O22" s="97"/>
      <c r="P22" s="97"/>
      <c r="Q22" s="98"/>
      <c r="R22" s="97" t="n">
        <v>1555.33875953798</v>
      </c>
      <c r="S22" s="97" t="n">
        <f aca="false">SUM(Q22:R22)</f>
        <v>1555.33875953798</v>
      </c>
      <c r="T22" s="97"/>
      <c r="U22" s="98"/>
      <c r="V22" s="97"/>
      <c r="W22" s="97"/>
      <c r="X22" s="97"/>
      <c r="Y22" s="98"/>
      <c r="Z22" s="99"/>
      <c r="AA22" s="97"/>
      <c r="AC22" s="97"/>
      <c r="AD22" s="99" t="n">
        <v>0</v>
      </c>
      <c r="AE22" s="97" t="n">
        <f aca="false">SUM(AC22:AD22)</f>
        <v>0</v>
      </c>
      <c r="AG22" s="100" t="n">
        <f aca="false">E22+I22+Q22+U22+Y22+M22+AC22</f>
        <v>0</v>
      </c>
      <c r="AH22" s="100" t="n">
        <f aca="false">F22+J22+R22+V22+Z22+N22+AD22</f>
        <v>1555.33875953798</v>
      </c>
      <c r="AI22" s="100" t="n">
        <f aca="false">G22+K22+S22+W22+AA22+O22+AE22</f>
        <v>1555.33875953798</v>
      </c>
      <c r="AK22" s="101"/>
      <c r="AP22" s="80" t="s">
        <v>80</v>
      </c>
    </row>
    <row r="23" customFormat="false" ht="15" hidden="false" customHeight="false" outlineLevel="0" collapsed="false">
      <c r="A23" s="80" t="s">
        <v>81</v>
      </c>
      <c r="C23" s="81" t="s">
        <v>82</v>
      </c>
      <c r="E23" s="97"/>
      <c r="F23" s="97" t="n">
        <v>2.426916712631</v>
      </c>
      <c r="G23" s="97" t="n">
        <f aca="false">SUM(E23:F23)</f>
        <v>2.426916712631</v>
      </c>
      <c r="H23" s="97"/>
      <c r="I23" s="98" t="n">
        <v>0</v>
      </c>
      <c r="J23" s="97" t="n">
        <v>0</v>
      </c>
      <c r="K23" s="97" t="n">
        <f aca="false">SUM(I23:J23)</f>
        <v>0</v>
      </c>
      <c r="L23" s="97"/>
      <c r="M23" s="98" t="n">
        <v>0</v>
      </c>
      <c r="N23" s="97" t="n">
        <f aca="false">(M23/M$25)*N$25</f>
        <v>0</v>
      </c>
      <c r="O23" s="97" t="n">
        <f aca="false">SUM(M23:N23)</f>
        <v>0</v>
      </c>
      <c r="P23" s="97"/>
      <c r="Q23" s="98"/>
      <c r="R23" s="97"/>
      <c r="S23" s="97"/>
      <c r="T23" s="97"/>
      <c r="U23" s="98"/>
      <c r="V23" s="97"/>
      <c r="W23" s="97"/>
      <c r="X23" s="97"/>
      <c r="Y23" s="98"/>
      <c r="Z23" s="99"/>
      <c r="AA23" s="97"/>
      <c r="AC23" s="97"/>
      <c r="AD23" s="99"/>
      <c r="AE23" s="97"/>
      <c r="AG23" s="100" t="n">
        <f aca="false">E23+I23+Q23+U23+Y23+M23+AC23</f>
        <v>0</v>
      </c>
      <c r="AH23" s="100" t="n">
        <f aca="false">F23+J23+R23+V23+Z23+N23+AD23</f>
        <v>2.426916712631</v>
      </c>
      <c r="AI23" s="100" t="n">
        <f aca="false">G23+K23+S23+W23+AA23+O23+AE23</f>
        <v>2.426916712631</v>
      </c>
      <c r="AK23" s="101" t="n">
        <v>1</v>
      </c>
      <c r="AP23" s="80" t="s">
        <v>81</v>
      </c>
    </row>
    <row r="24" customFormat="false" ht="15" hidden="false" customHeight="false" outlineLevel="0" collapsed="false">
      <c r="E24" s="106"/>
      <c r="F24" s="107"/>
      <c r="G24" s="107"/>
      <c r="I24" s="107"/>
      <c r="J24" s="107"/>
      <c r="K24" s="107"/>
      <c r="M24" s="107"/>
      <c r="N24" s="107"/>
      <c r="O24" s="107"/>
      <c r="Q24" s="107"/>
      <c r="R24" s="107"/>
      <c r="S24" s="107"/>
      <c r="U24" s="107"/>
      <c r="V24" s="107"/>
      <c r="W24" s="107"/>
      <c r="Y24" s="107"/>
      <c r="Z24" s="107"/>
      <c r="AA24" s="107"/>
      <c r="AC24" s="107"/>
      <c r="AD24" s="107"/>
      <c r="AE24" s="107"/>
      <c r="AG24" s="107"/>
      <c r="AH24" s="107"/>
      <c r="AI24" s="107"/>
      <c r="AK24" s="81" t="n">
        <f aca="false">SUM(AK8:AK23)</f>
        <v>181.3</v>
      </c>
      <c r="AL24" s="101" t="n">
        <f aca="false">563101-315478</f>
        <v>247623</v>
      </c>
    </row>
    <row r="25" customFormat="false" ht="15" hidden="false" customHeight="false" outlineLevel="0" collapsed="false">
      <c r="C25" s="108" t="s">
        <v>58</v>
      </c>
      <c r="E25" s="97" t="n">
        <f aca="false">SUM(E8:E24)</f>
        <v>0</v>
      </c>
      <c r="F25" s="109" t="n">
        <f aca="false">24510-24070</f>
        <v>440</v>
      </c>
      <c r="G25" s="110" t="n">
        <f aca="false">SUM(G8:G23)</f>
        <v>440</v>
      </c>
      <c r="H25" s="110"/>
      <c r="I25" s="97" t="n">
        <f aca="false">SUM(I8:I24)</f>
        <v>0</v>
      </c>
      <c r="J25" s="109" t="n">
        <f aca="false">21584-20602</f>
        <v>982</v>
      </c>
      <c r="K25" s="110" t="n">
        <f aca="false">SUM(K8:K23)</f>
        <v>982</v>
      </c>
      <c r="L25" s="110"/>
      <c r="M25" s="110" t="n">
        <f aca="false">SUM(M8:M23)</f>
        <v>12911</v>
      </c>
      <c r="N25" s="109" t="n">
        <f aca="false">19271-18395</f>
        <v>876</v>
      </c>
      <c r="O25" s="110" t="n">
        <f aca="false">SUM(O8:O23)</f>
        <v>13787</v>
      </c>
      <c r="P25" s="110"/>
      <c r="Q25" s="110" t="n">
        <f aca="false">SUM(Q8:Q23)</f>
        <v>0</v>
      </c>
      <c r="R25" s="109" t="n">
        <f aca="false">27661-24497</f>
        <v>3164</v>
      </c>
      <c r="S25" s="110" t="n">
        <f aca="false">SUM(S8:S23)</f>
        <v>3164</v>
      </c>
      <c r="T25" s="110"/>
      <c r="U25" s="110" t="n">
        <f aca="false">SUM(U8:U23)</f>
        <v>0</v>
      </c>
      <c r="V25" s="109" t="n">
        <f aca="false">1814-1731</f>
        <v>83</v>
      </c>
      <c r="W25" s="110" t="n">
        <f aca="false">SUM(W8:W23)</f>
        <v>83</v>
      </c>
      <c r="X25" s="110"/>
      <c r="Y25" s="97" t="n">
        <f aca="false">SUM(Y8:Y24)</f>
        <v>23429</v>
      </c>
      <c r="Z25" s="109" t="n">
        <f aca="false">11191-9843</f>
        <v>1348</v>
      </c>
      <c r="AA25" s="110" t="n">
        <f aca="false">SUM(AA8:AA23)</f>
        <v>24777</v>
      </c>
      <c r="AB25" s="110"/>
      <c r="AC25" s="97" t="n">
        <f aca="false">SUM(AC8:AC24)</f>
        <v>0</v>
      </c>
      <c r="AD25" s="109" t="n">
        <f aca="false">159455-152204</f>
        <v>7251</v>
      </c>
      <c r="AE25" s="110" t="n">
        <f aca="false">SUM(AE8:AE23)</f>
        <v>7251.41723575229</v>
      </c>
      <c r="AF25" s="110"/>
      <c r="AG25" s="110" t="n">
        <f aca="false">SUM(AG8:AG23)</f>
        <v>36340</v>
      </c>
      <c r="AH25" s="110" t="n">
        <f aca="false">SUM(AH8:AH23)</f>
        <v>14144.4172357523</v>
      </c>
      <c r="AI25" s="110" t="n">
        <f aca="false">SUM(AI8:AI23)</f>
        <v>50484.4172357523</v>
      </c>
      <c r="AJ25" s="110" t="n">
        <f aca="false">AA25+W25+S25+K25+G25+O25+AE25</f>
        <v>50484.4172357523</v>
      </c>
    </row>
    <row r="27" customFormat="false" ht="15" hidden="false" customHeight="false" outlineLevel="0" collapsed="false">
      <c r="C27" s="81" t="s">
        <v>83</v>
      </c>
      <c r="E27" s="81" t="s">
        <v>84</v>
      </c>
      <c r="J27" s="111"/>
      <c r="AG27" s="97"/>
    </row>
    <row r="28" customFormat="false" ht="15" hidden="false" customHeight="false" outlineLevel="0" collapsed="false">
      <c r="E28" s="81" t="s">
        <v>85</v>
      </c>
      <c r="F28" s="97"/>
      <c r="G28" s="110"/>
      <c r="H28" s="110"/>
      <c r="J28" s="97"/>
      <c r="K28" s="110"/>
      <c r="L28" s="110"/>
      <c r="M28" s="110"/>
      <c r="N28" s="97"/>
      <c r="O28" s="110"/>
      <c r="P28" s="110"/>
      <c r="Q28" s="110"/>
      <c r="R28" s="97"/>
      <c r="S28" s="110"/>
      <c r="T28" s="110"/>
      <c r="U28" s="110"/>
      <c r="V28" s="97"/>
      <c r="W28" s="110"/>
      <c r="X28" s="110"/>
      <c r="Y28" s="97"/>
      <c r="Z28" s="97"/>
      <c r="AA28" s="110"/>
      <c r="AB28" s="110"/>
      <c r="AC28" s="97"/>
      <c r="AD28" s="97"/>
      <c r="AE28" s="110"/>
      <c r="AF28" s="110"/>
      <c r="AG28" s="110"/>
      <c r="AH28" s="110"/>
    </row>
    <row r="29" customFormat="false" ht="15" hidden="false" customHeight="false" outlineLevel="0" collapsed="false">
      <c r="U29" s="112"/>
      <c r="V29" s="113"/>
      <c r="W29" s="113"/>
      <c r="X29" s="112"/>
      <c r="Y29" s="114"/>
      <c r="Z29" s="115"/>
      <c r="AC29" s="114"/>
      <c r="AD29" s="115"/>
    </row>
    <row r="30" customFormat="false" ht="15" hidden="false" customHeight="false" outlineLevel="0" collapsed="false">
      <c r="T30" s="116"/>
      <c r="U30" s="117"/>
      <c r="V30" s="117"/>
      <c r="W30" s="117"/>
      <c r="X30" s="117"/>
      <c r="Y30" s="117"/>
      <c r="Z30" s="117"/>
      <c r="AC30" s="117"/>
      <c r="AD30" s="117"/>
    </row>
    <row r="31" customFormat="false" ht="15" hidden="false" customHeight="false" outlineLevel="0" collapsed="false">
      <c r="T31" s="116"/>
      <c r="U31" s="118"/>
      <c r="V31" s="117"/>
      <c r="W31" s="117"/>
      <c r="X31" s="118"/>
      <c r="Y31" s="119"/>
      <c r="Z31" s="116"/>
      <c r="AA31" s="119"/>
      <c r="AC31" s="119"/>
      <c r="AD31" s="116"/>
      <c r="AE31" s="119"/>
      <c r="AG31" s="120"/>
    </row>
    <row r="32" customFormat="false" ht="15" hidden="false" customHeight="false" outlineLevel="0" collapsed="false">
      <c r="T32" s="116"/>
      <c r="U32" s="118"/>
      <c r="V32" s="117"/>
      <c r="W32" s="117"/>
      <c r="X32" s="118"/>
      <c r="Y32" s="119"/>
      <c r="Z32" s="116"/>
      <c r="AA32" s="119"/>
      <c r="AC32" s="119"/>
      <c r="AD32" s="116"/>
      <c r="AE32" s="119"/>
      <c r="AG32" s="120"/>
    </row>
    <row r="33" customFormat="false" ht="15" hidden="false" customHeight="false" outlineLevel="0" collapsed="false">
      <c r="T33" s="116"/>
      <c r="U33" s="118"/>
      <c r="V33" s="117"/>
      <c r="W33" s="117"/>
      <c r="X33" s="118"/>
      <c r="Y33" s="119"/>
      <c r="Z33" s="116"/>
      <c r="AA33" s="119"/>
      <c r="AC33" s="119"/>
      <c r="AD33" s="116"/>
      <c r="AE33" s="119"/>
      <c r="AG33" s="120"/>
    </row>
    <row r="34" customFormat="false" ht="15" hidden="false" customHeight="false" outlineLevel="0" collapsed="false">
      <c r="T34" s="121"/>
      <c r="U34" s="117"/>
      <c r="V34" s="117"/>
      <c r="W34" s="117"/>
      <c r="X34" s="118"/>
      <c r="Y34" s="119"/>
      <c r="Z34" s="116"/>
      <c r="AA34" s="119"/>
      <c r="AC34" s="119"/>
      <c r="AD34" s="116"/>
      <c r="AE34" s="119"/>
      <c r="AG34" s="120"/>
    </row>
    <row r="35" customFormat="false" ht="15" hidden="false" customHeight="false" outlineLevel="0" collapsed="false">
      <c r="U35" s="117"/>
      <c r="V35" s="122"/>
      <c r="W35" s="117"/>
      <c r="X35" s="117"/>
      <c r="Y35" s="123"/>
      <c r="Z35" s="124"/>
      <c r="AA35" s="125"/>
      <c r="AC35" s="123"/>
      <c r="AD35" s="124"/>
      <c r="AE35" s="125"/>
      <c r="AG35" s="120"/>
    </row>
    <row r="37" customFormat="false" ht="15" hidden="false" customHeight="false" outlineLevel="0" collapsed="false">
      <c r="A37" s="81"/>
    </row>
    <row r="38" customFormat="false" ht="15" hidden="false" customHeight="false" outlineLevel="0" collapsed="false">
      <c r="A38" s="81"/>
    </row>
  </sheetData>
  <mergeCells count="8">
    <mergeCell ref="E5:G5"/>
    <mergeCell ref="I5:K5"/>
    <mergeCell ref="M5:O5"/>
    <mergeCell ref="Q5:S5"/>
    <mergeCell ref="U5:W5"/>
    <mergeCell ref="Y5:AA5"/>
    <mergeCell ref="AC5:AE5"/>
    <mergeCell ref="AG5:AI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L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V9" activeCellId="0" sqref="V9:V2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80" width="13.7"/>
    <col collapsed="false" customWidth="true" hidden="false" outlineLevel="0" max="2" min="2" style="81" width="2.7"/>
    <col collapsed="false" customWidth="true" hidden="false" outlineLevel="0" max="3" min="3" style="81" width="26.28"/>
    <col collapsed="false" customWidth="true" hidden="false" outlineLevel="0" max="4" min="4" style="81" width="2.7"/>
    <col collapsed="false" customWidth="true" hidden="false" outlineLevel="0" max="5" min="5" style="81" width="15.85"/>
    <col collapsed="false" customWidth="true" hidden="false" outlineLevel="0" max="6" min="6" style="81" width="14.28"/>
    <col collapsed="false" customWidth="true" hidden="false" outlineLevel="0" max="7" min="7" style="81" width="11.7"/>
    <col collapsed="false" customWidth="true" hidden="true" outlineLevel="0" max="8" min="8" style="81" width="5.13"/>
    <col collapsed="false" customWidth="true" hidden="true" outlineLevel="0" max="9" min="9" style="81" width="16.42"/>
    <col collapsed="false" customWidth="true" hidden="true" outlineLevel="0" max="10" min="10" style="81" width="14.14"/>
    <col collapsed="false" customWidth="true" hidden="true" outlineLevel="0" max="11" min="11" style="81" width="11.7"/>
    <col collapsed="false" customWidth="true" hidden="true" outlineLevel="0" max="12" min="12" style="81" width="2.7"/>
    <col collapsed="false" customWidth="true" hidden="true" outlineLevel="0" max="13" min="13" style="81" width="16.42"/>
    <col collapsed="false" customWidth="true" hidden="true" outlineLevel="0" max="14" min="14" style="81" width="13.28"/>
    <col collapsed="false" customWidth="true" hidden="true" outlineLevel="0" max="15" min="15" style="81" width="11.7"/>
    <col collapsed="false" customWidth="true" hidden="true" outlineLevel="0" max="16" min="16" style="81" width="2.7"/>
    <col collapsed="false" customWidth="true" hidden="true" outlineLevel="0" max="17" min="17" style="81" width="16.42"/>
    <col collapsed="false" customWidth="true" hidden="true" outlineLevel="0" max="18" min="18" style="81" width="13.28"/>
    <col collapsed="false" customWidth="true" hidden="true" outlineLevel="0" max="19" min="19" style="81" width="11.7"/>
    <col collapsed="false" customWidth="true" hidden="true" outlineLevel="0" max="20" min="20" style="81" width="2.7"/>
    <col collapsed="false" customWidth="true" hidden="true" outlineLevel="0" max="21" min="21" style="81" width="14.7"/>
    <col collapsed="false" customWidth="true" hidden="true" outlineLevel="0" max="22" min="22" style="81" width="13.99"/>
    <col collapsed="false" customWidth="true" hidden="true" outlineLevel="0" max="23" min="23" style="81" width="11.7"/>
    <col collapsed="false" customWidth="true" hidden="true" outlineLevel="0" max="24" min="24" style="81" width="2.7"/>
    <col collapsed="false" customWidth="true" hidden="true" outlineLevel="0" max="25" min="25" style="81" width="15.41"/>
    <col collapsed="false" customWidth="true" hidden="true" outlineLevel="0" max="26" min="26" style="81" width="14.14"/>
    <col collapsed="false" customWidth="true" hidden="true" outlineLevel="0" max="27" min="27" style="81" width="15.7"/>
    <col collapsed="false" customWidth="true" hidden="true" outlineLevel="0" max="28" min="28" style="81" width="2.7"/>
    <col collapsed="false" customWidth="true" hidden="true" outlineLevel="0" max="29" min="29" style="81" width="15.41"/>
    <col collapsed="false" customWidth="true" hidden="true" outlineLevel="0" max="30" min="30" style="81" width="14.14"/>
    <col collapsed="false" customWidth="true" hidden="true" outlineLevel="0" max="31" min="31" style="81" width="15.7"/>
    <col collapsed="false" customWidth="true" hidden="true" outlineLevel="0" max="32" min="32" style="81" width="2.7"/>
    <col collapsed="false" customWidth="true" hidden="true" outlineLevel="0" max="33" min="33" style="81" width="14.85"/>
    <col collapsed="false" customWidth="true" hidden="true" outlineLevel="0" max="34" min="34" style="81" width="16.7"/>
    <col collapsed="false" customWidth="true" hidden="true" outlineLevel="0" max="35" min="35" style="81" width="14.28"/>
    <col collapsed="false" customWidth="true" hidden="true" outlineLevel="0" max="36" min="36" style="81" width="14.85"/>
    <col collapsed="false" customWidth="true" hidden="true" outlineLevel="0" max="39" min="37" style="81" width="9.06"/>
    <col collapsed="false" customWidth="false" hidden="false" outlineLevel="0" max="257" min="40" style="81" width="9.14"/>
  </cols>
  <sheetData>
    <row r="1" customFormat="false" ht="15" hidden="false" customHeight="false" outlineLevel="0" collapsed="false">
      <c r="A1" s="82" t="s">
        <v>35</v>
      </c>
      <c r="B1" s="83"/>
      <c r="C1" s="84" t="s">
        <v>86</v>
      </c>
    </row>
    <row r="2" customFormat="false" ht="15.75" hidden="false" customHeight="false" outlineLevel="0" collapsed="false">
      <c r="A2" s="85" t="s">
        <v>36</v>
      </c>
      <c r="B2" s="86"/>
      <c r="C2" s="87" t="n">
        <v>36192</v>
      </c>
    </row>
    <row r="4" customFormat="false" ht="15" hidden="false" customHeight="false" outlineLevel="0" collapsed="false">
      <c r="E4" s="88" t="s">
        <v>37</v>
      </c>
      <c r="I4" s="88" t="s">
        <v>38</v>
      </c>
      <c r="M4" s="88" t="s">
        <v>39</v>
      </c>
      <c r="Q4" s="88" t="s">
        <v>40</v>
      </c>
      <c r="U4" s="88" t="s">
        <v>41</v>
      </c>
      <c r="Y4" s="88" t="s">
        <v>42</v>
      </c>
      <c r="AC4" s="88" t="s">
        <v>43</v>
      </c>
    </row>
    <row r="5" customFormat="false" ht="15" hidden="false" customHeight="false" outlineLevel="0" collapsed="false">
      <c r="A5" s="89" t="s">
        <v>44</v>
      </c>
      <c r="C5" s="90"/>
      <c r="E5" s="91" t="s">
        <v>46</v>
      </c>
      <c r="F5" s="91"/>
      <c r="G5" s="91"/>
      <c r="I5" s="91" t="s">
        <v>47</v>
      </c>
      <c r="J5" s="91"/>
      <c r="K5" s="91"/>
      <c r="M5" s="91" t="s">
        <v>48</v>
      </c>
      <c r="N5" s="91"/>
      <c r="O5" s="91"/>
      <c r="Q5" s="91" t="s">
        <v>49</v>
      </c>
      <c r="R5" s="91"/>
      <c r="S5" s="91"/>
      <c r="U5" s="91" t="s">
        <v>50</v>
      </c>
      <c r="V5" s="91"/>
      <c r="W5" s="91"/>
      <c r="Y5" s="91" t="s">
        <v>51</v>
      </c>
      <c r="Z5" s="91"/>
      <c r="AA5" s="91"/>
      <c r="AC5" s="91" t="s">
        <v>52</v>
      </c>
      <c r="AD5" s="91"/>
      <c r="AE5" s="91"/>
      <c r="AG5" s="91" t="s">
        <v>53</v>
      </c>
      <c r="AH5" s="91"/>
      <c r="AI5" s="91"/>
    </row>
    <row r="6" customFormat="false" ht="15" hidden="false" customHeight="false" outlineLevel="0" collapsed="false">
      <c r="A6" s="92" t="s">
        <v>54</v>
      </c>
      <c r="C6" s="93" t="s">
        <v>55</v>
      </c>
      <c r="E6" s="94" t="s">
        <v>56</v>
      </c>
      <c r="F6" s="95" t="s">
        <v>57</v>
      </c>
      <c r="G6" s="96" t="s">
        <v>58</v>
      </c>
      <c r="I6" s="94" t="s">
        <v>56</v>
      </c>
      <c r="J6" s="95" t="s">
        <v>57</v>
      </c>
      <c r="K6" s="96" t="s">
        <v>58</v>
      </c>
      <c r="M6" s="94" t="s">
        <v>56</v>
      </c>
      <c r="N6" s="95" t="s">
        <v>57</v>
      </c>
      <c r="O6" s="96" t="s">
        <v>58</v>
      </c>
      <c r="Q6" s="94" t="s">
        <v>56</v>
      </c>
      <c r="R6" s="95" t="s">
        <v>57</v>
      </c>
      <c r="S6" s="96" t="s">
        <v>58</v>
      </c>
      <c r="U6" s="94" t="s">
        <v>56</v>
      </c>
      <c r="V6" s="95" t="s">
        <v>57</v>
      </c>
      <c r="W6" s="96" t="s">
        <v>58</v>
      </c>
      <c r="Y6" s="94" t="s">
        <v>56</v>
      </c>
      <c r="Z6" s="95" t="s">
        <v>57</v>
      </c>
      <c r="AA6" s="96" t="s">
        <v>58</v>
      </c>
      <c r="AC6" s="94" t="s">
        <v>56</v>
      </c>
      <c r="AD6" s="95" t="s">
        <v>57</v>
      </c>
      <c r="AE6" s="96" t="s">
        <v>58</v>
      </c>
      <c r="AG6" s="94" t="s">
        <v>56</v>
      </c>
      <c r="AH6" s="95" t="s">
        <v>57</v>
      </c>
      <c r="AI6" s="96" t="s">
        <v>58</v>
      </c>
      <c r="AK6" s="81" t="s">
        <v>59</v>
      </c>
      <c r="AL6" s="81" t="s">
        <v>60</v>
      </c>
    </row>
    <row r="7" customFormat="false" ht="3" hidden="false" customHeight="true" outlineLevel="0" collapsed="false"/>
    <row r="8" customFormat="false" ht="15" hidden="false" customHeight="false" outlineLevel="0" collapsed="false">
      <c r="A8" s="80" t="n">
        <v>969</v>
      </c>
      <c r="C8" s="81" t="s">
        <v>61</v>
      </c>
      <c r="E8" s="119" t="n">
        <f aca="false">AK8/AK$24*AL$24</f>
        <v>35151.404494382</v>
      </c>
      <c r="F8" s="97" t="n">
        <f aca="false">E8/E$25*F$25</f>
        <v>5144.25280898876</v>
      </c>
      <c r="G8" s="97" t="n">
        <f aca="false">SUM(E8:F8)</f>
        <v>40295.6573033708</v>
      </c>
      <c r="H8" s="97"/>
      <c r="I8" s="98" t="n">
        <v>0</v>
      </c>
      <c r="J8" s="97" t="n">
        <f aca="false">(ABS(I8)/I$27)*J$25</f>
        <v>0</v>
      </c>
      <c r="K8" s="97" t="n">
        <f aca="false">SUM(I8:J8)</f>
        <v>0</v>
      </c>
      <c r="L8" s="97"/>
      <c r="M8" s="98" t="n">
        <v>47434</v>
      </c>
      <c r="N8" s="97" t="n">
        <f aca="false">(M8/M$25)*N$25</f>
        <v>11337.8721951672</v>
      </c>
      <c r="O8" s="97" t="n">
        <f aca="false">SUM(M8:N8)</f>
        <v>58771.8721951672</v>
      </c>
      <c r="P8" s="97"/>
      <c r="Q8" s="98" t="n">
        <v>139056</v>
      </c>
      <c r="R8" s="97" t="n">
        <f aca="false">(Q8/Q$25)*R$25</f>
        <v>14679.306282027</v>
      </c>
      <c r="S8" s="97" t="n">
        <f aca="false">SUM(Q8:R8)</f>
        <v>153735.306282027</v>
      </c>
      <c r="T8" s="97"/>
      <c r="U8" s="98" t="n">
        <v>0</v>
      </c>
      <c r="V8" s="97" t="n">
        <f aca="false">(U8/U$25)*V$25</f>
        <v>0</v>
      </c>
      <c r="W8" s="97" t="n">
        <f aca="false">U8+V8</f>
        <v>0</v>
      </c>
      <c r="X8" s="97"/>
      <c r="Y8" s="98" t="n">
        <v>32327</v>
      </c>
      <c r="Z8" s="99" t="n">
        <f aca="false">(Y8/Y$25)*Z$25</f>
        <v>8289.27605597918</v>
      </c>
      <c r="AA8" s="97" t="n">
        <f aca="false">SUM(Y8:Z8)</f>
        <v>40616.2760559792</v>
      </c>
      <c r="AC8" s="97" t="n">
        <v>285173</v>
      </c>
      <c r="AD8" s="99" t="n">
        <f aca="false">(AC8/AC$25)*AD$25</f>
        <v>68753.9990720933</v>
      </c>
      <c r="AE8" s="97" t="n">
        <f aca="false">SUM(AC8:AD8)</f>
        <v>353926.999072093</v>
      </c>
      <c r="AG8" s="100" t="n">
        <f aca="false">E8+I8+Q8+U8+Y8+M8+AC8</f>
        <v>539141.404494382</v>
      </c>
      <c r="AH8" s="100" t="n">
        <f aca="false">F8+J8+R8+V8+Z8+N8+AD8</f>
        <v>108204.706414255</v>
      </c>
      <c r="AI8" s="100" t="n">
        <f aca="false">G8+K8+S8+W8+AA8+O8+AE8</f>
        <v>647346.110908638</v>
      </c>
      <c r="AK8" s="101" t="n">
        <v>7</v>
      </c>
    </row>
    <row r="9" customFormat="false" ht="15" hidden="false" customHeight="false" outlineLevel="0" collapsed="false">
      <c r="A9" s="80" t="n">
        <v>912</v>
      </c>
      <c r="C9" s="81" t="s">
        <v>62</v>
      </c>
      <c r="E9" s="119" t="n">
        <f aca="false">AK9/AK$24*AL$24</f>
        <v>0</v>
      </c>
      <c r="F9" s="97" t="n">
        <f aca="false">E9/E$25*F$25</f>
        <v>0</v>
      </c>
      <c r="G9" s="97" t="n">
        <f aca="false">SUM(E9:F9)</f>
        <v>0</v>
      </c>
      <c r="H9" s="97"/>
      <c r="I9" s="98" t="n">
        <v>19517</v>
      </c>
      <c r="J9" s="97" t="n">
        <f aca="false">(ABS(I9)/I$27)*J$25</f>
        <v>10474.1358949604</v>
      </c>
      <c r="K9" s="97" t="n">
        <f aca="false">SUM(I9:J9)</f>
        <v>29991.1358949604</v>
      </c>
      <c r="L9" s="97"/>
      <c r="M9" s="98" t="n">
        <v>0</v>
      </c>
      <c r="N9" s="97" t="n">
        <f aca="false">(M9/M$25)*N$25</f>
        <v>0</v>
      </c>
      <c r="O9" s="97" t="n">
        <f aca="false">SUM(M9:N9)</f>
        <v>0</v>
      </c>
      <c r="P9" s="97"/>
      <c r="Q9" s="98" t="n">
        <v>15153</v>
      </c>
      <c r="R9" s="97" t="n">
        <f aca="false">(Q9/Q$25)*R$25</f>
        <v>1599.61115012336</v>
      </c>
      <c r="S9" s="97" t="n">
        <f aca="false">SUM(Q9:R9)</f>
        <v>16752.6111501234</v>
      </c>
      <c r="T9" s="97"/>
      <c r="U9" s="98"/>
      <c r="V9" s="97" t="n">
        <f aca="false">(U9/U$25)*V$25</f>
        <v>0</v>
      </c>
      <c r="W9" s="97" t="n">
        <f aca="false">SUM(U9:V9)</f>
        <v>0</v>
      </c>
      <c r="X9" s="97"/>
      <c r="Y9" s="98"/>
      <c r="Z9" s="99" t="n">
        <f aca="false">(Y9/Y$25)*Z$25</f>
        <v>0</v>
      </c>
      <c r="AA9" s="97" t="n">
        <f aca="false">SUM(Y9:Z9)</f>
        <v>0</v>
      </c>
      <c r="AC9" s="97" t="n">
        <v>132837</v>
      </c>
      <c r="AD9" s="99" t="n">
        <f aca="false">(AC9/AC$25)*AD$25</f>
        <v>32026.4364955296</v>
      </c>
      <c r="AE9" s="97" t="n">
        <f aca="false">SUM(AC9:AD9)</f>
        <v>164863.43649553</v>
      </c>
      <c r="AG9" s="100" t="n">
        <f aca="false">E9+I9+Q9+U9+Y9+M9+AC9</f>
        <v>167507</v>
      </c>
      <c r="AH9" s="100" t="n">
        <f aca="false">F9+J9+R9+V9+Z9+N9+AD9</f>
        <v>44100.1835406134</v>
      </c>
      <c r="AI9" s="100" t="n">
        <f aca="false">G9+K9+S9+W9+AA9+O9+AE9</f>
        <v>211607.183540613</v>
      </c>
      <c r="AK9" s="101"/>
    </row>
    <row r="10" customFormat="false" ht="15" hidden="false" customHeight="false" outlineLevel="0" collapsed="false">
      <c r="A10" s="80" t="n">
        <v>963</v>
      </c>
      <c r="C10" s="81" t="s">
        <v>87</v>
      </c>
      <c r="E10" s="119" t="n">
        <f aca="false">AK10/AK$24*AL$24</f>
        <v>416795.224719101</v>
      </c>
      <c r="F10" s="97" t="n">
        <f aca="false">E10/E$25*F$25</f>
        <v>60996.1404494382</v>
      </c>
      <c r="G10" s="97" t="n">
        <f aca="false">SUM(E10:F10)</f>
        <v>477791.365168539</v>
      </c>
      <c r="H10" s="97"/>
      <c r="I10" s="98" t="n">
        <v>277</v>
      </c>
      <c r="J10" s="97" t="n">
        <f aca="false">(ABS(I10)/I$27)*J$25</f>
        <v>148.656844950763</v>
      </c>
      <c r="K10" s="97" t="n">
        <f aca="false">SUM(I10:J10)</f>
        <v>425.656844950763</v>
      </c>
      <c r="L10" s="97"/>
      <c r="M10" s="98" t="n">
        <v>0</v>
      </c>
      <c r="N10" s="97" t="n">
        <f aca="false">(M10/M$25)*N$25</f>
        <v>0</v>
      </c>
      <c r="O10" s="97" t="n">
        <f aca="false">SUM(M10:N10)</f>
        <v>0</v>
      </c>
      <c r="P10" s="97"/>
      <c r="Q10" s="98" t="n">
        <v>74927</v>
      </c>
      <c r="R10" s="97" t="n">
        <f aca="false">(Q10/Q$25)*R$25</f>
        <v>7909.59312646296</v>
      </c>
      <c r="S10" s="97" t="n">
        <f aca="false">SUM(Q10:R10)</f>
        <v>82836.593126463</v>
      </c>
      <c r="T10" s="97"/>
      <c r="U10" s="98" t="n">
        <v>12140</v>
      </c>
      <c r="V10" s="97" t="n">
        <f aca="false">(U10/U$25)*V$25</f>
        <v>2120</v>
      </c>
      <c r="W10" s="97" t="n">
        <f aca="false">SUM(U10:V10)</f>
        <v>14260</v>
      </c>
      <c r="X10" s="97"/>
      <c r="Y10" s="98"/>
      <c r="Z10" s="99" t="n">
        <f aca="false">(Y10/Y$25)*Z$25</f>
        <v>0</v>
      </c>
      <c r="AA10" s="97" t="n">
        <f aca="false">SUM(Y10:Z10)</f>
        <v>0</v>
      </c>
      <c r="AC10" s="97" t="n">
        <v>20034</v>
      </c>
      <c r="AD10" s="99" t="n">
        <f aca="false">(AC10/AC$25)*AD$25</f>
        <v>4830.11230870495</v>
      </c>
      <c r="AE10" s="97" t="n">
        <f aca="false">SUM(AC10:AD10)</f>
        <v>24864.112308705</v>
      </c>
      <c r="AG10" s="100" t="n">
        <f aca="false">E10+I10+Q10+U10+Y10+M10+AC10</f>
        <v>524173.224719101</v>
      </c>
      <c r="AH10" s="100" t="n">
        <f aca="false">F10+J10+R10+V10+Z10+N10+AD10</f>
        <v>76004.5027295569</v>
      </c>
      <c r="AI10" s="100" t="n">
        <f aca="false">G10+K10+S10+W10+AA10+O10+AE10</f>
        <v>600177.727448658</v>
      </c>
      <c r="AK10" s="101" t="n">
        <v>83</v>
      </c>
    </row>
    <row r="11" customFormat="false" ht="15" hidden="false" customHeight="false" outlineLevel="0" collapsed="false">
      <c r="A11" s="80" t="s">
        <v>65</v>
      </c>
      <c r="C11" s="81" t="s">
        <v>66</v>
      </c>
      <c r="E11" s="119" t="n">
        <f aca="false">AK11/AK$24*AL$24</f>
        <v>90389.3258426966</v>
      </c>
      <c r="F11" s="97" t="n">
        <f aca="false">E11/E$25*F$25</f>
        <v>13228.0786516854</v>
      </c>
      <c r="G11" s="97" t="n">
        <f aca="false">SUM(E11:F11)</f>
        <v>103617.404494382</v>
      </c>
      <c r="H11" s="97"/>
      <c r="I11" s="98" t="n">
        <v>0</v>
      </c>
      <c r="J11" s="97" t="n">
        <f aca="false">(ABS(I11)/I$25)*J$25</f>
        <v>0</v>
      </c>
      <c r="K11" s="97" t="n">
        <f aca="false">SUM(I11:J11)</f>
        <v>0</v>
      </c>
      <c r="L11" s="97"/>
      <c r="M11" s="98" t="n">
        <v>60371</v>
      </c>
      <c r="N11" s="97" t="n">
        <f aca="false">(M11/M$25)*N$25</f>
        <v>14430.1278048328</v>
      </c>
      <c r="O11" s="97" t="n">
        <f aca="false">SUM(M11:N11)</f>
        <v>74801.1278048328</v>
      </c>
      <c r="P11" s="97"/>
      <c r="Q11" s="98"/>
      <c r="R11" s="97" t="n">
        <f aca="false">(Q11/Q$25)*R$25</f>
        <v>0</v>
      </c>
      <c r="S11" s="97" t="n">
        <f aca="false">SUM(Q11:R11)</f>
        <v>0</v>
      </c>
      <c r="T11" s="97"/>
      <c r="U11" s="98" t="n">
        <v>0</v>
      </c>
      <c r="V11" s="97" t="n">
        <f aca="false">(U11/U$25)*V$25</f>
        <v>0</v>
      </c>
      <c r="W11" s="97" t="n">
        <f aca="false">U11+V11</f>
        <v>0</v>
      </c>
      <c r="X11" s="97"/>
      <c r="Y11" s="98"/>
      <c r="Z11" s="99" t="n">
        <f aca="false">(Y11/Y$25)*Z$25</f>
        <v>0</v>
      </c>
      <c r="AA11" s="97" t="n">
        <f aca="false">SUM(Y11:Z11)</f>
        <v>0</v>
      </c>
      <c r="AC11" s="97" t="n">
        <v>265269</v>
      </c>
      <c r="AD11" s="99" t="n">
        <f aca="false">(AC11/AC$25)*AD$25</f>
        <v>63955.2292112336</v>
      </c>
      <c r="AE11" s="97" t="n">
        <f aca="false">SUM(AC11:AD11)</f>
        <v>329224.229211234</v>
      </c>
      <c r="AG11" s="100" t="n">
        <f aca="false">E11+I11+Q11+U11+Y11+M11+AC11</f>
        <v>416029.325842697</v>
      </c>
      <c r="AH11" s="100" t="n">
        <f aca="false">F11+J11+R11+V11+Z11+N11+AD11</f>
        <v>91613.4356677518</v>
      </c>
      <c r="AI11" s="100" t="n">
        <f aca="false">G11+K11+S11+W11+AA11+O11+AE11</f>
        <v>507642.761510448</v>
      </c>
      <c r="AK11" s="101" t="n">
        <v>18</v>
      </c>
    </row>
    <row r="12" customFormat="false" ht="15" hidden="false" customHeight="false" outlineLevel="0" collapsed="false">
      <c r="A12" s="80" t="s">
        <v>67</v>
      </c>
      <c r="C12" s="81" t="s">
        <v>68</v>
      </c>
      <c r="E12" s="119" t="n">
        <f aca="false">AK12/AK$24*AL$24</f>
        <v>70302.808988764</v>
      </c>
      <c r="F12" s="97" t="n">
        <f aca="false">E12/E$25*F$25</f>
        <v>10288.5056179775</v>
      </c>
      <c r="G12" s="97" t="n">
        <f aca="false">SUM(E12:F12)</f>
        <v>80591.3146067416</v>
      </c>
      <c r="H12" s="97"/>
      <c r="I12" s="98" t="n">
        <v>0</v>
      </c>
      <c r="J12" s="97" t="n">
        <f aca="false">(ABS(I12)/I$25)*J$25</f>
        <v>0</v>
      </c>
      <c r="K12" s="97" t="n">
        <f aca="false">SUM(I12:J12)</f>
        <v>0</v>
      </c>
      <c r="L12" s="97"/>
      <c r="M12" s="98" t="n">
        <v>0</v>
      </c>
      <c r="N12" s="97" t="n">
        <f aca="false">(M12/M$25)*N$25</f>
        <v>0</v>
      </c>
      <c r="O12" s="97" t="n">
        <f aca="false">SUM(M12:N12)</f>
        <v>0</v>
      </c>
      <c r="P12" s="97"/>
      <c r="Q12" s="98"/>
      <c r="R12" s="97" t="n">
        <f aca="false">(Q12/Q$25)*R$25</f>
        <v>0</v>
      </c>
      <c r="S12" s="97" t="n">
        <f aca="false">SUM(Q12:R12)</f>
        <v>0</v>
      </c>
      <c r="T12" s="97"/>
      <c r="U12" s="98" t="n">
        <v>0</v>
      </c>
      <c r="V12" s="97" t="n">
        <f aca="false">(U12/U$25)*V$25</f>
        <v>0</v>
      </c>
      <c r="W12" s="97" t="n">
        <f aca="false">U12+V12</f>
        <v>0</v>
      </c>
      <c r="X12" s="97"/>
      <c r="Y12" s="98"/>
      <c r="Z12" s="99" t="n">
        <f aca="false">(Y12/Y$25)*Z$25</f>
        <v>0</v>
      </c>
      <c r="AA12" s="97" t="n">
        <f aca="false">SUM(Y12:Z12)</f>
        <v>0</v>
      </c>
      <c r="AC12" s="97"/>
      <c r="AD12" s="99" t="n">
        <f aca="false">(AC12/AC$25)*AD$25</f>
        <v>0</v>
      </c>
      <c r="AE12" s="97" t="n">
        <f aca="false">SUM(AC12:AD12)</f>
        <v>0</v>
      </c>
      <c r="AG12" s="100" t="n">
        <f aca="false">E12+I12+Q12+U12+Y12+M12+AC12</f>
        <v>70302.808988764</v>
      </c>
      <c r="AH12" s="100" t="n">
        <f aca="false">F12+J12+R12+V12+Z12+N12+AD12</f>
        <v>10288.5056179775</v>
      </c>
      <c r="AI12" s="100" t="n">
        <f aca="false">G12+K12+S12+W12+AA12+O12+AE12</f>
        <v>80591.3146067416</v>
      </c>
      <c r="AK12" s="101" t="n">
        <v>14</v>
      </c>
    </row>
    <row r="13" customFormat="false" ht="15" hidden="false" customHeight="false" outlineLevel="0" collapsed="false">
      <c r="A13" s="80" t="n">
        <v>985</v>
      </c>
      <c r="C13" s="81" t="s">
        <v>69</v>
      </c>
      <c r="E13" s="119" t="n">
        <f aca="false">AK13/AK$24*AL$24</f>
        <v>195843.539325843</v>
      </c>
      <c r="F13" s="97" t="n">
        <f aca="false">E13/E$25*F$25</f>
        <v>28660.8370786517</v>
      </c>
      <c r="G13" s="97" t="n">
        <f aca="false">SUM(E13:F13)</f>
        <v>224504.376404494</v>
      </c>
      <c r="H13" s="97"/>
      <c r="I13" s="98" t="n">
        <v>0</v>
      </c>
      <c r="J13" s="97" t="n">
        <f aca="false">(ABS(I13)/I$25)*J$25</f>
        <v>0</v>
      </c>
      <c r="K13" s="97" t="n">
        <f aca="false">SUM(I13:J13)</f>
        <v>0</v>
      </c>
      <c r="L13" s="97"/>
      <c r="M13" s="98" t="n">
        <v>0</v>
      </c>
      <c r="N13" s="97" t="n">
        <f aca="false">(M13/M$25)*N$25</f>
        <v>0</v>
      </c>
      <c r="O13" s="97" t="n">
        <f aca="false">SUM(M13:N13)</f>
        <v>0</v>
      </c>
      <c r="P13" s="97"/>
      <c r="Q13" s="98"/>
      <c r="R13" s="97" t="n">
        <f aca="false">(Q13/Q$25)*R$25</f>
        <v>0</v>
      </c>
      <c r="S13" s="97" t="n">
        <f aca="false">SUM(Q13:R13)</f>
        <v>0</v>
      </c>
      <c r="T13" s="97"/>
      <c r="U13" s="98" t="n">
        <v>0</v>
      </c>
      <c r="V13" s="97" t="n">
        <f aca="false">(U13/U$25)*V$25</f>
        <v>0</v>
      </c>
      <c r="W13" s="97" t="n">
        <f aca="false">U13+V13</f>
        <v>0</v>
      </c>
      <c r="X13" s="97"/>
      <c r="Y13" s="98" t="n">
        <v>6917</v>
      </c>
      <c r="Z13" s="99" t="n">
        <f aca="false">(Y13/Y$25)*Z$25</f>
        <v>1773.65429762143</v>
      </c>
      <c r="AA13" s="97" t="n">
        <f aca="false">SUM(Y13:Z13)</f>
        <v>8690.65429762143</v>
      </c>
      <c r="AC13" s="97" t="n">
        <v>4073</v>
      </c>
      <c r="AD13" s="99" t="n">
        <f aca="false">(AC13/AC$25)*AD$25</f>
        <v>981.9830005668</v>
      </c>
      <c r="AE13" s="97" t="n">
        <f aca="false">SUM(AC13:AD13)</f>
        <v>5054.9830005668</v>
      </c>
      <c r="AG13" s="100" t="n">
        <f aca="false">E13+I13+Q13+U13+Y13+M13+AC13</f>
        <v>206833.539325843</v>
      </c>
      <c r="AH13" s="100" t="n">
        <f aca="false">F13+J13+R13+V13+Z13+N13+AD13</f>
        <v>31416.4743768399</v>
      </c>
      <c r="AI13" s="100" t="n">
        <f aca="false">G13+K13+S13+W13+AA13+O13+AE13</f>
        <v>238250.013702683</v>
      </c>
      <c r="AK13" s="101" t="n">
        <v>39</v>
      </c>
    </row>
    <row r="14" customFormat="false" ht="15.75" hidden="false" customHeight="true" outlineLevel="0" collapsed="false">
      <c r="A14" s="80" t="n">
        <v>426</v>
      </c>
      <c r="C14" s="81" t="s">
        <v>71</v>
      </c>
      <c r="E14" s="119" t="n">
        <f aca="false">AK14/AK$24*AL$24</f>
        <v>10043.2584269663</v>
      </c>
      <c r="F14" s="97" t="n">
        <f aca="false">E14/E$25*F$25</f>
        <v>1469.78651685393</v>
      </c>
      <c r="G14" s="97" t="n">
        <f aca="false">SUM(E14:F14)</f>
        <v>11513.0449438202</v>
      </c>
      <c r="H14" s="97"/>
      <c r="I14" s="98" t="n">
        <v>0</v>
      </c>
      <c r="J14" s="97" t="n">
        <f aca="false">(ABS(I14)/I$25)*J$25</f>
        <v>0</v>
      </c>
      <c r="K14" s="97" t="n">
        <f aca="false">SUM(I14:J14)</f>
        <v>0</v>
      </c>
      <c r="L14" s="97"/>
      <c r="M14" s="98" t="n">
        <v>0</v>
      </c>
      <c r="N14" s="97" t="n">
        <f aca="false">(M14/M$25)*N$25</f>
        <v>0</v>
      </c>
      <c r="O14" s="97" t="n">
        <f aca="false">SUM(M14:N14)</f>
        <v>0</v>
      </c>
      <c r="P14" s="97"/>
      <c r="Q14" s="98"/>
      <c r="R14" s="97" t="n">
        <f aca="false">(Q14/Q$25)*R$25</f>
        <v>0</v>
      </c>
      <c r="S14" s="97" t="n">
        <f aca="false">SUM(Q14:R14)</f>
        <v>0</v>
      </c>
      <c r="T14" s="97"/>
      <c r="U14" s="98" t="n">
        <v>0</v>
      </c>
      <c r="V14" s="97" t="n">
        <f aca="false">(U14/U$25)*V$25</f>
        <v>0</v>
      </c>
      <c r="W14" s="97" t="n">
        <f aca="false">U14+V14</f>
        <v>0</v>
      </c>
      <c r="X14" s="97"/>
      <c r="Y14" s="98" t="n">
        <v>0</v>
      </c>
      <c r="Z14" s="99" t="n">
        <f aca="false">(Y14/Y$25)*Z$25</f>
        <v>0</v>
      </c>
      <c r="AA14" s="97" t="n">
        <f aca="false">SUM(Y14:Z14)</f>
        <v>0</v>
      </c>
      <c r="AC14" s="97" t="n">
        <v>0</v>
      </c>
      <c r="AD14" s="99" t="n">
        <f aca="false">(AC14/AC$25)*AD$25</f>
        <v>0</v>
      </c>
      <c r="AE14" s="97" t="n">
        <f aca="false">SUM(AC14:AD14)</f>
        <v>0</v>
      </c>
      <c r="AG14" s="100" t="n">
        <f aca="false">E14+I14+Q14+U14+Y14+M14+AC14</f>
        <v>10043.2584269663</v>
      </c>
      <c r="AH14" s="100" t="n">
        <f aca="false">F14+J14+R14+V14+Z14+N14+AD14</f>
        <v>1469.78651685393</v>
      </c>
      <c r="AI14" s="100" t="n">
        <f aca="false">G14+K14+S14+W14+AA14+O14+AE14</f>
        <v>11513.0449438202</v>
      </c>
      <c r="AK14" s="101" t="n">
        <v>2</v>
      </c>
    </row>
    <row r="15" customFormat="false" ht="15" hidden="false" customHeight="false" outlineLevel="0" collapsed="false">
      <c r="A15" s="80" t="n">
        <v>119</v>
      </c>
      <c r="C15" s="81" t="s">
        <v>72</v>
      </c>
      <c r="E15" s="119" t="n">
        <f aca="false">AK15/AK$24*AL$24</f>
        <v>0</v>
      </c>
      <c r="F15" s="97" t="n">
        <f aca="false">E15/E$25*F$25</f>
        <v>0</v>
      </c>
      <c r="G15" s="97" t="n">
        <f aca="false">SUM(E15:F15)</f>
        <v>0</v>
      </c>
      <c r="H15" s="97"/>
      <c r="I15" s="98" t="n">
        <v>0</v>
      </c>
      <c r="J15" s="97" t="n">
        <f aca="false">(ABS(I15)/I$25)*J$25</f>
        <v>0</v>
      </c>
      <c r="K15" s="97" t="n">
        <f aca="false">SUM(I15:J15)</f>
        <v>0</v>
      </c>
      <c r="L15" s="97"/>
      <c r="M15" s="98" t="n">
        <v>0</v>
      </c>
      <c r="N15" s="97" t="n">
        <f aca="false">(M15/M$25)*N$25</f>
        <v>0</v>
      </c>
      <c r="O15" s="97" t="n">
        <f aca="false">SUM(M15:N15)</f>
        <v>0</v>
      </c>
      <c r="P15" s="97"/>
      <c r="Q15" s="98"/>
      <c r="R15" s="97" t="n">
        <f aca="false">(Q15/Q$25)*R$25</f>
        <v>0</v>
      </c>
      <c r="S15" s="97" t="n">
        <f aca="false">SUM(Q15:R15)</f>
        <v>0</v>
      </c>
      <c r="T15" s="97"/>
      <c r="U15" s="98" t="n">
        <v>0</v>
      </c>
      <c r="V15" s="97" t="n">
        <f aca="false">(U15/U$25)*V$25</f>
        <v>0</v>
      </c>
      <c r="W15" s="97" t="n">
        <f aca="false">U15+V15</f>
        <v>0</v>
      </c>
      <c r="X15" s="97"/>
      <c r="Y15" s="98" t="n">
        <v>0</v>
      </c>
      <c r="Z15" s="99" t="n">
        <f aca="false">(Y15/Y$25)*Z$25</f>
        <v>0</v>
      </c>
      <c r="AA15" s="97" t="n">
        <f aca="false">SUM(Y15:Z15)</f>
        <v>0</v>
      </c>
      <c r="AC15" s="97" t="n">
        <v>0</v>
      </c>
      <c r="AD15" s="99" t="n">
        <f aca="false">(AC15/AC$25)*AD$25</f>
        <v>0</v>
      </c>
      <c r="AE15" s="97" t="n">
        <f aca="false">SUM(AC15:AD15)</f>
        <v>0</v>
      </c>
      <c r="AG15" s="100" t="n">
        <f aca="false">E15+I15+Q15+U15+Y15+M15+AC15</f>
        <v>0</v>
      </c>
      <c r="AH15" s="100" t="n">
        <f aca="false">F15+J15+R15+V15+Z15+N15+AD15</f>
        <v>0</v>
      </c>
      <c r="AI15" s="100" t="n">
        <f aca="false">G15+K15+S15+W15+AA15+O15+AE15</f>
        <v>0</v>
      </c>
      <c r="AK15" s="101"/>
    </row>
    <row r="16" customFormat="false" ht="15" hidden="false" customHeight="false" outlineLevel="0" collapsed="false">
      <c r="A16" s="80" t="n">
        <v>912</v>
      </c>
      <c r="C16" s="81" t="s">
        <v>73</v>
      </c>
      <c r="E16" s="119" t="n">
        <f aca="false">AK16/AK$24*AL$24</f>
        <v>0</v>
      </c>
      <c r="F16" s="97" t="n">
        <f aca="false">E16/E$25*F$25</f>
        <v>0</v>
      </c>
      <c r="G16" s="97" t="n">
        <f aca="false">SUM(E16:F16)</f>
        <v>0</v>
      </c>
      <c r="H16" s="97"/>
      <c r="I16" s="98" t="n">
        <v>0</v>
      </c>
      <c r="J16" s="97" t="n">
        <f aca="false">(ABS(I16)/I$25)*J$25</f>
        <v>0</v>
      </c>
      <c r="K16" s="97" t="n">
        <f aca="false">SUM(I16:J16)</f>
        <v>0</v>
      </c>
      <c r="L16" s="97"/>
      <c r="M16" s="98" t="n">
        <v>0</v>
      </c>
      <c r="N16" s="97" t="n">
        <f aca="false">(M16/M$25)*N$25</f>
        <v>0</v>
      </c>
      <c r="O16" s="97" t="n">
        <f aca="false">SUM(M16:N16)</f>
        <v>0</v>
      </c>
      <c r="P16" s="97"/>
      <c r="Q16" s="98"/>
      <c r="R16" s="97" t="n">
        <f aca="false">(Q16/Q$25)*R$25</f>
        <v>0</v>
      </c>
      <c r="S16" s="97" t="n">
        <f aca="false">SUM(Q16:R16)</f>
        <v>0</v>
      </c>
      <c r="T16" s="97"/>
      <c r="U16" s="98" t="n">
        <v>0</v>
      </c>
      <c r="V16" s="97" t="n">
        <f aca="false">(U16/U$25)*V$25</f>
        <v>0</v>
      </c>
      <c r="W16" s="97" t="n">
        <f aca="false">U16+V16</f>
        <v>0</v>
      </c>
      <c r="X16" s="97"/>
      <c r="Y16" s="98" t="n">
        <v>0</v>
      </c>
      <c r="Z16" s="99" t="n">
        <f aca="false">(Y16/Y$25)*Z$25</f>
        <v>0</v>
      </c>
      <c r="AA16" s="97" t="n">
        <f aca="false">SUM(Y16:Z16)</f>
        <v>0</v>
      </c>
      <c r="AC16" s="97"/>
      <c r="AD16" s="99" t="n">
        <f aca="false">(AC16/AC$25)*AD$25</f>
        <v>0</v>
      </c>
      <c r="AE16" s="97" t="n">
        <f aca="false">SUM(AC16:AD16)</f>
        <v>0</v>
      </c>
      <c r="AG16" s="100" t="n">
        <f aca="false">E16+I16+Q16+U16+Y16+M16+AC16</f>
        <v>0</v>
      </c>
      <c r="AH16" s="100" t="n">
        <f aca="false">F16+J16+R16+V16+Z16+N16+AD16</f>
        <v>0</v>
      </c>
      <c r="AI16" s="100" t="n">
        <f aca="false">G16+K16+S16+W16+AA16+O16+AE16</f>
        <v>0</v>
      </c>
      <c r="AK16" s="101"/>
    </row>
    <row r="17" customFormat="false" ht="15" hidden="false" customHeight="false" outlineLevel="0" collapsed="false">
      <c r="A17" s="80" t="n">
        <v>912</v>
      </c>
      <c r="C17" s="81" t="s">
        <v>74</v>
      </c>
      <c r="E17" s="119" t="n">
        <f aca="false">AK17/AK$24*AL$24</f>
        <v>0</v>
      </c>
      <c r="F17" s="97" t="n">
        <f aca="false">E17/E$25*F$25</f>
        <v>0</v>
      </c>
      <c r="G17" s="97" t="n">
        <f aca="false">SUM(E17:F17)</f>
        <v>0</v>
      </c>
      <c r="H17" s="97"/>
      <c r="I17" s="98" t="n">
        <v>0</v>
      </c>
      <c r="J17" s="97" t="n">
        <f aca="false">(ABS(I17)/I$25)*J$25</f>
        <v>0</v>
      </c>
      <c r="K17" s="97" t="n">
        <f aca="false">SUM(I17:J17)</f>
        <v>0</v>
      </c>
      <c r="L17" s="97"/>
      <c r="M17" s="98" t="n">
        <v>0</v>
      </c>
      <c r="N17" s="97" t="n">
        <f aca="false">(M17/M$25)*N$25</f>
        <v>0</v>
      </c>
      <c r="O17" s="97" t="n">
        <f aca="false">SUM(M17:N17)</f>
        <v>0</v>
      </c>
      <c r="P17" s="97"/>
      <c r="Q17" s="98" t="n">
        <v>10260</v>
      </c>
      <c r="R17" s="97" t="n">
        <f aca="false">(Q17/Q$25)*R$25</f>
        <v>1083.08654393623</v>
      </c>
      <c r="S17" s="97" t="n">
        <f aca="false">SUM(Q17:R17)</f>
        <v>11343.0865439362</v>
      </c>
      <c r="T17" s="97"/>
      <c r="U17" s="98" t="n">
        <v>0</v>
      </c>
      <c r="V17" s="97" t="n">
        <f aca="false">(U17/U$25)*V$25</f>
        <v>0</v>
      </c>
      <c r="W17" s="97" t="n">
        <f aca="false">U17+V17</f>
        <v>0</v>
      </c>
      <c r="X17" s="97"/>
      <c r="Y17" s="98" t="n">
        <v>0</v>
      </c>
      <c r="Z17" s="99" t="n">
        <f aca="false">(Y17/Y$25)*Z$25</f>
        <v>0</v>
      </c>
      <c r="AA17" s="97" t="n">
        <f aca="false">SUM(Y17:Z17)</f>
        <v>0</v>
      </c>
      <c r="AC17" s="97" t="n">
        <v>0</v>
      </c>
      <c r="AD17" s="99" t="n">
        <f aca="false">(AC17/AC$25)*AD$25</f>
        <v>0</v>
      </c>
      <c r="AE17" s="97" t="n">
        <f aca="false">SUM(AC17:AD17)</f>
        <v>0</v>
      </c>
      <c r="AG17" s="100" t="n">
        <f aca="false">E17+I17+Q17+U17+Y17+M17+AC17</f>
        <v>10260</v>
      </c>
      <c r="AH17" s="100" t="n">
        <f aca="false">F17+J17+R17+V17+Z17+N17+AD17</f>
        <v>1083.08654393623</v>
      </c>
      <c r="AI17" s="100" t="n">
        <f aca="false">G17+K17+S17+W17+AA17+O17+AE17</f>
        <v>11343.0865439362</v>
      </c>
      <c r="AK17" s="101"/>
    </row>
    <row r="18" customFormat="false" ht="15" hidden="false" customHeight="false" outlineLevel="0" collapsed="false">
      <c r="A18" s="80" t="n">
        <v>912</v>
      </c>
      <c r="C18" s="81" t="s">
        <v>75</v>
      </c>
      <c r="E18" s="119" t="n">
        <f aca="false">AK18/AK$24*AL$24</f>
        <v>0</v>
      </c>
      <c r="F18" s="97" t="n">
        <f aca="false">E18/E$25*F$25</f>
        <v>0</v>
      </c>
      <c r="G18" s="97" t="n">
        <f aca="false">SUM(E18:F18)</f>
        <v>0</v>
      </c>
      <c r="H18" s="97"/>
      <c r="I18" s="98" t="n">
        <v>0</v>
      </c>
      <c r="J18" s="97" t="n">
        <f aca="false">(ABS(I18)/I$25)*J$25</f>
        <v>0</v>
      </c>
      <c r="K18" s="97" t="n">
        <f aca="false">SUM(I18:J18)</f>
        <v>0</v>
      </c>
      <c r="L18" s="97"/>
      <c r="M18" s="98" t="n">
        <v>0</v>
      </c>
      <c r="N18" s="97" t="n">
        <f aca="false">(M18/M$25)*N$25</f>
        <v>0</v>
      </c>
      <c r="O18" s="97" t="n">
        <f aca="false">SUM(M18:N18)</f>
        <v>0</v>
      </c>
      <c r="P18" s="97"/>
      <c r="Q18" s="98" t="n">
        <v>1441</v>
      </c>
      <c r="R18" s="97" t="n">
        <f aca="false">(Q18/Q$25)*R$25</f>
        <v>152.117710508003</v>
      </c>
      <c r="S18" s="97" t="n">
        <f aca="false">SUM(Q18:R18)</f>
        <v>1593.117710508</v>
      </c>
      <c r="T18" s="97"/>
      <c r="U18" s="98" t="n">
        <v>0</v>
      </c>
      <c r="V18" s="97" t="n">
        <f aca="false">(U18/U$25)*V$25</f>
        <v>0</v>
      </c>
      <c r="W18" s="97" t="n">
        <f aca="false">U18+V18</f>
        <v>0</v>
      </c>
      <c r="X18" s="97"/>
      <c r="Y18" s="98" t="n">
        <v>0</v>
      </c>
      <c r="Z18" s="99" t="n">
        <f aca="false">(Y18/Y$25)*Z$25</f>
        <v>0</v>
      </c>
      <c r="AA18" s="97" t="n">
        <f aca="false">SUM(Y18:Z18)</f>
        <v>0</v>
      </c>
      <c r="AC18" s="97" t="n">
        <v>0</v>
      </c>
      <c r="AD18" s="99" t="n">
        <f aca="false">(AC18/AC$25)*AD$25</f>
        <v>0</v>
      </c>
      <c r="AE18" s="97" t="n">
        <f aca="false">SUM(AC18:AD18)</f>
        <v>0</v>
      </c>
      <c r="AG18" s="100" t="n">
        <f aca="false">E18+I18+Q18+U18+Y18+M18+AC18</f>
        <v>1441</v>
      </c>
      <c r="AH18" s="100" t="n">
        <f aca="false">F18+J18+R18+V18+Z18+N18+AD18</f>
        <v>152.117710508003</v>
      </c>
      <c r="AI18" s="100" t="n">
        <f aca="false">G18+K18+S18+W18+AA18+O18+AE18</f>
        <v>1593.117710508</v>
      </c>
      <c r="AK18" s="101"/>
    </row>
    <row r="19" customFormat="false" ht="15" hidden="false" customHeight="false" outlineLevel="0" collapsed="false">
      <c r="A19" s="80" t="n">
        <v>359</v>
      </c>
      <c r="C19" s="81" t="s">
        <v>76</v>
      </c>
      <c r="E19" s="119" t="n">
        <f aca="false">AK19/AK$24*AL$24</f>
        <v>15064.8876404494</v>
      </c>
      <c r="F19" s="97" t="n">
        <f aca="false">E19/E$25*F$25</f>
        <v>2204.6797752809</v>
      </c>
      <c r="G19" s="97" t="n">
        <f aca="false">SUM(E19:F19)</f>
        <v>17269.5674157303</v>
      </c>
      <c r="H19" s="97"/>
      <c r="I19" s="98" t="n">
        <v>0</v>
      </c>
      <c r="J19" s="97" t="n">
        <f aca="false">(ABS(I19)/I$25)*J$25</f>
        <v>0</v>
      </c>
      <c r="K19" s="97" t="n">
        <f aca="false">SUM(I19:J19)</f>
        <v>0</v>
      </c>
      <c r="L19" s="97"/>
      <c r="M19" s="98" t="n">
        <v>0</v>
      </c>
      <c r="N19" s="97" t="n">
        <f aca="false">(M19/M$25)*N$25</f>
        <v>0</v>
      </c>
      <c r="O19" s="97" t="n">
        <f aca="false">SUM(M19:N19)</f>
        <v>0</v>
      </c>
      <c r="P19" s="97"/>
      <c r="Q19" s="98"/>
      <c r="R19" s="97" t="n">
        <f aca="false">(Q19/Q$25)*R$25</f>
        <v>0</v>
      </c>
      <c r="S19" s="97" t="n">
        <f aca="false">SUM(Q19:R19)</f>
        <v>0</v>
      </c>
      <c r="T19" s="97"/>
      <c r="U19" s="98"/>
      <c r="V19" s="97"/>
      <c r="W19" s="97" t="n">
        <f aca="false">U19+V19</f>
        <v>0</v>
      </c>
      <c r="X19" s="97"/>
      <c r="Y19" s="98"/>
      <c r="Z19" s="99" t="n">
        <f aca="false">(Y19/Y$25)*Z$25</f>
        <v>0</v>
      </c>
      <c r="AA19" s="97" t="n">
        <f aca="false">SUM(Y19:Z19)</f>
        <v>0</v>
      </c>
      <c r="AC19" s="97"/>
      <c r="AD19" s="99" t="n">
        <f aca="false">(AC19/AC$25)*AD$25</f>
        <v>0</v>
      </c>
      <c r="AE19" s="97" t="n">
        <f aca="false">SUM(AC19:AD19)</f>
        <v>0</v>
      </c>
      <c r="AG19" s="100" t="n">
        <f aca="false">E19+I19+Q19+U19+Y19+M19+AC19</f>
        <v>15064.8876404494</v>
      </c>
      <c r="AH19" s="100" t="n">
        <f aca="false">F19+J19+R19+V19+Z19+N19+AD19</f>
        <v>2204.6797752809</v>
      </c>
      <c r="AI19" s="100" t="n">
        <f aca="false">G19+K19+S19+W19+AA19+O19+AE19</f>
        <v>17269.5674157303</v>
      </c>
      <c r="AK19" s="101" t="n">
        <v>3</v>
      </c>
    </row>
    <row r="20" customFormat="false" ht="15" hidden="false" customHeight="false" outlineLevel="0" collapsed="false">
      <c r="A20" s="80" t="n">
        <v>460</v>
      </c>
      <c r="C20" s="81" t="s">
        <v>77</v>
      </c>
      <c r="E20" s="119" t="n">
        <f aca="false">AK20/AK$24*AL$24</f>
        <v>5021.62921348315</v>
      </c>
      <c r="F20" s="97" t="n">
        <f aca="false">E20/E$25*F$25</f>
        <v>734.893258426966</v>
      </c>
      <c r="G20" s="97" t="n">
        <f aca="false">SUM(E20:F20)</f>
        <v>5756.52247191011</v>
      </c>
      <c r="H20" s="97"/>
      <c r="I20" s="98" t="n">
        <v>31996</v>
      </c>
      <c r="J20" s="97" t="n">
        <f aca="false">(ABS(I20)/I$25)*J$25</f>
        <v>17171.2072600888</v>
      </c>
      <c r="K20" s="97" t="n">
        <f aca="false">SUM(I20:J20)</f>
        <v>49167.2072600888</v>
      </c>
      <c r="L20" s="97"/>
      <c r="M20" s="98" t="n">
        <v>0</v>
      </c>
      <c r="N20" s="97" t="n">
        <f aca="false">(M20/M$25)*N$25</f>
        <v>0</v>
      </c>
      <c r="O20" s="97" t="n">
        <f aca="false">SUM(M20:N20)</f>
        <v>0</v>
      </c>
      <c r="P20" s="97"/>
      <c r="Q20" s="98" t="n">
        <v>80691</v>
      </c>
      <c r="R20" s="97" t="n">
        <f aca="false">(Q20/Q$25)*R$25</f>
        <v>8518.06396849497</v>
      </c>
      <c r="S20" s="97" t="n">
        <f aca="false">SUM(Q20:R20)</f>
        <v>89209.063968495</v>
      </c>
      <c r="T20" s="97"/>
      <c r="U20" s="98"/>
      <c r="V20" s="97"/>
      <c r="W20" s="97" t="n">
        <f aca="false">U20+V20</f>
        <v>0</v>
      </c>
      <c r="X20" s="97"/>
      <c r="Y20" s="98" t="n">
        <v>15705</v>
      </c>
      <c r="Z20" s="99" t="n">
        <f aca="false">(Y20/Y$25)*Z$25</f>
        <v>4027.06964639939</v>
      </c>
      <c r="AA20" s="97" t="n">
        <f aca="false">SUM(Y20:Z20)</f>
        <v>19732.0696463994</v>
      </c>
      <c r="AC20" s="97" t="n">
        <v>167702</v>
      </c>
      <c r="AD20" s="99" t="n">
        <f aca="false">(AC20/AC$25)*AD$25</f>
        <v>40432.2399118717</v>
      </c>
      <c r="AE20" s="97" t="n">
        <f aca="false">SUM(AC20:AD20)</f>
        <v>208134.239911872</v>
      </c>
      <c r="AG20" s="100" t="n">
        <f aca="false">E20+I20+Q20+U20+Y20+M20+AC20</f>
        <v>301115.629213483</v>
      </c>
      <c r="AH20" s="100" t="n">
        <f aca="false">F20+J20+R20+V20+Z20+N20+AD20</f>
        <v>70883.4740452819</v>
      </c>
      <c r="AI20" s="100" t="n">
        <f aca="false">G20+K20+S20+W20+AA20+O20+AE20</f>
        <v>371999.103258765</v>
      </c>
      <c r="AK20" s="101" t="n">
        <v>1</v>
      </c>
    </row>
    <row r="21" customFormat="false" ht="15" hidden="false" customHeight="false" outlineLevel="0" collapsed="false">
      <c r="A21" s="80" t="s">
        <v>78</v>
      </c>
      <c r="C21" s="0" t="s">
        <v>79</v>
      </c>
      <c r="E21" s="119" t="n">
        <f aca="false">AK21/AK$24*AL$24</f>
        <v>55237.9213483146</v>
      </c>
      <c r="F21" s="97" t="n">
        <f aca="false">E21/E$25*F$25</f>
        <v>8083.82584269663</v>
      </c>
      <c r="G21" s="97" t="n">
        <f aca="false">SUM(E21:F21)</f>
        <v>63321.7471910112</v>
      </c>
      <c r="H21" s="97"/>
      <c r="I21" s="98"/>
      <c r="J21" s="97"/>
      <c r="K21" s="97" t="n">
        <f aca="false">SUM(I21:J21)</f>
        <v>0</v>
      </c>
      <c r="L21" s="97"/>
      <c r="M21" s="98"/>
      <c r="N21" s="97"/>
      <c r="O21" s="97" t="n">
        <f aca="false">SUM(M21:N21)</f>
        <v>0</v>
      </c>
      <c r="P21" s="97"/>
      <c r="Q21" s="98"/>
      <c r="R21" s="97" t="n">
        <f aca="false">(Q21/Q$25)*R$25</f>
        <v>0</v>
      </c>
      <c r="S21" s="97" t="n">
        <f aca="false">SUM(Q21:R21)</f>
        <v>0</v>
      </c>
      <c r="T21" s="97"/>
      <c r="U21" s="98"/>
      <c r="V21" s="97"/>
      <c r="W21" s="97" t="n">
        <f aca="false">U21+V21</f>
        <v>0</v>
      </c>
      <c r="X21" s="97"/>
      <c r="Y21" s="98"/>
      <c r="Z21" s="99"/>
      <c r="AA21" s="97" t="n">
        <f aca="false">SUM(Y21:Z21)</f>
        <v>0</v>
      </c>
      <c r="AC21" s="97"/>
      <c r="AD21" s="99" t="n">
        <f aca="false">(AC21/AC$25)*AD$25</f>
        <v>0</v>
      </c>
      <c r="AE21" s="97" t="n">
        <f aca="false">SUM(AC21:AD21)</f>
        <v>0</v>
      </c>
      <c r="AG21" s="100" t="n">
        <f aca="false">E21+I21+Q21+U21+Y21+M21+AC21</f>
        <v>55237.9213483146</v>
      </c>
      <c r="AH21" s="100" t="n">
        <f aca="false">F21+J21+R21+V21+Z21+N21+AD21</f>
        <v>8083.82584269663</v>
      </c>
      <c r="AI21" s="100" t="n">
        <f aca="false">G21+K21+S21+W21+AA21+O21+AE21</f>
        <v>63321.7471910112</v>
      </c>
      <c r="AK21" s="101" t="n">
        <v>11</v>
      </c>
    </row>
    <row r="22" customFormat="false" ht="15" hidden="false" customHeight="false" outlineLevel="0" collapsed="false">
      <c r="A22" s="80" t="s">
        <v>80</v>
      </c>
      <c r="C22" s="0"/>
      <c r="E22" s="119" t="n">
        <f aca="false">AK22/AK$24*AL$24</f>
        <v>0</v>
      </c>
      <c r="F22" s="97"/>
      <c r="G22" s="97"/>
      <c r="H22" s="97"/>
      <c r="I22" s="98"/>
      <c r="J22" s="97"/>
      <c r="K22" s="97" t="n">
        <f aca="false">SUM(I22:J22)</f>
        <v>0</v>
      </c>
      <c r="L22" s="97"/>
      <c r="M22" s="98"/>
      <c r="N22" s="97"/>
      <c r="O22" s="97" t="n">
        <f aca="false">SUM(M22:N22)</f>
        <v>0</v>
      </c>
      <c r="P22" s="97"/>
      <c r="Q22" s="98" t="n">
        <v>-5388</v>
      </c>
      <c r="R22" s="97" t="n">
        <f aca="false">(Q22/Q$25)*R$25</f>
        <v>-568.778781552477</v>
      </c>
      <c r="S22" s="97" t="n">
        <f aca="false">SUM(Q22:R22)</f>
        <v>-5956.77878155248</v>
      </c>
      <c r="T22" s="97"/>
      <c r="U22" s="98"/>
      <c r="V22" s="97"/>
      <c r="W22" s="97"/>
      <c r="X22" s="97"/>
      <c r="Y22" s="98"/>
      <c r="Z22" s="99"/>
      <c r="AA22" s="97" t="n">
        <f aca="false">SUM(Y22:Z22)</f>
        <v>0</v>
      </c>
      <c r="AC22" s="97"/>
      <c r="AD22" s="99"/>
      <c r="AE22" s="97" t="n">
        <f aca="false">SUM(AC22:AD22)</f>
        <v>0</v>
      </c>
      <c r="AG22" s="100" t="n">
        <f aca="false">E22+I22+Q22+U22+Y22+M22+AC22</f>
        <v>-5388</v>
      </c>
      <c r="AH22" s="100" t="n">
        <f aca="false">F22+J22+R22+V22+Z22+N22+AD22</f>
        <v>-568.778781552477</v>
      </c>
      <c r="AI22" s="100" t="n">
        <f aca="false">G22+K22+S22+W22+AA22+O22+AE22</f>
        <v>-5956.77878155248</v>
      </c>
      <c r="AK22" s="101"/>
    </row>
    <row r="23" customFormat="false" ht="15" hidden="false" customHeight="false" outlineLevel="0" collapsed="false">
      <c r="A23" s="80" t="s">
        <v>81</v>
      </c>
      <c r="C23" s="81" t="s">
        <v>82</v>
      </c>
      <c r="E23" s="119" t="n">
        <f aca="false">AK23/AK$24*AL$24</f>
        <v>0</v>
      </c>
      <c r="F23" s="97" t="n">
        <f aca="false">E23/E$25*F$25</f>
        <v>0</v>
      </c>
      <c r="G23" s="97" t="n">
        <f aca="false">SUM(E23:F23)</f>
        <v>0</v>
      </c>
      <c r="H23" s="97"/>
      <c r="I23" s="98" t="n">
        <v>0</v>
      </c>
      <c r="J23" s="97" t="n">
        <f aca="false">(ABS(I23)/I$25)*J$25</f>
        <v>0</v>
      </c>
      <c r="K23" s="97" t="n">
        <f aca="false">SUM(I23:J23)</f>
        <v>0</v>
      </c>
      <c r="L23" s="97"/>
      <c r="M23" s="98" t="n">
        <v>0</v>
      </c>
      <c r="N23" s="97" t="n">
        <f aca="false">(M23/M$25)*N$25</f>
        <v>0</v>
      </c>
      <c r="O23" s="97" t="n">
        <f aca="false">SUM(M23:N23)</f>
        <v>0</v>
      </c>
      <c r="P23" s="97"/>
      <c r="Q23" s="98"/>
      <c r="R23" s="97"/>
      <c r="S23" s="97"/>
      <c r="T23" s="97"/>
      <c r="U23" s="98"/>
      <c r="V23" s="97"/>
      <c r="W23" s="97"/>
      <c r="X23" s="97"/>
      <c r="Y23" s="98"/>
      <c r="Z23" s="99"/>
      <c r="AA23" s="97"/>
      <c r="AC23" s="97"/>
      <c r="AD23" s="99"/>
      <c r="AE23" s="97"/>
      <c r="AG23" s="100" t="n">
        <f aca="false">E23+I23+Q23+U23+Y23+M23+AC23</f>
        <v>0</v>
      </c>
      <c r="AH23" s="100" t="n">
        <f aca="false">F23+J23+R23+V23+Z23+N23+AD23</f>
        <v>0</v>
      </c>
      <c r="AI23" s="126" t="n">
        <f aca="false">G23+K23+S23+W23+AA23+O23+AE23</f>
        <v>0</v>
      </c>
      <c r="AK23" s="101"/>
    </row>
    <row r="24" customFormat="false" ht="15" hidden="false" customHeight="false" outlineLevel="0" collapsed="false">
      <c r="E24" s="106"/>
      <c r="F24" s="107"/>
      <c r="G24" s="107"/>
      <c r="I24" s="107"/>
      <c r="J24" s="107"/>
      <c r="K24" s="107"/>
      <c r="M24" s="107"/>
      <c r="N24" s="107"/>
      <c r="O24" s="107"/>
      <c r="Q24" s="107"/>
      <c r="R24" s="107"/>
      <c r="S24" s="107"/>
      <c r="U24" s="107"/>
      <c r="V24" s="107"/>
      <c r="W24" s="107"/>
      <c r="Y24" s="107"/>
      <c r="Z24" s="107"/>
      <c r="AA24" s="107"/>
      <c r="AC24" s="107"/>
      <c r="AD24" s="107"/>
      <c r="AE24" s="107"/>
      <c r="AG24" s="107"/>
      <c r="AH24" s="107"/>
      <c r="AI24" s="107"/>
      <c r="AK24" s="81" t="n">
        <f aca="false">SUM(AK8:AK23)</f>
        <v>178</v>
      </c>
      <c r="AL24" s="101" t="n">
        <f aca="false">1141473-247623</f>
        <v>893850</v>
      </c>
    </row>
    <row r="25" customFormat="false" ht="15" hidden="false" customHeight="false" outlineLevel="0" collapsed="false">
      <c r="C25" s="108" t="s">
        <v>58</v>
      </c>
      <c r="E25" s="97" t="n">
        <f aca="false">SUM(E8:E24)</f>
        <v>893850</v>
      </c>
      <c r="F25" s="109" t="n">
        <f aca="false">131251-440</f>
        <v>130811</v>
      </c>
      <c r="G25" s="110" t="n">
        <f aca="false">SUM(G8:G23)</f>
        <v>1024661</v>
      </c>
      <c r="H25" s="110"/>
      <c r="I25" s="97" t="n">
        <f aca="false">SUM(I8:I24)</f>
        <v>51790</v>
      </c>
      <c r="J25" s="109" t="n">
        <f aca="false">28776-982</f>
        <v>27794</v>
      </c>
      <c r="K25" s="110" t="n">
        <f aca="false">SUM(K8:K23)</f>
        <v>79584</v>
      </c>
      <c r="L25" s="110"/>
      <c r="M25" s="110" t="n">
        <f aca="false">SUM(M8:M23)</f>
        <v>107805</v>
      </c>
      <c r="N25" s="109" t="n">
        <f aca="false">26644-876</f>
        <v>25768</v>
      </c>
      <c r="O25" s="110" t="n">
        <f aca="false">SUM(O8:O23)</f>
        <v>133573</v>
      </c>
      <c r="P25" s="110"/>
      <c r="Q25" s="110" t="n">
        <f aca="false">SUM(Q8:Q23)</f>
        <v>316140</v>
      </c>
      <c r="R25" s="109" t="n">
        <f aca="false">36538-3165</f>
        <v>33373</v>
      </c>
      <c r="S25" s="110" t="n">
        <f aca="false">SUM(S8:S23)</f>
        <v>349513</v>
      </c>
      <c r="T25" s="110"/>
      <c r="U25" s="110" t="n">
        <f aca="false">SUM(U8:U23)</f>
        <v>12140</v>
      </c>
      <c r="V25" s="109" t="n">
        <f aca="false">2202-82</f>
        <v>2120</v>
      </c>
      <c r="W25" s="110" t="n">
        <f aca="false">SUM(W8:W23)</f>
        <v>14260</v>
      </c>
      <c r="X25" s="110"/>
      <c r="Y25" s="97" t="n">
        <f aca="false">SUM(Y8:Y24)</f>
        <v>54949</v>
      </c>
      <c r="Z25" s="109" t="n">
        <f aca="false">15438-1348</f>
        <v>14090</v>
      </c>
      <c r="AA25" s="110" t="n">
        <f aca="false">SUM(AA8:AA23)</f>
        <v>69039</v>
      </c>
      <c r="AB25" s="110"/>
      <c r="AC25" s="97" t="n">
        <f aca="false">SUM(AC8:AC24)</f>
        <v>875088</v>
      </c>
      <c r="AD25" s="109" t="n">
        <f aca="false">218231-7251</f>
        <v>210980</v>
      </c>
      <c r="AE25" s="110" t="n">
        <f aca="false">SUM(AE8:AE23)</f>
        <v>1086068</v>
      </c>
      <c r="AF25" s="110"/>
      <c r="AG25" s="110" t="n">
        <f aca="false">SUM(AG8:AG23)</f>
        <v>2311762</v>
      </c>
      <c r="AH25" s="110" t="n">
        <f aca="false">SUM(AH8:AH23)</f>
        <v>444936</v>
      </c>
      <c r="AI25" s="110" t="n">
        <f aca="false">SUM(AI8:AI23)</f>
        <v>2756698</v>
      </c>
      <c r="AJ25" s="110" t="n">
        <f aca="false">AA25+W25+S25+K25+G25+O25+AE25</f>
        <v>2756698</v>
      </c>
    </row>
    <row r="27" customFormat="false" ht="15" hidden="false" customHeight="false" outlineLevel="0" collapsed="false">
      <c r="I27" s="110" t="n">
        <f aca="false">SUM(ABS(I8)+ABS(I9)+ABS(I10)+ABS(I20))</f>
        <v>51790</v>
      </c>
      <c r="J27" s="111"/>
      <c r="Q27" s="98"/>
    </row>
    <row r="28" customFormat="false" ht="15" hidden="false" customHeight="false" outlineLevel="0" collapsed="false">
      <c r="F28" s="97" t="n">
        <f aca="false">SUM(F8:F23)</f>
        <v>130811</v>
      </c>
      <c r="G28" s="110"/>
      <c r="H28" s="110"/>
      <c r="I28" s="110"/>
      <c r="J28" s="97" t="n">
        <f aca="false">SUM(J8:J23)</f>
        <v>27794</v>
      </c>
      <c r="K28" s="110"/>
      <c r="L28" s="110"/>
      <c r="M28" s="110"/>
      <c r="N28" s="97" t="n">
        <f aca="false">SUM(N8:N23)</f>
        <v>25768</v>
      </c>
      <c r="O28" s="110"/>
      <c r="P28" s="110"/>
      <c r="Q28" s="110"/>
      <c r="R28" s="97" t="n">
        <f aca="false">SUM(R8:R23)</f>
        <v>33373</v>
      </c>
      <c r="S28" s="110"/>
      <c r="T28" s="110"/>
      <c r="U28" s="110"/>
      <c r="V28" s="97" t="n">
        <f aca="false">SUM(V8:V23)</f>
        <v>2120</v>
      </c>
      <c r="W28" s="110"/>
      <c r="X28" s="110"/>
      <c r="Y28" s="97"/>
      <c r="Z28" s="97" t="n">
        <f aca="false">SUM(Z8:Z23)</f>
        <v>14090</v>
      </c>
      <c r="AA28" s="110"/>
      <c r="AB28" s="110"/>
      <c r="AC28" s="97"/>
      <c r="AD28" s="97" t="n">
        <f aca="false">SUM(AD8:AD23)</f>
        <v>210980</v>
      </c>
      <c r="AE28" s="110"/>
      <c r="AF28" s="110"/>
      <c r="AG28" s="110"/>
      <c r="AH28" s="110"/>
    </row>
    <row r="29" customFormat="false" ht="15" hidden="false" customHeight="false" outlineLevel="0" collapsed="false">
      <c r="U29" s="112"/>
      <c r="V29" s="113"/>
      <c r="W29" s="113"/>
      <c r="X29" s="112"/>
      <c r="Y29" s="114"/>
      <c r="Z29" s="115"/>
      <c r="AC29" s="114"/>
      <c r="AD29" s="115"/>
    </row>
    <row r="30" customFormat="false" ht="15" hidden="false" customHeight="false" outlineLevel="0" collapsed="false">
      <c r="U30" s="112"/>
      <c r="V30" s="113"/>
      <c r="W30" s="113"/>
      <c r="X30" s="112"/>
      <c r="Y30" s="114"/>
      <c r="Z30" s="115"/>
      <c r="AC30" s="114"/>
      <c r="AD30" s="115"/>
    </row>
    <row r="31" customFormat="false" ht="15" hidden="false" customHeight="false" outlineLevel="0" collapsed="false">
      <c r="T31" s="116"/>
      <c r="U31" s="117"/>
      <c r="V31" s="117"/>
      <c r="W31" s="117"/>
      <c r="X31" s="117"/>
      <c r="Y31" s="117"/>
      <c r="Z31" s="117"/>
      <c r="AC31" s="117"/>
      <c r="AD31" s="117"/>
    </row>
    <row r="32" customFormat="false" ht="15" hidden="false" customHeight="false" outlineLevel="0" collapsed="false">
      <c r="T32" s="116"/>
      <c r="U32" s="118"/>
      <c r="V32" s="117"/>
      <c r="W32" s="117"/>
      <c r="X32" s="118"/>
      <c r="Y32" s="119"/>
      <c r="Z32" s="116"/>
      <c r="AA32" s="119"/>
      <c r="AC32" s="119"/>
      <c r="AD32" s="116"/>
      <c r="AE32" s="119"/>
      <c r="AG32" s="120"/>
    </row>
    <row r="33" customFormat="false" ht="15" hidden="false" customHeight="false" outlineLevel="0" collapsed="false">
      <c r="T33" s="116"/>
      <c r="U33" s="118"/>
      <c r="V33" s="117"/>
      <c r="W33" s="117"/>
      <c r="X33" s="118"/>
      <c r="Y33" s="119"/>
      <c r="Z33" s="116"/>
      <c r="AA33" s="119"/>
      <c r="AC33" s="119"/>
      <c r="AD33" s="116"/>
      <c r="AE33" s="119"/>
      <c r="AG33" s="120"/>
    </row>
    <row r="34" customFormat="false" ht="15" hidden="false" customHeight="false" outlineLevel="0" collapsed="false">
      <c r="T34" s="116"/>
      <c r="U34" s="118"/>
      <c r="V34" s="117"/>
      <c r="W34" s="117"/>
      <c r="X34" s="118"/>
      <c r="Y34" s="119"/>
      <c r="Z34" s="116"/>
      <c r="AA34" s="119"/>
      <c r="AC34" s="119"/>
      <c r="AD34" s="116"/>
      <c r="AE34" s="119"/>
      <c r="AG34" s="120"/>
    </row>
    <row r="35" customFormat="false" ht="15" hidden="false" customHeight="false" outlineLevel="0" collapsed="false">
      <c r="T35" s="121"/>
      <c r="U35" s="117"/>
      <c r="V35" s="117"/>
      <c r="W35" s="117"/>
      <c r="X35" s="118"/>
      <c r="Y35" s="119"/>
      <c r="Z35" s="116"/>
      <c r="AA35" s="119"/>
      <c r="AC35" s="119"/>
      <c r="AD35" s="116"/>
      <c r="AE35" s="119"/>
      <c r="AG35" s="120"/>
    </row>
    <row r="36" customFormat="false" ht="15" hidden="false" customHeight="false" outlineLevel="0" collapsed="false">
      <c r="U36" s="117"/>
      <c r="V36" s="122"/>
      <c r="W36" s="117"/>
      <c r="X36" s="117"/>
      <c r="Y36" s="123"/>
      <c r="Z36" s="124"/>
      <c r="AA36" s="125"/>
      <c r="AC36" s="123"/>
      <c r="AD36" s="124"/>
      <c r="AE36" s="125"/>
      <c r="AG36" s="120"/>
    </row>
    <row r="38" customFormat="false" ht="15" hidden="false" customHeight="false" outlineLevel="0" collapsed="false">
      <c r="A38" s="81"/>
    </row>
    <row r="39" customFormat="false" ht="15" hidden="false" customHeight="false" outlineLevel="0" collapsed="false">
      <c r="A39" s="81"/>
    </row>
  </sheetData>
  <mergeCells count="8">
    <mergeCell ref="E5:G5"/>
    <mergeCell ref="I5:K5"/>
    <mergeCell ref="M5:O5"/>
    <mergeCell ref="Q5:S5"/>
    <mergeCell ref="U5:W5"/>
    <mergeCell ref="Y5:AA5"/>
    <mergeCell ref="AC5:AE5"/>
    <mergeCell ref="AG5:AI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69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C50" activeCellId="0" sqref="C5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41"/>
    <col collapsed="false" customWidth="true" hidden="false" outlineLevel="0" max="2" min="2" style="0" width="59.42"/>
    <col collapsed="false" customWidth="true" hidden="false" outlineLevel="0" max="3" min="3" style="1" width="29.85"/>
    <col collapsed="false" customWidth="true" hidden="false" outlineLevel="0" max="9" min="7" style="37" width="9.14"/>
  </cols>
  <sheetData>
    <row r="1" customFormat="false" ht="65.25" hidden="false" customHeight="true" outlineLevel="0" collapsed="false">
      <c r="C1" s="2" t="s">
        <v>0</v>
      </c>
    </row>
    <row r="2" customFormat="false" ht="15.75" hidden="false" customHeight="false" outlineLevel="0" collapsed="false">
      <c r="B2" s="3" t="s">
        <v>1</v>
      </c>
      <c r="C2" s="0"/>
    </row>
    <row r="3" customFormat="false" ht="15.75" hidden="false" customHeight="false" outlineLevel="0" collapsed="false">
      <c r="B3" s="3" t="s">
        <v>2</v>
      </c>
    </row>
    <row r="4" customFormat="false" ht="15.75" hidden="false" customHeight="false" outlineLevel="0" collapsed="false">
      <c r="B4" s="3" t="s">
        <v>3</v>
      </c>
    </row>
    <row r="5" customFormat="false" ht="35.25" hidden="false" customHeight="true" outlineLevel="0" collapsed="false">
      <c r="B5" s="3" t="s">
        <v>4</v>
      </c>
    </row>
    <row r="6" customFormat="false" ht="35.25" hidden="false" customHeight="true" outlineLevel="0" collapsed="false">
      <c r="B6" s="4"/>
    </row>
    <row r="7" customFormat="false" ht="12.75" hidden="false" customHeight="false" outlineLevel="0" collapsed="false">
      <c r="B7" s="4"/>
    </row>
    <row r="8" customFormat="false" ht="15" hidden="false" customHeight="false" outlineLevel="0" collapsed="false">
      <c r="A8" s="5" t="s">
        <v>25</v>
      </c>
      <c r="B8" s="5"/>
      <c r="C8" s="39" t="str">
        <f aca="false">+'Co 359 Invoice'!C8</f>
        <v>3/2000</v>
      </c>
      <c r="D8" s="7"/>
      <c r="E8" s="7"/>
      <c r="F8" s="7"/>
      <c r="G8" s="9"/>
      <c r="H8" s="9"/>
      <c r="I8" s="9"/>
    </row>
    <row r="9" customFormat="false" ht="15" hidden="false" customHeight="false" outlineLevel="0" collapsed="false">
      <c r="A9" s="7" t="s">
        <v>27</v>
      </c>
      <c r="B9" s="5"/>
      <c r="C9" s="8"/>
      <c r="D9" s="7"/>
      <c r="E9" s="7"/>
      <c r="F9" s="7"/>
      <c r="G9" s="9"/>
      <c r="H9" s="9"/>
      <c r="I9" s="9"/>
    </row>
    <row r="10" customFormat="false" ht="41.25" hidden="false" customHeight="true" outlineLevel="0" collapsed="false">
      <c r="A10" s="7"/>
      <c r="B10" s="40"/>
      <c r="C10" s="8"/>
      <c r="D10" s="7"/>
      <c r="E10" s="7"/>
      <c r="F10" s="7"/>
      <c r="G10" s="9"/>
      <c r="H10" s="9"/>
      <c r="I10" s="9"/>
    </row>
    <row r="11" customFormat="false" ht="22.5" hidden="false" customHeight="true" outlineLevel="0" collapsed="false">
      <c r="A11" s="41" t="s">
        <v>7</v>
      </c>
      <c r="B11" s="41"/>
      <c r="C11" s="42" t="s">
        <v>8</v>
      </c>
      <c r="D11" s="7"/>
      <c r="E11" s="7"/>
      <c r="F11" s="7"/>
      <c r="G11" s="9"/>
      <c r="H11" s="43"/>
      <c r="I11" s="44"/>
      <c r="J11" s="27"/>
      <c r="K11" s="27"/>
      <c r="L11" s="27"/>
      <c r="M11" s="27"/>
      <c r="N11" s="27"/>
      <c r="O11" s="27"/>
      <c r="P11" s="27"/>
      <c r="Q11" s="27"/>
    </row>
    <row r="12" customFormat="false" ht="18.75" hidden="true" customHeight="true" outlineLevel="0" collapsed="false">
      <c r="A12" s="45" t="s">
        <v>34</v>
      </c>
      <c r="B12" s="46"/>
      <c r="C12" s="30"/>
      <c r="D12" s="7"/>
      <c r="E12" s="7"/>
      <c r="F12" s="7"/>
      <c r="G12" s="47"/>
      <c r="H12" s="47"/>
      <c r="I12" s="47"/>
      <c r="J12" s="27"/>
      <c r="K12" s="27"/>
      <c r="L12" s="27"/>
      <c r="M12" s="27"/>
      <c r="N12" s="27"/>
      <c r="O12" s="27"/>
      <c r="P12" s="27"/>
      <c r="Q12" s="27"/>
    </row>
    <row r="13" customFormat="false" ht="20.25" hidden="true" customHeight="true" outlineLevel="0" collapsed="false">
      <c r="A13" s="23" t="s">
        <v>16</v>
      </c>
      <c r="B13" s="29"/>
      <c r="C13" s="48"/>
      <c r="D13" s="7"/>
      <c r="E13" s="7"/>
      <c r="F13" s="7"/>
      <c r="G13" s="27"/>
      <c r="H13" s="27"/>
      <c r="I13" s="12"/>
      <c r="J13" s="27"/>
      <c r="K13" s="27"/>
      <c r="L13" s="27"/>
      <c r="M13" s="27"/>
      <c r="N13" s="27"/>
      <c r="O13" s="27"/>
      <c r="P13" s="27"/>
      <c r="Q13" s="27"/>
    </row>
    <row r="14" customFormat="false" ht="20.25" hidden="true" customHeight="true" outlineLevel="0" collapsed="false">
      <c r="A14" s="25" t="s">
        <v>29</v>
      </c>
      <c r="B14" s="50"/>
      <c r="C14" s="127" t="n">
        <f aca="false">SUM(C12:C13)</f>
        <v>0</v>
      </c>
      <c r="D14" s="7"/>
      <c r="E14" s="7"/>
      <c r="F14" s="7"/>
      <c r="G14" s="27"/>
      <c r="H14" s="27"/>
      <c r="I14" s="12"/>
      <c r="J14" s="27"/>
      <c r="K14" s="27"/>
      <c r="L14" s="27"/>
      <c r="M14" s="27"/>
      <c r="N14" s="27"/>
      <c r="O14" s="27"/>
      <c r="P14" s="27"/>
      <c r="Q14" s="27"/>
    </row>
    <row r="15" customFormat="false" ht="20.25" hidden="true" customHeight="true" outlineLevel="0" collapsed="false">
      <c r="A15" s="23"/>
      <c r="B15" s="29"/>
      <c r="C15" s="30"/>
      <c r="D15" s="7"/>
      <c r="E15" s="7"/>
      <c r="F15" s="7"/>
      <c r="G15" s="27"/>
      <c r="H15" s="27"/>
      <c r="I15" s="12"/>
      <c r="J15" s="27"/>
      <c r="K15" s="27"/>
      <c r="L15" s="27"/>
      <c r="M15" s="27"/>
      <c r="N15" s="27"/>
      <c r="O15" s="27"/>
      <c r="P15" s="27"/>
      <c r="Q15" s="27"/>
    </row>
    <row r="16" customFormat="false" ht="20.25" hidden="true" customHeight="true" outlineLevel="0" collapsed="false">
      <c r="A16" s="23"/>
      <c r="B16" s="7"/>
      <c r="C16" s="52"/>
      <c r="D16" s="7"/>
      <c r="E16" s="7"/>
      <c r="F16" s="7"/>
      <c r="G16" s="27"/>
      <c r="H16" s="27"/>
      <c r="I16" s="12"/>
      <c r="J16" s="27"/>
      <c r="K16" s="27"/>
      <c r="L16" s="27"/>
      <c r="M16" s="27"/>
      <c r="N16" s="27"/>
      <c r="O16" s="27"/>
      <c r="P16" s="27"/>
      <c r="Q16" s="27"/>
    </row>
    <row r="17" customFormat="false" ht="20.25" hidden="false" customHeight="true" outlineLevel="0" collapsed="false">
      <c r="A17" s="23" t="s">
        <v>88</v>
      </c>
      <c r="B17" s="7"/>
      <c r="C17" s="128"/>
      <c r="D17" s="7"/>
      <c r="E17" s="7"/>
      <c r="F17" s="7"/>
      <c r="G17" s="27"/>
      <c r="H17" s="27"/>
      <c r="I17" s="12"/>
      <c r="J17" s="27"/>
      <c r="K17" s="27"/>
      <c r="L17" s="27"/>
      <c r="M17" s="27"/>
      <c r="N17" s="27"/>
      <c r="O17" s="27"/>
      <c r="P17" s="27"/>
      <c r="Q17" s="27"/>
    </row>
    <row r="18" customFormat="false" ht="20.25" hidden="false" customHeight="true" outlineLevel="0" collapsed="false">
      <c r="A18" s="23" t="s">
        <v>89</v>
      </c>
      <c r="B18" s="7"/>
      <c r="C18" s="129"/>
      <c r="D18" s="7"/>
      <c r="E18" s="7"/>
      <c r="F18" s="7"/>
      <c r="G18" s="27"/>
      <c r="H18" s="27"/>
      <c r="I18" s="12"/>
      <c r="J18" s="27"/>
      <c r="K18" s="27"/>
      <c r="L18" s="27"/>
      <c r="M18" s="27"/>
      <c r="N18" s="27"/>
      <c r="O18" s="27"/>
      <c r="P18" s="27"/>
      <c r="Q18" s="27"/>
    </row>
    <row r="19" customFormat="false" ht="20.25" hidden="false" customHeight="true" outlineLevel="0" collapsed="false">
      <c r="A19" s="25" t="s">
        <v>90</v>
      </c>
      <c r="B19" s="7"/>
      <c r="C19" s="130" t="n">
        <f aca="false">SUM(C17:C18)</f>
        <v>0</v>
      </c>
      <c r="D19" s="7"/>
      <c r="E19" s="7"/>
      <c r="F19" s="7"/>
      <c r="G19" s="27"/>
      <c r="H19" s="27"/>
      <c r="I19" s="12"/>
      <c r="J19" s="27"/>
      <c r="K19" s="27"/>
      <c r="L19" s="27"/>
      <c r="M19" s="27"/>
      <c r="N19" s="27"/>
      <c r="O19" s="27"/>
      <c r="P19" s="27"/>
      <c r="Q19" s="27"/>
    </row>
    <row r="20" customFormat="false" ht="20.25" hidden="false" customHeight="true" outlineLevel="0" collapsed="false">
      <c r="A20" s="23"/>
      <c r="B20" s="7"/>
      <c r="C20" s="128"/>
      <c r="D20" s="7"/>
      <c r="E20" s="7"/>
      <c r="F20" s="7"/>
      <c r="G20" s="27"/>
      <c r="H20" s="27"/>
      <c r="I20" s="12"/>
      <c r="J20" s="27"/>
      <c r="K20" s="27"/>
      <c r="L20" s="27"/>
      <c r="M20" s="27"/>
      <c r="N20" s="27"/>
      <c r="O20" s="27"/>
      <c r="P20" s="27"/>
      <c r="Q20" s="27"/>
    </row>
    <row r="21" customFormat="false" ht="20.25" hidden="false" customHeight="true" outlineLevel="0" collapsed="false">
      <c r="A21" s="23" t="s">
        <v>91</v>
      </c>
      <c r="B21" s="29"/>
      <c r="C21" s="131"/>
      <c r="D21" s="7"/>
      <c r="E21" s="7"/>
      <c r="F21" s="7"/>
      <c r="G21" s="27"/>
      <c r="H21" s="27"/>
      <c r="I21" s="12"/>
      <c r="J21" s="27"/>
      <c r="K21" s="27"/>
      <c r="L21" s="27"/>
      <c r="M21" s="27"/>
      <c r="N21" s="27"/>
      <c r="O21" s="27"/>
      <c r="P21" s="27"/>
      <c r="Q21" s="27"/>
    </row>
    <row r="22" customFormat="false" ht="20.25" hidden="false" customHeight="true" outlineLevel="0" collapsed="false">
      <c r="A22" s="23" t="s">
        <v>92</v>
      </c>
      <c r="B22" s="29"/>
      <c r="C22" s="132"/>
      <c r="D22" s="7"/>
      <c r="E22" s="7"/>
      <c r="F22" s="7"/>
      <c r="G22" s="9"/>
      <c r="H22" s="9"/>
      <c r="I22" s="12"/>
      <c r="J22" s="27"/>
      <c r="K22" s="27"/>
      <c r="L22" s="27"/>
      <c r="M22" s="27"/>
      <c r="N22" s="27"/>
      <c r="O22" s="27"/>
      <c r="P22" s="27"/>
      <c r="Q22" s="27"/>
    </row>
    <row r="23" customFormat="false" ht="20.25" hidden="false" customHeight="true" outlineLevel="0" collapsed="false">
      <c r="A23" s="25" t="s">
        <v>93</v>
      </c>
      <c r="B23" s="27"/>
      <c r="C23" s="133" t="n">
        <f aca="false">SUM(C21:C22)</f>
        <v>0</v>
      </c>
      <c r="D23" s="7"/>
      <c r="E23" s="7"/>
      <c r="F23" s="7"/>
      <c r="G23" s="9"/>
      <c r="H23" s="9"/>
      <c r="I23" s="12"/>
      <c r="J23" s="27"/>
      <c r="K23" s="27"/>
      <c r="L23" s="27"/>
      <c r="M23" s="27"/>
      <c r="N23" s="27"/>
      <c r="O23" s="27"/>
      <c r="P23" s="27"/>
      <c r="Q23" s="27"/>
    </row>
    <row r="24" customFormat="false" ht="20.25" hidden="false" customHeight="true" outlineLevel="0" collapsed="false">
      <c r="A24" s="25"/>
      <c r="B24" s="29"/>
      <c r="C24" s="30"/>
      <c r="D24" s="7"/>
      <c r="E24" s="7"/>
      <c r="F24" s="7"/>
      <c r="G24" s="9"/>
      <c r="H24" s="9"/>
      <c r="I24" s="12"/>
      <c r="J24" s="27"/>
      <c r="K24" s="27"/>
      <c r="L24" s="27"/>
      <c r="M24" s="27"/>
      <c r="N24" s="27"/>
      <c r="O24" s="27"/>
      <c r="P24" s="27"/>
      <c r="Q24" s="27"/>
    </row>
    <row r="25" customFormat="false" ht="20.25" hidden="false" customHeight="true" outlineLevel="0" collapsed="false">
      <c r="A25" s="23" t="s">
        <v>18</v>
      </c>
      <c r="B25" s="29"/>
      <c r="C25" s="30"/>
      <c r="D25" s="7"/>
      <c r="E25" s="7"/>
      <c r="F25" s="7"/>
      <c r="G25" s="9"/>
      <c r="H25" s="9"/>
      <c r="I25" s="12"/>
      <c r="J25" s="27"/>
      <c r="K25" s="27"/>
      <c r="L25" s="27"/>
      <c r="M25" s="27"/>
      <c r="N25" s="27"/>
      <c r="O25" s="27"/>
      <c r="P25" s="27"/>
      <c r="Q25" s="27"/>
    </row>
    <row r="26" customFormat="false" ht="20.25" hidden="false" customHeight="true" outlineLevel="0" collapsed="false">
      <c r="A26" s="23" t="s">
        <v>16</v>
      </c>
      <c r="B26" s="29"/>
      <c r="C26" s="48"/>
      <c r="D26" s="7"/>
      <c r="E26" s="7"/>
      <c r="F26" s="7"/>
      <c r="G26" s="9"/>
      <c r="H26" s="9"/>
      <c r="I26" s="12"/>
    </row>
    <row r="27" customFormat="false" ht="20.25" hidden="false" customHeight="true" outlineLevel="0" collapsed="false">
      <c r="A27" s="25" t="s">
        <v>19</v>
      </c>
      <c r="B27" s="50"/>
      <c r="C27" s="127" t="n">
        <f aca="false">SUM(C25:C26)</f>
        <v>0</v>
      </c>
      <c r="D27" s="7"/>
      <c r="E27" s="7"/>
      <c r="F27" s="7"/>
      <c r="G27" s="9"/>
      <c r="H27" s="9"/>
      <c r="I27" s="12"/>
    </row>
    <row r="28" customFormat="false" ht="20.25" hidden="false" customHeight="true" outlineLevel="0" collapsed="false">
      <c r="A28" s="23"/>
      <c r="B28" s="29"/>
      <c r="C28" s="30"/>
      <c r="D28" s="7"/>
      <c r="E28" s="7"/>
      <c r="F28" s="7"/>
      <c r="G28" s="9"/>
      <c r="H28" s="9"/>
      <c r="I28" s="12"/>
    </row>
    <row r="29" customFormat="false" ht="20.25" hidden="false" customHeight="true" outlineLevel="0" collapsed="false">
      <c r="A29" s="23"/>
      <c r="B29" s="29"/>
      <c r="C29" s="30"/>
      <c r="D29" s="7"/>
      <c r="E29" s="7"/>
      <c r="F29" s="7"/>
      <c r="G29" s="9"/>
      <c r="H29" s="9"/>
      <c r="I29" s="12"/>
    </row>
    <row r="30" customFormat="false" ht="21.75" hidden="false" customHeight="true" outlineLevel="0" collapsed="false">
      <c r="A30" s="23"/>
      <c r="B30" s="29"/>
      <c r="C30" s="30"/>
      <c r="D30" s="7"/>
      <c r="E30" s="7"/>
      <c r="F30" s="7"/>
      <c r="G30" s="9"/>
      <c r="H30" s="57"/>
      <c r="I30" s="58"/>
    </row>
    <row r="31" customFormat="false" ht="21.75" hidden="false" customHeight="true" outlineLevel="0" collapsed="false">
      <c r="A31" s="23"/>
      <c r="B31" s="29"/>
      <c r="C31" s="30"/>
      <c r="D31" s="7"/>
      <c r="E31" s="7"/>
      <c r="F31" s="7"/>
      <c r="G31" s="9"/>
      <c r="H31" s="57"/>
      <c r="I31" s="58"/>
    </row>
    <row r="32" customFormat="false" ht="21.75" hidden="false" customHeight="true" outlineLevel="0" collapsed="false">
      <c r="A32" s="23"/>
      <c r="B32" s="31" t="s">
        <v>20</v>
      </c>
      <c r="C32" s="134" t="n">
        <f aca="false">C27+C23+C19+C14</f>
        <v>0</v>
      </c>
      <c r="D32" s="7"/>
      <c r="E32" s="7"/>
      <c r="F32" s="7"/>
      <c r="G32" s="9"/>
      <c r="H32" s="61"/>
      <c r="I32" s="58"/>
    </row>
    <row r="33" customFormat="false" ht="21.75" hidden="false" customHeight="true" outlineLevel="0" collapsed="false">
      <c r="A33" s="23"/>
      <c r="B33" s="33" t="s">
        <v>21</v>
      </c>
      <c r="C33" s="131"/>
      <c r="D33" s="7"/>
      <c r="E33" s="7"/>
      <c r="F33" s="7"/>
      <c r="G33" s="9"/>
      <c r="H33" s="9"/>
      <c r="I33" s="44"/>
    </row>
    <row r="34" customFormat="false" ht="21.75" hidden="false" customHeight="true" outlineLevel="0" collapsed="false">
      <c r="A34" s="23"/>
      <c r="B34" s="33" t="s">
        <v>22</v>
      </c>
      <c r="C34" s="131"/>
      <c r="D34" s="7"/>
      <c r="E34" s="7"/>
      <c r="F34" s="7"/>
      <c r="G34" s="9"/>
      <c r="H34" s="9"/>
      <c r="I34" s="9"/>
    </row>
    <row r="35" customFormat="false" ht="21.75" hidden="false" customHeight="true" outlineLevel="0" collapsed="false">
      <c r="A35" s="34"/>
      <c r="B35" s="35" t="s">
        <v>23</v>
      </c>
      <c r="C35" s="135" t="n">
        <f aca="false">C34+C33+C32</f>
        <v>0</v>
      </c>
      <c r="D35" s="7"/>
      <c r="E35" s="7"/>
      <c r="F35" s="7"/>
      <c r="G35" s="9"/>
      <c r="H35" s="9"/>
      <c r="I35" s="9"/>
    </row>
    <row r="36" customFormat="false" ht="21.75" hidden="false" customHeight="true" outlineLevel="0" collapsed="false">
      <c r="A36" s="23"/>
      <c r="B36" s="7"/>
      <c r="C36" s="64"/>
      <c r="D36" s="7"/>
      <c r="E36" s="7"/>
      <c r="F36" s="7"/>
      <c r="G36" s="9"/>
      <c r="H36" s="9"/>
      <c r="I36" s="9"/>
    </row>
    <row r="37" customFormat="false" ht="14.25" hidden="false" customHeight="false" outlineLevel="0" collapsed="false">
      <c r="A37" s="27"/>
      <c r="B37" s="27"/>
      <c r="C37" s="65"/>
      <c r="D37" s="7"/>
      <c r="E37" s="7"/>
      <c r="F37" s="7"/>
      <c r="G37" s="7"/>
      <c r="H37" s="7"/>
      <c r="I37" s="7"/>
    </row>
    <row r="38" customFormat="false" ht="14.25" hidden="false" customHeight="false" outlineLevel="0" collapsed="false">
      <c r="A38" s="27"/>
      <c r="B38" s="27"/>
      <c r="C38" s="65"/>
      <c r="D38" s="7"/>
      <c r="E38" s="7"/>
      <c r="F38" s="7"/>
      <c r="G38" s="7"/>
      <c r="H38" s="7"/>
      <c r="I38" s="7"/>
    </row>
    <row r="39" customFormat="false" ht="14.25" hidden="false" customHeight="false" outlineLevel="0" collapsed="false">
      <c r="A39" s="27"/>
      <c r="B39" s="27"/>
      <c r="C39" s="65"/>
      <c r="D39" s="7"/>
      <c r="E39" s="7"/>
      <c r="F39" s="7"/>
      <c r="G39" s="7"/>
      <c r="H39" s="7"/>
      <c r="I39" s="7"/>
    </row>
    <row r="40" customFormat="false" ht="14.25" hidden="false" customHeight="false" outlineLevel="0" collapsed="false">
      <c r="A40" s="27"/>
      <c r="B40" s="27"/>
      <c r="C40" s="65"/>
      <c r="D40" s="7"/>
      <c r="E40" s="7"/>
      <c r="F40" s="7"/>
      <c r="G40" s="7"/>
      <c r="H40" s="7"/>
      <c r="I40" s="7"/>
    </row>
    <row r="41" customFormat="false" ht="14.25" hidden="false" customHeight="false" outlineLevel="0" collapsed="false">
      <c r="A41" s="27"/>
      <c r="B41" s="27"/>
      <c r="C41" s="65"/>
      <c r="D41" s="7"/>
      <c r="E41" s="7"/>
      <c r="F41" s="7"/>
      <c r="G41" s="7"/>
      <c r="H41" s="7"/>
      <c r="I41" s="7"/>
    </row>
    <row r="42" customFormat="false" ht="14.25" hidden="false" customHeight="false" outlineLevel="0" collapsed="false">
      <c r="A42" s="27"/>
      <c r="B42" s="27"/>
      <c r="C42" s="65"/>
      <c r="D42" s="7"/>
      <c r="E42" s="7"/>
      <c r="F42" s="7"/>
      <c r="G42" s="7"/>
      <c r="H42" s="7"/>
      <c r="I42" s="7"/>
    </row>
    <row r="43" customFormat="false" ht="14.25" hidden="false" customHeight="false" outlineLevel="0" collapsed="false">
      <c r="A43" s="27"/>
      <c r="B43" s="27"/>
      <c r="C43" s="65"/>
      <c r="D43" s="7"/>
      <c r="E43" s="7"/>
      <c r="F43" s="7"/>
      <c r="G43" s="7"/>
      <c r="H43" s="7"/>
      <c r="I43" s="7"/>
    </row>
    <row r="44" customFormat="false" ht="14.25" hidden="false" customHeight="false" outlineLevel="0" collapsed="false">
      <c r="A44" s="27"/>
      <c r="B44" s="27"/>
      <c r="C44" s="65"/>
      <c r="D44" s="7"/>
      <c r="E44" s="7"/>
      <c r="F44" s="7"/>
      <c r="G44" s="7"/>
      <c r="H44" s="7"/>
      <c r="I44" s="7"/>
    </row>
    <row r="45" customFormat="false" ht="14.25" hidden="false" customHeight="false" outlineLevel="0" collapsed="false">
      <c r="A45" s="27"/>
      <c r="B45" s="27"/>
      <c r="C45" s="66"/>
      <c r="D45" s="7"/>
      <c r="E45" s="7"/>
      <c r="F45" s="7"/>
      <c r="G45" s="9"/>
      <c r="H45" s="9"/>
      <c r="I45" s="9"/>
    </row>
    <row r="46" customFormat="false" ht="14.25" hidden="false" customHeight="false" outlineLevel="0" collapsed="false">
      <c r="A46" s="27"/>
      <c r="B46" s="27"/>
      <c r="C46" s="66"/>
      <c r="D46" s="7"/>
      <c r="E46" s="7"/>
      <c r="F46" s="7"/>
      <c r="G46" s="9"/>
      <c r="H46" s="9"/>
      <c r="I46" s="9"/>
    </row>
    <row r="47" customFormat="false" ht="14.25" hidden="false" customHeight="false" outlineLevel="0" collapsed="false">
      <c r="A47" s="27"/>
      <c r="B47" s="27"/>
      <c r="C47" s="66"/>
      <c r="D47" s="7"/>
      <c r="E47" s="7"/>
      <c r="F47" s="7"/>
      <c r="G47" s="9"/>
      <c r="H47" s="9"/>
      <c r="I47" s="9"/>
    </row>
    <row r="48" customFormat="false" ht="14.25" hidden="false" customHeight="false" outlineLevel="0" collapsed="false">
      <c r="A48" s="27"/>
      <c r="B48" s="27"/>
      <c r="C48" s="66"/>
      <c r="D48" s="7"/>
      <c r="E48" s="7"/>
      <c r="F48" s="7"/>
      <c r="G48" s="9"/>
      <c r="H48" s="9"/>
      <c r="I48" s="9"/>
    </row>
    <row r="49" customFormat="false" ht="14.25" hidden="false" customHeight="false" outlineLevel="0" collapsed="false">
      <c r="A49" s="7"/>
      <c r="B49" s="7"/>
      <c r="C49" s="8"/>
      <c r="D49" s="7"/>
      <c r="E49" s="7"/>
      <c r="F49" s="7"/>
      <c r="G49" s="9"/>
      <c r="H49" s="9"/>
      <c r="I49" s="9"/>
    </row>
    <row r="50" customFormat="false" ht="14.25" hidden="false" customHeight="false" outlineLevel="0" collapsed="false">
      <c r="A50" s="7"/>
      <c r="B50" s="7"/>
      <c r="C50" s="8"/>
      <c r="D50" s="7"/>
      <c r="E50" s="7"/>
      <c r="F50" s="7"/>
      <c r="G50" s="9"/>
      <c r="H50" s="9"/>
      <c r="I50" s="9"/>
    </row>
    <row r="51" customFormat="false" ht="14.25" hidden="false" customHeight="false" outlineLevel="0" collapsed="false">
      <c r="A51" s="7"/>
      <c r="B51" s="7"/>
      <c r="C51" s="8"/>
      <c r="D51" s="7"/>
      <c r="E51" s="7"/>
      <c r="F51" s="7"/>
      <c r="G51" s="9"/>
      <c r="H51" s="9"/>
      <c r="I51" s="9"/>
    </row>
    <row r="52" customFormat="false" ht="14.25" hidden="false" customHeight="false" outlineLevel="0" collapsed="false">
      <c r="A52" s="7"/>
      <c r="B52" s="7"/>
      <c r="C52" s="8"/>
      <c r="D52" s="7"/>
      <c r="E52" s="7"/>
      <c r="F52" s="7"/>
      <c r="G52" s="9"/>
      <c r="H52" s="9"/>
      <c r="I52" s="9"/>
    </row>
    <row r="53" customFormat="false" ht="14.25" hidden="false" customHeight="false" outlineLevel="0" collapsed="false">
      <c r="A53" s="7"/>
      <c r="B53" s="7"/>
      <c r="C53" s="8"/>
      <c r="D53" s="7"/>
      <c r="E53" s="7"/>
      <c r="F53" s="7"/>
      <c r="G53" s="9"/>
      <c r="H53" s="9"/>
      <c r="I53" s="9"/>
    </row>
    <row r="54" customFormat="false" ht="14.25" hidden="false" customHeight="false" outlineLevel="0" collapsed="false">
      <c r="A54" s="7"/>
      <c r="B54" s="7"/>
      <c r="C54" s="8"/>
      <c r="D54" s="7"/>
      <c r="E54" s="7"/>
      <c r="F54" s="7"/>
      <c r="G54" s="9"/>
      <c r="H54" s="9"/>
      <c r="I54" s="9"/>
    </row>
    <row r="55" customFormat="false" ht="14.25" hidden="false" customHeight="false" outlineLevel="0" collapsed="false">
      <c r="A55" s="7"/>
      <c r="B55" s="7"/>
      <c r="C55" s="8"/>
      <c r="D55" s="7"/>
      <c r="E55" s="7"/>
      <c r="F55" s="7"/>
      <c r="G55" s="9"/>
      <c r="H55" s="9"/>
      <c r="I55" s="9"/>
    </row>
    <row r="56" customFormat="false" ht="14.25" hidden="false" customHeight="false" outlineLevel="0" collapsed="false">
      <c r="A56" s="7"/>
      <c r="B56" s="7"/>
      <c r="C56" s="8"/>
      <c r="D56" s="7"/>
      <c r="E56" s="7"/>
      <c r="F56" s="7"/>
      <c r="G56" s="9"/>
      <c r="H56" s="9"/>
      <c r="I56" s="9"/>
    </row>
    <row r="57" customFormat="false" ht="14.25" hidden="false" customHeight="false" outlineLevel="0" collapsed="false">
      <c r="A57" s="7"/>
      <c r="B57" s="7"/>
      <c r="C57" s="8"/>
      <c r="D57" s="7"/>
      <c r="E57" s="7"/>
      <c r="F57" s="7"/>
      <c r="G57" s="9"/>
      <c r="H57" s="9"/>
      <c r="I57" s="9"/>
    </row>
    <row r="58" customFormat="false" ht="14.25" hidden="false" customHeight="false" outlineLevel="0" collapsed="false">
      <c r="A58" s="7"/>
      <c r="B58" s="7"/>
      <c r="C58" s="8"/>
      <c r="D58" s="7"/>
      <c r="E58" s="7"/>
      <c r="F58" s="7"/>
      <c r="G58" s="9"/>
      <c r="H58" s="9"/>
      <c r="I58" s="9"/>
    </row>
    <row r="59" customFormat="false" ht="14.25" hidden="false" customHeight="false" outlineLevel="0" collapsed="false">
      <c r="A59" s="7"/>
      <c r="B59" s="7"/>
      <c r="C59" s="8"/>
      <c r="D59" s="7"/>
      <c r="E59" s="7"/>
      <c r="F59" s="7"/>
      <c r="G59" s="9"/>
      <c r="H59" s="9"/>
      <c r="I59" s="9"/>
    </row>
    <row r="60" customFormat="false" ht="14.25" hidden="false" customHeight="false" outlineLevel="0" collapsed="false">
      <c r="A60" s="7"/>
      <c r="B60" s="7"/>
      <c r="C60" s="8"/>
      <c r="D60" s="7"/>
      <c r="E60" s="7"/>
      <c r="F60" s="7"/>
      <c r="G60" s="9"/>
      <c r="H60" s="9"/>
      <c r="I60" s="9"/>
    </row>
    <row r="61" customFormat="false" ht="14.25" hidden="false" customHeight="false" outlineLevel="0" collapsed="false">
      <c r="A61" s="7"/>
      <c r="B61" s="7"/>
      <c r="C61" s="8"/>
      <c r="D61" s="7"/>
      <c r="E61" s="7"/>
      <c r="F61" s="7"/>
      <c r="G61" s="9"/>
      <c r="H61" s="9"/>
      <c r="I61" s="9"/>
    </row>
    <row r="62" customFormat="false" ht="14.25" hidden="false" customHeight="false" outlineLevel="0" collapsed="false">
      <c r="D62" s="7"/>
      <c r="E62" s="7"/>
      <c r="F62" s="7"/>
      <c r="G62" s="9"/>
      <c r="H62" s="9"/>
      <c r="I62" s="9"/>
    </row>
    <row r="63" customFormat="false" ht="14.25" hidden="false" customHeight="false" outlineLevel="0" collapsed="false">
      <c r="D63" s="7"/>
      <c r="E63" s="7"/>
      <c r="F63" s="7"/>
      <c r="G63" s="9"/>
      <c r="H63" s="9"/>
      <c r="I63" s="9"/>
    </row>
    <row r="64" customFormat="false" ht="14.25" hidden="false" customHeight="false" outlineLevel="0" collapsed="false">
      <c r="D64" s="7"/>
      <c r="E64" s="7"/>
      <c r="F64" s="7"/>
      <c r="G64" s="9"/>
      <c r="H64" s="9"/>
      <c r="I64" s="9"/>
    </row>
    <row r="65" customFormat="false" ht="14.25" hidden="false" customHeight="false" outlineLevel="0" collapsed="false">
      <c r="D65" s="7"/>
      <c r="E65" s="7"/>
      <c r="F65" s="7"/>
      <c r="G65" s="9"/>
      <c r="H65" s="9"/>
      <c r="I65" s="9"/>
    </row>
    <row r="66" customFormat="false" ht="14.25" hidden="false" customHeight="false" outlineLevel="0" collapsed="false">
      <c r="D66" s="7"/>
      <c r="E66" s="7"/>
      <c r="F66" s="7"/>
      <c r="G66" s="9"/>
      <c r="H66" s="9"/>
      <c r="I66" s="9"/>
    </row>
    <row r="67" customFormat="false" ht="14.25" hidden="false" customHeight="false" outlineLevel="0" collapsed="false">
      <c r="D67" s="7"/>
      <c r="E67" s="7"/>
      <c r="F67" s="7"/>
      <c r="G67" s="9"/>
      <c r="H67" s="9"/>
      <c r="I67" s="9"/>
    </row>
    <row r="68" customFormat="false" ht="14.25" hidden="false" customHeight="false" outlineLevel="0" collapsed="false">
      <c r="D68" s="7"/>
      <c r="E68" s="7"/>
      <c r="F68" s="7"/>
      <c r="G68" s="9"/>
      <c r="H68" s="9"/>
      <c r="I68" s="9"/>
    </row>
    <row r="69" customFormat="false" ht="14.25" hidden="false" customHeight="false" outlineLevel="0" collapsed="false">
      <c r="D69" s="7"/>
      <c r="E69" s="7"/>
      <c r="F69" s="7"/>
      <c r="G69" s="9"/>
      <c r="H69" s="9"/>
      <c r="I69" s="9"/>
    </row>
  </sheetData>
  <mergeCells count="1">
    <mergeCell ref="A11:B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22" activeCellId="0" sqref="C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99"/>
    <col collapsed="false" customWidth="true" hidden="false" outlineLevel="0" max="3" min="3" style="0" width="37.14"/>
    <col collapsed="false" customWidth="true" hidden="false" outlineLevel="0" max="4" min="4" style="0" width="10.56"/>
  </cols>
  <sheetData>
    <row r="1" customFormat="false" ht="20.25" hidden="false" customHeight="false" outlineLevel="0" collapsed="false">
      <c r="A1" s="136" t="s">
        <v>94</v>
      </c>
      <c r="B1" s="137"/>
      <c r="C1" s="138"/>
    </row>
    <row r="2" customFormat="false" ht="12.75" hidden="false" customHeight="false" outlineLevel="0" collapsed="false">
      <c r="A2" s="139" t="s">
        <v>95</v>
      </c>
      <c r="B2" s="138"/>
      <c r="C2" s="138"/>
    </row>
    <row r="3" customFormat="false" ht="13.5" hidden="false" customHeight="false" outlineLevel="0" collapsed="false">
      <c r="A3" s="140"/>
      <c r="B3" s="138"/>
      <c r="C3" s="138"/>
      <c r="D3" s="141" t="s">
        <v>96</v>
      </c>
    </row>
    <row r="4" customFormat="false" ht="13.5" hidden="false" customHeight="false" outlineLevel="0" collapsed="false">
      <c r="A4" s="142" t="s">
        <v>97</v>
      </c>
      <c r="B4" s="142" t="s">
        <v>98</v>
      </c>
      <c r="C4" s="142" t="s">
        <v>99</v>
      </c>
      <c r="D4" s="143" t="s">
        <v>68</v>
      </c>
    </row>
    <row r="5" customFormat="false" ht="12.75" hidden="false" customHeight="false" outlineLevel="0" collapsed="false">
      <c r="A5" s="137"/>
      <c r="B5" s="144"/>
      <c r="C5" s="144"/>
      <c r="D5" s="145"/>
    </row>
    <row r="6" customFormat="false" ht="12.75" hidden="false" customHeight="false" outlineLevel="0" collapsed="false">
      <c r="A6" s="146" t="s">
        <v>100</v>
      </c>
      <c r="B6" s="138"/>
      <c r="C6" s="138"/>
      <c r="D6" s="147"/>
    </row>
    <row r="7" customFormat="false" ht="12.75" hidden="false" customHeight="false" outlineLevel="0" collapsed="false">
      <c r="A7" s="148" t="s">
        <v>101</v>
      </c>
      <c r="B7" s="138" t="s">
        <v>102</v>
      </c>
      <c r="C7" s="149" t="s">
        <v>103</v>
      </c>
      <c r="D7" s="147" t="n">
        <v>34695.09043</v>
      </c>
    </row>
    <row r="8" customFormat="false" ht="12.75" hidden="false" customHeight="false" outlineLevel="0" collapsed="false">
      <c r="A8" s="148" t="s">
        <v>104</v>
      </c>
      <c r="B8" s="138" t="s">
        <v>102</v>
      </c>
      <c r="C8" s="149" t="s">
        <v>103</v>
      </c>
      <c r="D8" s="147" t="n">
        <v>31572</v>
      </c>
    </row>
    <row r="9" customFormat="false" ht="12.75" hidden="false" customHeight="false" outlineLevel="0" collapsed="false">
      <c r="A9" s="148"/>
      <c r="B9" s="138"/>
      <c r="C9" s="149"/>
      <c r="D9" s="150" t="n">
        <f aca="false">SUM(D7:D8)</f>
        <v>66267.09043</v>
      </c>
    </row>
    <row r="10" customFormat="false" ht="12.75" hidden="false" customHeight="false" outlineLevel="0" collapsed="false">
      <c r="A10" s="148"/>
      <c r="B10" s="138"/>
      <c r="C10" s="149"/>
      <c r="D10" s="151"/>
    </row>
    <row r="11" customFormat="false" ht="13.5" hidden="false" customHeight="false" outlineLevel="0" collapsed="false">
      <c r="A11" s="148"/>
      <c r="B11" s="138"/>
      <c r="C11" s="149" t="s">
        <v>105</v>
      </c>
      <c r="D11" s="152" t="n">
        <f aca="false">SUM(D9)</f>
        <v>66267.09043</v>
      </c>
    </row>
    <row r="12" customFormat="false" ht="13.5" hidden="false" customHeight="false" outlineLevel="0" collapsed="false">
      <c r="A12" s="148"/>
      <c r="B12" s="138"/>
      <c r="C12" s="138"/>
    </row>
    <row r="13" customFormat="false" ht="12.75" hidden="false" customHeight="false" outlineLevel="0" collapsed="false">
      <c r="A13" s="148"/>
      <c r="B13" s="138"/>
      <c r="C13" s="138"/>
    </row>
    <row r="14" customFormat="false" ht="12.75" hidden="false" customHeight="false" outlineLevel="0" collapsed="false">
      <c r="A14" s="148"/>
      <c r="B14" s="138"/>
      <c r="C14" s="138"/>
    </row>
    <row r="15" customFormat="false" ht="12.75" hidden="false" customHeight="false" outlineLevel="0" collapsed="false">
      <c r="A15" s="153" t="s">
        <v>106</v>
      </c>
      <c r="B15" s="0" t="s">
        <v>107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0"/>
  <sheetViews>
    <sheetView showFormulas="false" showGridLines="true" showRowColHeaders="true" showZeros="true" rightToLeft="false" tabSelected="false" showOutlineSymbols="true" defaultGridColor="true" view="normal" topLeftCell="R15" colorId="64" zoomScale="100" zoomScaleNormal="100" zoomScalePageLayoutView="100" workbookViewId="0">
      <selection pane="topLeft" activeCell="Z65" activeCellId="1" sqref="Z63 Z65"/>
    </sheetView>
  </sheetViews>
  <sheetFormatPr defaultColWidth="9.13671875" defaultRowHeight="12.75" customHeight="true" zeroHeight="false" outlineLevelRow="0" outlineLevelCol="0"/>
  <cols>
    <col collapsed="false" customWidth="false" hidden="true" outlineLevel="0" max="2" min="1" style="154" width="9.14"/>
    <col collapsed="false" customWidth="true" hidden="true" outlineLevel="0" max="3" min="3" style="154" width="29.99"/>
    <col collapsed="false" customWidth="true" hidden="false" outlineLevel="0" max="4" min="4" style="154" width="34.56"/>
    <col collapsed="false" customWidth="true" hidden="false" outlineLevel="0" max="5" min="5" style="154" width="13.14"/>
    <col collapsed="false" customWidth="true" hidden="false" outlineLevel="0" max="6" min="6" style="151" width="15.28"/>
    <col collapsed="false" customWidth="true" hidden="false" outlineLevel="0" max="7" min="7" style="154" width="0.99"/>
    <col collapsed="false" customWidth="false" hidden="false" outlineLevel="0" max="9" min="8" style="154" width="9.14"/>
    <col collapsed="false" customWidth="true" hidden="false" outlineLevel="0" max="10" min="10" style="154" width="0.99"/>
    <col collapsed="false" customWidth="true" hidden="false" outlineLevel="0" max="11" min="11" style="154" width="9.41"/>
    <col collapsed="false" customWidth="true" hidden="false" outlineLevel="0" max="12" min="12" style="154" width="10.85"/>
    <col collapsed="false" customWidth="true" hidden="false" outlineLevel="0" max="13" min="13" style="154" width="0.99"/>
    <col collapsed="false" customWidth="false" hidden="false" outlineLevel="0" max="15" min="14" style="154" width="9.14"/>
    <col collapsed="false" customWidth="true" hidden="false" outlineLevel="0" max="16" min="16" style="154" width="0.99"/>
    <col collapsed="false" customWidth="false" hidden="false" outlineLevel="0" max="18" min="17" style="154" width="9.14"/>
    <col collapsed="false" customWidth="true" hidden="false" outlineLevel="0" max="19" min="19" style="154" width="0.99"/>
    <col collapsed="false" customWidth="true" hidden="false" outlineLevel="0" max="20" min="20" style="154" width="10.13"/>
    <col collapsed="false" customWidth="true" hidden="false" outlineLevel="0" max="21" min="21" style="154" width="10.41"/>
    <col collapsed="false" customWidth="true" hidden="false" outlineLevel="0" max="22" min="22" style="154" width="1.13"/>
    <col collapsed="false" customWidth="false" hidden="false" outlineLevel="0" max="24" min="23" style="154" width="9.14"/>
    <col collapsed="false" customWidth="true" hidden="false" outlineLevel="0" max="25" min="25" style="154" width="0.99"/>
    <col collapsed="false" customWidth="true" hidden="false" outlineLevel="0" max="26" min="26" style="154" width="10.99"/>
    <col collapsed="false" customWidth="false" hidden="false" outlineLevel="0" max="257" min="27" style="154" width="9.14"/>
  </cols>
  <sheetData>
    <row r="1" customFormat="false" ht="12.75" hidden="true" customHeight="false" outlineLevel="0" collapsed="false">
      <c r="C1" s="154" t="s">
        <v>108</v>
      </c>
      <c r="D1" s="102"/>
      <c r="E1" s="155" t="n">
        <v>0</v>
      </c>
      <c r="F1" s="156" t="n">
        <f aca="false">+E1*$F$67</f>
        <v>0</v>
      </c>
      <c r="G1" s="102"/>
      <c r="H1" s="155" t="n">
        <v>0.05</v>
      </c>
      <c r="I1" s="157" t="n">
        <f aca="false">+H1*$I$67</f>
        <v>43597.701875</v>
      </c>
      <c r="J1" s="102"/>
      <c r="K1" s="158"/>
      <c r="L1" s="157" t="n">
        <f aca="false">+K1*$L$67</f>
        <v>0</v>
      </c>
      <c r="M1" s="102"/>
      <c r="N1" s="155"/>
      <c r="O1" s="157" t="n">
        <f aca="false">+N1*$O$67</f>
        <v>0</v>
      </c>
      <c r="P1" s="102"/>
      <c r="Q1" s="158" t="n">
        <v>0.1</v>
      </c>
      <c r="R1" s="157" t="n">
        <f aca="false">+Q1*$R$67</f>
        <v>87495.40375</v>
      </c>
      <c r="S1" s="102"/>
      <c r="T1" s="158" t="n">
        <v>0.01</v>
      </c>
      <c r="U1" s="157" t="n">
        <f aca="false">+T1*$U$67</f>
        <v>8749.540375</v>
      </c>
      <c r="V1" s="102"/>
      <c r="W1" s="155" t="e">
        <f aca="false">(+T1+Q1+N1+K1+H1+E1+#REF!)/7</f>
        <v>#REF!</v>
      </c>
      <c r="X1" s="157" t="e">
        <f aca="false">+W1*$X$67</f>
        <v>#REF!</v>
      </c>
    </row>
    <row r="2" customFormat="false" ht="12.75" hidden="true" customHeight="false" outlineLevel="0" collapsed="false">
      <c r="D2" s="102"/>
      <c r="E2" s="151"/>
      <c r="G2" s="102"/>
      <c r="H2" s="151"/>
      <c r="I2" s="147"/>
      <c r="J2" s="102"/>
      <c r="K2" s="159"/>
      <c r="L2" s="147"/>
      <c r="M2" s="102"/>
      <c r="N2" s="151"/>
      <c r="O2" s="147"/>
      <c r="P2" s="102"/>
      <c r="Q2" s="159"/>
      <c r="R2" s="147"/>
      <c r="S2" s="102"/>
      <c r="T2" s="159"/>
      <c r="U2" s="147" t="s">
        <v>109</v>
      </c>
      <c r="V2" s="102"/>
      <c r="W2" s="151"/>
      <c r="X2" s="160" t="n">
        <v>-14019</v>
      </c>
      <c r="Z2" s="154" t="n">
        <f aca="false">(+X2+X2)/12</f>
        <v>-2336.5</v>
      </c>
      <c r="AA2" s="154" t="s">
        <v>110</v>
      </c>
    </row>
    <row r="3" customFormat="false" ht="12.75" hidden="true" customHeight="false" outlineLevel="0" collapsed="false">
      <c r="U3" s="154" t="s">
        <v>111</v>
      </c>
    </row>
    <row r="4" customFormat="false" ht="12.75" hidden="true" customHeight="false" outlineLevel="0" collapsed="false">
      <c r="C4" s="154" t="s">
        <v>112</v>
      </c>
      <c r="E4" s="155" t="n">
        <v>0</v>
      </c>
      <c r="F4" s="156" t="n">
        <f aca="false">+E4*$F$67</f>
        <v>0</v>
      </c>
      <c r="G4" s="102"/>
      <c r="H4" s="155" t="n">
        <v>0</v>
      </c>
      <c r="I4" s="157" t="n">
        <f aca="false">+H4*$I$67</f>
        <v>0</v>
      </c>
      <c r="J4" s="102"/>
      <c r="K4" s="158" t="n">
        <v>0.4</v>
      </c>
      <c r="L4" s="157" t="n">
        <f aca="false">+K4*$L$67</f>
        <v>348781.615</v>
      </c>
      <c r="M4" s="102"/>
      <c r="N4" s="155" t="n">
        <v>0.4</v>
      </c>
      <c r="O4" s="157" t="n">
        <f aca="false">+N4*$O$67</f>
        <v>349981.615</v>
      </c>
      <c r="P4" s="102"/>
      <c r="Q4" s="158"/>
      <c r="R4" s="157" t="n">
        <f aca="false">+Q4*$R$67</f>
        <v>0</v>
      </c>
      <c r="S4" s="102"/>
      <c r="T4" s="158" t="n">
        <v>0.02</v>
      </c>
      <c r="U4" s="157" t="n">
        <f aca="false">+T4*$U$67</f>
        <v>17499.08075</v>
      </c>
      <c r="V4" s="102"/>
      <c r="W4" s="155" t="e">
        <f aca="false">(+T4+Q4+N4+K4+H4+E4+#REF!)/7</f>
        <v>#REF!</v>
      </c>
      <c r="X4" s="157" t="e">
        <f aca="false">+W4*$X$67</f>
        <v>#REF!</v>
      </c>
    </row>
    <row r="5" customFormat="false" ht="12.75" hidden="true" customHeight="false" outlineLevel="0" collapsed="false"/>
    <row r="6" customFormat="false" ht="12.75" hidden="true" customHeight="false" outlineLevel="0" collapsed="false">
      <c r="C6" s="161" t="s">
        <v>113</v>
      </c>
      <c r="D6" s="102"/>
      <c r="E6" s="155"/>
      <c r="F6" s="156" t="n">
        <f aca="false">+E6*$F$67</f>
        <v>0</v>
      </c>
      <c r="G6" s="102"/>
      <c r="H6" s="155"/>
      <c r="I6" s="157" t="n">
        <f aca="false">+H6*$I$67</f>
        <v>0</v>
      </c>
      <c r="J6" s="102"/>
      <c r="K6" s="158"/>
      <c r="L6" s="157" t="n">
        <f aca="false">+K6*$L$67</f>
        <v>0</v>
      </c>
      <c r="M6" s="102"/>
      <c r="N6" s="155"/>
      <c r="O6" s="157" t="n">
        <f aca="false">+N6*$O$67</f>
        <v>0</v>
      </c>
      <c r="P6" s="102"/>
      <c r="Q6" s="158" t="n">
        <v>0.1</v>
      </c>
      <c r="R6" s="157" t="n">
        <f aca="false">+Q6*$R$67</f>
        <v>87495.40375</v>
      </c>
      <c r="S6" s="102"/>
      <c r="T6" s="158"/>
      <c r="U6" s="157" t="n">
        <f aca="false">+T6*$U$67</f>
        <v>0</v>
      </c>
      <c r="V6" s="102"/>
      <c r="W6" s="155" t="e">
        <f aca="false">(+T6+Q6+N6+K6+H6+E6+#REF!)/7</f>
        <v>#REF!</v>
      </c>
      <c r="X6" s="157" t="e">
        <f aca="false">+W6*$X$67</f>
        <v>#REF!</v>
      </c>
      <c r="Y6" s="102"/>
      <c r="Z6" s="162" t="e">
        <f aca="false">+X6+U6+R6+O6+L6+I6+F6+#REF!</f>
        <v>#REF!</v>
      </c>
    </row>
    <row r="7" customFormat="false" ht="12.75" hidden="true" customHeight="false" outlineLevel="0" collapsed="false"/>
    <row r="8" customFormat="false" ht="12.75" hidden="true" customHeight="false" outlineLevel="0" collapsed="false"/>
    <row r="9" customFormat="false" ht="12.75" hidden="true" customHeight="false" outlineLevel="0" collapsed="false"/>
    <row r="10" customFormat="false" ht="12.75" hidden="true" customHeight="false" outlineLevel="0" collapsed="false"/>
    <row r="15" customFormat="false" ht="15.75" hidden="false" customHeight="false" outlineLevel="0" collapsed="false">
      <c r="C15" s="163" t="s">
        <v>114</v>
      </c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</row>
    <row r="16" customFormat="false" ht="15.75" hidden="false" customHeight="false" outlineLevel="0" collapsed="false">
      <c r="C16" s="163" t="s">
        <v>115</v>
      </c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</row>
    <row r="17" customFormat="false" ht="12.75" hidden="false" customHeight="false" outlineLevel="0" collapsed="false">
      <c r="F17" s="154"/>
    </row>
    <row r="18" customFormat="false" ht="13.5" hidden="false" customHeight="false" outlineLevel="0" collapsed="false"/>
    <row r="19" customFormat="false" ht="12.75" hidden="false" customHeight="false" outlineLevel="0" collapsed="false">
      <c r="A19" s="164"/>
      <c r="B19" s="165"/>
      <c r="C19" s="166"/>
      <c r="D19" s="165"/>
      <c r="E19" s="167" t="s">
        <v>116</v>
      </c>
      <c r="F19" s="167"/>
      <c r="G19" s="165"/>
      <c r="H19" s="166"/>
      <c r="I19" s="168"/>
      <c r="J19" s="165"/>
      <c r="K19" s="166"/>
      <c r="L19" s="168"/>
      <c r="M19" s="165"/>
      <c r="N19" s="166"/>
      <c r="O19" s="168"/>
      <c r="P19" s="165"/>
      <c r="Q19" s="166"/>
      <c r="R19" s="168"/>
      <c r="S19" s="165"/>
      <c r="T19" s="166"/>
      <c r="U19" s="168"/>
      <c r="V19" s="165"/>
      <c r="W19" s="166"/>
      <c r="X19" s="168"/>
      <c r="Y19" s="165"/>
      <c r="Z19" s="169"/>
    </row>
    <row r="20" customFormat="false" ht="12.75" hidden="false" customHeight="false" outlineLevel="0" collapsed="false">
      <c r="A20" s="161"/>
      <c r="B20" s="102"/>
      <c r="C20" s="170" t="s">
        <v>117</v>
      </c>
      <c r="D20" s="102"/>
      <c r="E20" s="171" t="s">
        <v>118</v>
      </c>
      <c r="F20" s="171"/>
      <c r="G20" s="102"/>
      <c r="H20" s="172" t="n">
        <v>36892</v>
      </c>
      <c r="I20" s="173" t="n">
        <v>36923</v>
      </c>
      <c r="J20" s="102"/>
      <c r="K20" s="172" t="n">
        <v>36951</v>
      </c>
      <c r="L20" s="173" t="n">
        <v>36982</v>
      </c>
      <c r="M20" s="102"/>
      <c r="N20" s="172" t="n">
        <v>37012</v>
      </c>
      <c r="O20" s="173" t="n">
        <v>37043</v>
      </c>
      <c r="P20" s="102"/>
      <c r="Q20" s="172" t="n">
        <v>37073</v>
      </c>
      <c r="R20" s="173" t="n">
        <v>37104</v>
      </c>
      <c r="S20" s="102"/>
      <c r="T20" s="172" t="n">
        <v>37135</v>
      </c>
      <c r="U20" s="173" t="n">
        <v>37165</v>
      </c>
      <c r="V20" s="102"/>
      <c r="W20" s="172" t="n">
        <v>37196</v>
      </c>
      <c r="X20" s="173" t="n">
        <v>37226</v>
      </c>
      <c r="Y20" s="102"/>
      <c r="Z20" s="174" t="s">
        <v>119</v>
      </c>
      <c r="AB20" s="154" t="s">
        <v>120</v>
      </c>
    </row>
    <row r="21" customFormat="false" ht="13.5" hidden="false" customHeight="false" outlineLevel="0" collapsed="false">
      <c r="A21" s="161"/>
      <c r="B21" s="102"/>
      <c r="C21" s="161"/>
      <c r="D21" s="102"/>
      <c r="E21" s="175"/>
      <c r="F21" s="176"/>
      <c r="G21" s="102"/>
      <c r="H21" s="175"/>
      <c r="I21" s="177"/>
      <c r="J21" s="102"/>
      <c r="K21" s="175"/>
      <c r="L21" s="177"/>
      <c r="M21" s="102"/>
      <c r="N21" s="175"/>
      <c r="O21" s="177"/>
      <c r="P21" s="102"/>
      <c r="Q21" s="175"/>
      <c r="R21" s="177"/>
      <c r="S21" s="102"/>
      <c r="T21" s="175"/>
      <c r="U21" s="177"/>
      <c r="V21" s="102"/>
      <c r="W21" s="175"/>
      <c r="X21" s="177"/>
      <c r="Y21" s="102"/>
      <c r="Z21" s="178"/>
    </row>
    <row r="22" customFormat="false" ht="12.75" hidden="false" customHeight="false" outlineLevel="0" collapsed="false">
      <c r="A22" s="161"/>
      <c r="B22" s="102"/>
      <c r="C22" s="161"/>
      <c r="D22" s="102"/>
      <c r="E22" s="161"/>
      <c r="F22" s="157"/>
      <c r="G22" s="102"/>
      <c r="H22" s="179"/>
      <c r="I22" s="157"/>
      <c r="J22" s="102"/>
      <c r="K22" s="179"/>
      <c r="L22" s="157"/>
      <c r="M22" s="102"/>
      <c r="N22" s="179"/>
      <c r="O22" s="157"/>
      <c r="P22" s="102"/>
      <c r="Q22" s="179"/>
      <c r="R22" s="157"/>
      <c r="S22" s="102"/>
      <c r="T22" s="179"/>
      <c r="U22" s="157"/>
      <c r="V22" s="102"/>
      <c r="W22" s="179"/>
      <c r="X22" s="157"/>
      <c r="Y22" s="102"/>
      <c r="Z22" s="180"/>
    </row>
    <row r="23" customFormat="false" ht="12.75" hidden="true" customHeight="false" outlineLevel="0" collapsed="false">
      <c r="A23" s="161" t="s">
        <v>121</v>
      </c>
      <c r="B23" s="181" t="n">
        <v>105989</v>
      </c>
      <c r="C23" s="161" t="s">
        <v>122</v>
      </c>
      <c r="D23" s="102" t="s">
        <v>123</v>
      </c>
      <c r="E23" s="155"/>
      <c r="F23" s="157"/>
      <c r="G23" s="102"/>
      <c r="H23" s="179"/>
      <c r="I23" s="157"/>
      <c r="J23" s="102"/>
      <c r="K23" s="179"/>
      <c r="L23" s="157"/>
      <c r="M23" s="102"/>
      <c r="N23" s="179"/>
      <c r="O23" s="157"/>
      <c r="P23" s="102"/>
      <c r="Q23" s="179"/>
      <c r="R23" s="157"/>
      <c r="S23" s="102"/>
      <c r="T23" s="179"/>
      <c r="U23" s="157"/>
      <c r="V23" s="102"/>
      <c r="W23" s="179"/>
      <c r="X23" s="157"/>
      <c r="Y23" s="102"/>
      <c r="Z23" s="162"/>
      <c r="AB23" s="154" t="e">
        <f aca="false">VLOOKUP(C23,[3]Headct!$C$23:$G$76,2,FALSE())</f>
        <v>#N/A</v>
      </c>
      <c r="AC23" s="182" t="s">
        <v>124</v>
      </c>
    </row>
    <row r="24" customFormat="false" ht="12.75" hidden="true" customHeight="false" outlineLevel="0" collapsed="false">
      <c r="A24" s="161"/>
      <c r="B24" s="181" t="n">
        <v>106230</v>
      </c>
      <c r="C24" s="161" t="s">
        <v>125</v>
      </c>
      <c r="D24" s="102"/>
      <c r="E24" s="155"/>
      <c r="F24" s="157"/>
      <c r="G24" s="102"/>
      <c r="H24" s="179"/>
      <c r="I24" s="157"/>
      <c r="J24" s="102"/>
      <c r="K24" s="179"/>
      <c r="L24" s="157"/>
      <c r="M24" s="102"/>
      <c r="N24" s="179"/>
      <c r="O24" s="157"/>
      <c r="P24" s="102"/>
      <c r="Q24" s="179"/>
      <c r="R24" s="157"/>
      <c r="S24" s="102"/>
      <c r="T24" s="179"/>
      <c r="U24" s="157"/>
      <c r="V24" s="102"/>
      <c r="W24" s="179"/>
      <c r="X24" s="157"/>
      <c r="Y24" s="102"/>
      <c r="Z24" s="162"/>
      <c r="AB24" s="154" t="n">
        <f aca="false">VLOOKUP(C24,[3]Headct!$C$23:$G$76,2,FALSE())</f>
        <v>13</v>
      </c>
      <c r="AC24" s="182" t="s">
        <v>126</v>
      </c>
    </row>
    <row r="25" customFormat="false" ht="12.75" hidden="true" customHeight="false" outlineLevel="0" collapsed="false">
      <c r="A25" s="183" t="s">
        <v>121</v>
      </c>
      <c r="B25" s="181" t="n">
        <v>106231</v>
      </c>
      <c r="C25" s="161" t="s">
        <v>127</v>
      </c>
      <c r="D25" s="102" t="s">
        <v>128</v>
      </c>
      <c r="E25" s="155"/>
      <c r="F25" s="157"/>
      <c r="G25" s="102"/>
      <c r="H25" s="179"/>
      <c r="I25" s="157"/>
      <c r="J25" s="102"/>
      <c r="K25" s="179"/>
      <c r="L25" s="157"/>
      <c r="M25" s="102"/>
      <c r="N25" s="179"/>
      <c r="O25" s="157"/>
      <c r="P25" s="102"/>
      <c r="Q25" s="179"/>
      <c r="R25" s="157"/>
      <c r="S25" s="102"/>
      <c r="T25" s="179"/>
      <c r="U25" s="157"/>
      <c r="V25" s="102"/>
      <c r="W25" s="179"/>
      <c r="X25" s="157"/>
      <c r="Y25" s="102"/>
      <c r="Z25" s="162"/>
      <c r="AB25" s="154" t="n">
        <f aca="false">VLOOKUP(C25,[3]Headct!$C$23:$G$76,2,FALSE())</f>
        <v>10</v>
      </c>
      <c r="AC25" s="182" t="s">
        <v>129</v>
      </c>
    </row>
    <row r="26" customFormat="false" ht="12.75" hidden="true" customHeight="false" outlineLevel="0" collapsed="false">
      <c r="A26" s="183" t="s">
        <v>121</v>
      </c>
      <c r="B26" s="181" t="n">
        <v>106580</v>
      </c>
      <c r="C26" s="161" t="s">
        <v>130</v>
      </c>
      <c r="D26" s="102"/>
      <c r="E26" s="155"/>
      <c r="F26" s="157"/>
      <c r="G26" s="102"/>
      <c r="H26" s="179"/>
      <c r="I26" s="157"/>
      <c r="J26" s="102"/>
      <c r="K26" s="179"/>
      <c r="L26" s="157"/>
      <c r="M26" s="102"/>
      <c r="N26" s="179"/>
      <c r="O26" s="157"/>
      <c r="P26" s="102"/>
      <c r="Q26" s="179"/>
      <c r="R26" s="157"/>
      <c r="S26" s="102"/>
      <c r="T26" s="179"/>
      <c r="U26" s="157"/>
      <c r="V26" s="102"/>
      <c r="W26" s="179"/>
      <c r="X26" s="157"/>
      <c r="Y26" s="102"/>
      <c r="Z26" s="162"/>
      <c r="AB26" s="154" t="n">
        <f aca="false">VLOOKUP(C26,[3]Headct!$C$23:$G$76,2,FALSE())</f>
        <v>41</v>
      </c>
      <c r="AC26" s="182" t="s">
        <v>131</v>
      </c>
    </row>
    <row r="27" customFormat="false" ht="12.75" hidden="true" customHeight="false" outlineLevel="0" collapsed="false">
      <c r="A27" s="183" t="s">
        <v>121</v>
      </c>
      <c r="B27" s="181" t="n">
        <v>106581</v>
      </c>
      <c r="C27" s="161" t="s">
        <v>132</v>
      </c>
      <c r="D27" s="102"/>
      <c r="E27" s="155"/>
      <c r="F27" s="157"/>
      <c r="G27" s="102"/>
      <c r="H27" s="179"/>
      <c r="I27" s="157"/>
      <c r="J27" s="102"/>
      <c r="K27" s="179"/>
      <c r="L27" s="157"/>
      <c r="M27" s="102"/>
      <c r="N27" s="179"/>
      <c r="O27" s="157"/>
      <c r="P27" s="102"/>
      <c r="Q27" s="179"/>
      <c r="R27" s="157"/>
      <c r="S27" s="102"/>
      <c r="T27" s="179"/>
      <c r="U27" s="157"/>
      <c r="V27" s="102"/>
      <c r="W27" s="179"/>
      <c r="X27" s="157"/>
      <c r="Y27" s="102"/>
      <c r="Z27" s="162"/>
      <c r="AB27" s="154" t="n">
        <f aca="false">VLOOKUP(C27,[3]Headct!$C$23:$G$76,2,FALSE())</f>
        <v>89</v>
      </c>
      <c r="AC27" s="182" t="s">
        <v>133</v>
      </c>
    </row>
    <row r="28" customFormat="false" ht="12.75" hidden="true" customHeight="false" outlineLevel="0" collapsed="false">
      <c r="A28" s="161" t="s">
        <v>134</v>
      </c>
      <c r="B28" s="181" t="n">
        <v>106584</v>
      </c>
      <c r="C28" s="161" t="s">
        <v>135</v>
      </c>
      <c r="D28" s="102" t="s">
        <v>136</v>
      </c>
      <c r="E28" s="155"/>
      <c r="F28" s="157"/>
      <c r="G28" s="102"/>
      <c r="H28" s="179"/>
      <c r="I28" s="157"/>
      <c r="J28" s="102"/>
      <c r="K28" s="179"/>
      <c r="L28" s="157"/>
      <c r="M28" s="102"/>
      <c r="N28" s="179"/>
      <c r="O28" s="157"/>
      <c r="P28" s="102"/>
      <c r="Q28" s="179"/>
      <c r="R28" s="157"/>
      <c r="S28" s="102"/>
      <c r="T28" s="179"/>
      <c r="U28" s="157"/>
      <c r="V28" s="102"/>
      <c r="W28" s="179"/>
      <c r="X28" s="157"/>
      <c r="Y28" s="102"/>
      <c r="Z28" s="162"/>
      <c r="AA28" s="184" t="e">
        <f aca="false">SUM(AB23:AB28)-AB26-AB27</f>
        <v>#N/A</v>
      </c>
      <c r="AB28" s="154" t="n">
        <f aca="false">VLOOKUP(C28,[3]Headct!$C$23:$G$76,2,FALSE())</f>
        <v>25</v>
      </c>
      <c r="AC28" s="182" t="s">
        <v>137</v>
      </c>
    </row>
    <row r="29" customFormat="false" ht="12.75" hidden="true" customHeight="false" outlineLevel="0" collapsed="false">
      <c r="A29" s="161" t="s">
        <v>121</v>
      </c>
      <c r="B29" s="181" t="n">
        <v>106598</v>
      </c>
      <c r="C29" s="161" t="s">
        <v>138</v>
      </c>
      <c r="D29" s="102"/>
      <c r="E29" s="155"/>
      <c r="F29" s="157"/>
      <c r="G29" s="102"/>
      <c r="H29" s="179"/>
      <c r="I29" s="157"/>
      <c r="J29" s="102"/>
      <c r="K29" s="179"/>
      <c r="L29" s="157"/>
      <c r="M29" s="102"/>
      <c r="N29" s="179"/>
      <c r="O29" s="157"/>
      <c r="P29" s="102"/>
      <c r="Q29" s="179"/>
      <c r="R29" s="157"/>
      <c r="S29" s="102"/>
      <c r="T29" s="179"/>
      <c r="U29" s="157"/>
      <c r="V29" s="102"/>
      <c r="W29" s="179"/>
      <c r="X29" s="157"/>
      <c r="Y29" s="102"/>
      <c r="Z29" s="162"/>
      <c r="AA29" s="184"/>
      <c r="AC29" s="182"/>
    </row>
    <row r="30" customFormat="false" ht="12.75" hidden="true" customHeight="false" outlineLevel="0" collapsed="false">
      <c r="A30" s="161"/>
      <c r="B30" s="181" t="n">
        <v>106602</v>
      </c>
      <c r="C30" s="161" t="s">
        <v>139</v>
      </c>
      <c r="D30" s="102"/>
      <c r="E30" s="155"/>
      <c r="F30" s="157"/>
      <c r="G30" s="102"/>
      <c r="H30" s="179"/>
      <c r="I30" s="157"/>
      <c r="J30" s="102"/>
      <c r="K30" s="179"/>
      <c r="L30" s="157"/>
      <c r="M30" s="102"/>
      <c r="N30" s="179"/>
      <c r="O30" s="157"/>
      <c r="P30" s="102"/>
      <c r="Q30" s="179"/>
      <c r="R30" s="157"/>
      <c r="S30" s="102"/>
      <c r="T30" s="179"/>
      <c r="U30" s="157"/>
      <c r="V30" s="102"/>
      <c r="W30" s="179"/>
      <c r="X30" s="157"/>
      <c r="Y30" s="102"/>
      <c r="Z30" s="162"/>
      <c r="AB30" s="154" t="n">
        <f aca="false">VLOOKUP(C30,[3]Headct!$C$23:$G$76,2,FALSE())</f>
        <v>5</v>
      </c>
      <c r="AC30" s="182" t="s">
        <v>140</v>
      </c>
    </row>
    <row r="31" customFormat="false" ht="12.75" hidden="true" customHeight="false" outlineLevel="0" collapsed="false">
      <c r="A31" s="161"/>
      <c r="B31" s="181" t="s">
        <v>141</v>
      </c>
      <c r="C31" s="161" t="s">
        <v>142</v>
      </c>
      <c r="D31" s="102"/>
      <c r="E31" s="155"/>
      <c r="F31" s="157"/>
      <c r="G31" s="102"/>
      <c r="H31" s="179"/>
      <c r="I31" s="157"/>
      <c r="J31" s="102"/>
      <c r="K31" s="179"/>
      <c r="L31" s="157"/>
      <c r="M31" s="102"/>
      <c r="N31" s="179"/>
      <c r="O31" s="157"/>
      <c r="P31" s="102"/>
      <c r="Q31" s="179"/>
      <c r="R31" s="157"/>
      <c r="S31" s="102"/>
      <c r="T31" s="179"/>
      <c r="U31" s="157"/>
      <c r="V31" s="102"/>
      <c r="W31" s="179"/>
      <c r="X31" s="157"/>
      <c r="Y31" s="102"/>
      <c r="Z31" s="162"/>
      <c r="AB31" s="154" t="n">
        <f aca="false">VLOOKUP(C31,[3]Headct!$C$23:$G$76,2,FALSE())</f>
        <v>0</v>
      </c>
      <c r="AC31" s="182" t="s">
        <v>143</v>
      </c>
    </row>
    <row r="32" customFormat="false" ht="12.75" hidden="true" customHeight="false" outlineLevel="0" collapsed="false">
      <c r="A32" s="161"/>
      <c r="B32" s="181" t="n">
        <v>106607</v>
      </c>
      <c r="C32" s="161" t="s">
        <v>144</v>
      </c>
      <c r="D32" s="102"/>
      <c r="E32" s="155"/>
      <c r="F32" s="157"/>
      <c r="G32" s="102"/>
      <c r="H32" s="179"/>
      <c r="I32" s="157"/>
      <c r="J32" s="102"/>
      <c r="K32" s="185"/>
      <c r="L32" s="157"/>
      <c r="M32" s="102"/>
      <c r="N32" s="179"/>
      <c r="O32" s="157"/>
      <c r="P32" s="102"/>
      <c r="Q32" s="179"/>
      <c r="R32" s="157"/>
      <c r="S32" s="102"/>
      <c r="T32" s="179"/>
      <c r="U32" s="157"/>
      <c r="V32" s="102"/>
      <c r="W32" s="179"/>
      <c r="X32" s="157"/>
      <c r="Y32" s="102"/>
      <c r="Z32" s="162"/>
      <c r="AB32" s="154" t="n">
        <f aca="false">VLOOKUP(C32,[3]Headct!$C$23:$G$76,2,FALSE())</f>
        <v>16</v>
      </c>
      <c r="AC32" s="182" t="s">
        <v>145</v>
      </c>
    </row>
    <row r="33" customFormat="false" ht="12.75" hidden="true" customHeight="false" outlineLevel="0" collapsed="false">
      <c r="A33" s="161"/>
      <c r="B33" s="181" t="n">
        <v>106608</v>
      </c>
      <c r="C33" s="161" t="s">
        <v>146</v>
      </c>
      <c r="D33" s="102"/>
      <c r="E33" s="155"/>
      <c r="F33" s="157"/>
      <c r="G33" s="102"/>
      <c r="H33" s="179"/>
      <c r="I33" s="157"/>
      <c r="J33" s="102"/>
      <c r="K33" s="185"/>
      <c r="L33" s="157"/>
      <c r="M33" s="102"/>
      <c r="N33" s="179"/>
      <c r="O33" s="157"/>
      <c r="P33" s="102"/>
      <c r="Q33" s="179"/>
      <c r="R33" s="157"/>
      <c r="S33" s="102"/>
      <c r="T33" s="179"/>
      <c r="U33" s="157"/>
      <c r="V33" s="102"/>
      <c r="W33" s="179"/>
      <c r="X33" s="157"/>
      <c r="Y33" s="102"/>
      <c r="Z33" s="162"/>
      <c r="AB33" s="154" t="n">
        <f aca="false">VLOOKUP(C33,[3]Headct!$C$23:$G$76,2,FALSE())</f>
        <v>20</v>
      </c>
      <c r="AC33" s="182" t="s">
        <v>147</v>
      </c>
    </row>
    <row r="34" customFormat="false" ht="12.75" hidden="true" customHeight="false" outlineLevel="0" collapsed="false">
      <c r="A34" s="161"/>
      <c r="B34" s="181" t="s">
        <v>141</v>
      </c>
      <c r="C34" s="161" t="s">
        <v>148</v>
      </c>
      <c r="D34" s="102"/>
      <c r="E34" s="186"/>
      <c r="F34" s="157"/>
      <c r="G34" s="102"/>
      <c r="H34" s="179"/>
      <c r="I34" s="157"/>
      <c r="J34" s="102"/>
      <c r="K34" s="185"/>
      <c r="L34" s="157"/>
      <c r="M34" s="102"/>
      <c r="N34" s="179"/>
      <c r="O34" s="157"/>
      <c r="P34" s="102"/>
      <c r="Q34" s="179"/>
      <c r="R34" s="157"/>
      <c r="S34" s="102"/>
      <c r="T34" s="179"/>
      <c r="U34" s="157"/>
      <c r="V34" s="102"/>
      <c r="W34" s="179"/>
      <c r="X34" s="157"/>
      <c r="Y34" s="102"/>
      <c r="Z34" s="162"/>
      <c r="AB34" s="154" t="n">
        <f aca="false">VLOOKUP(C34,[3]Headct!$C$23:$G$76,2,FALSE())</f>
        <v>167</v>
      </c>
      <c r="AC34" s="182" t="s">
        <v>148</v>
      </c>
    </row>
    <row r="35" customFormat="false" ht="12.75" hidden="true" customHeight="false" outlineLevel="0" collapsed="false">
      <c r="A35" s="161"/>
      <c r="B35" s="181" t="n">
        <v>106609</v>
      </c>
      <c r="C35" s="161" t="s">
        <v>149</v>
      </c>
      <c r="D35" s="102"/>
      <c r="E35" s="155"/>
      <c r="F35" s="157"/>
      <c r="G35" s="102"/>
      <c r="H35" s="179"/>
      <c r="I35" s="157"/>
      <c r="J35" s="102"/>
      <c r="K35" s="179"/>
      <c r="L35" s="157"/>
      <c r="M35" s="102"/>
      <c r="N35" s="179"/>
      <c r="O35" s="157"/>
      <c r="P35" s="102"/>
      <c r="Q35" s="179"/>
      <c r="R35" s="157"/>
      <c r="S35" s="102"/>
      <c r="T35" s="179"/>
      <c r="U35" s="157"/>
      <c r="V35" s="102"/>
      <c r="W35" s="179"/>
      <c r="X35" s="157"/>
      <c r="Y35" s="102"/>
      <c r="Z35" s="162"/>
      <c r="AB35" s="154" t="n">
        <f aca="false">VLOOKUP(C35,[3]Headct!$C$23:$G$76,2,FALSE())</f>
        <v>22</v>
      </c>
      <c r="AC35" s="182" t="s">
        <v>150</v>
      </c>
    </row>
    <row r="36" customFormat="false" ht="12.75" hidden="true" customHeight="false" outlineLevel="0" collapsed="false">
      <c r="A36" s="161"/>
      <c r="B36" s="181" t="n">
        <v>106610</v>
      </c>
      <c r="C36" s="161" t="s">
        <v>151</v>
      </c>
      <c r="D36" s="102"/>
      <c r="E36" s="155"/>
      <c r="F36" s="157"/>
      <c r="G36" s="102"/>
      <c r="H36" s="179"/>
      <c r="I36" s="157"/>
      <c r="J36" s="102"/>
      <c r="K36" s="179"/>
      <c r="L36" s="157"/>
      <c r="M36" s="102"/>
      <c r="N36" s="179"/>
      <c r="O36" s="157"/>
      <c r="P36" s="102"/>
      <c r="Q36" s="179"/>
      <c r="R36" s="157"/>
      <c r="S36" s="102"/>
      <c r="T36" s="179"/>
      <c r="U36" s="157"/>
      <c r="V36" s="102"/>
      <c r="W36" s="179"/>
      <c r="X36" s="157"/>
      <c r="Y36" s="102"/>
      <c r="Z36" s="162"/>
      <c r="AB36" s="154" t="n">
        <f aca="false">VLOOKUP(C36,[3]Headct!$C$23:$G$76,2,FALSE())</f>
        <v>12</v>
      </c>
      <c r="AC36" s="182" t="s">
        <v>152</v>
      </c>
    </row>
    <row r="37" customFormat="false" ht="12.75" hidden="true" customHeight="false" outlineLevel="0" collapsed="false">
      <c r="A37" s="161"/>
      <c r="B37" s="181" t="n">
        <v>106613</v>
      </c>
      <c r="C37" s="161" t="s">
        <v>153</v>
      </c>
      <c r="D37" s="102"/>
      <c r="E37" s="155"/>
      <c r="F37" s="157"/>
      <c r="G37" s="102"/>
      <c r="H37" s="179"/>
      <c r="I37" s="157"/>
      <c r="J37" s="102"/>
      <c r="K37" s="179"/>
      <c r="L37" s="157"/>
      <c r="M37" s="102"/>
      <c r="N37" s="179"/>
      <c r="O37" s="157"/>
      <c r="P37" s="102"/>
      <c r="Q37" s="179"/>
      <c r="R37" s="157"/>
      <c r="S37" s="102"/>
      <c r="T37" s="179"/>
      <c r="U37" s="157"/>
      <c r="V37" s="102"/>
      <c r="W37" s="179"/>
      <c r="X37" s="157"/>
      <c r="Y37" s="102"/>
      <c r="Z37" s="162"/>
      <c r="AB37" s="154" t="n">
        <f aca="false">VLOOKUP(C37,[3]Headct!$C$23:$G$76,2,FALSE())</f>
        <v>53</v>
      </c>
      <c r="AC37" s="182" t="s">
        <v>154</v>
      </c>
    </row>
    <row r="38" customFormat="false" ht="12.75" hidden="true" customHeight="false" outlineLevel="0" collapsed="false">
      <c r="A38" s="161"/>
      <c r="B38" s="181" t="n">
        <v>106614</v>
      </c>
      <c r="C38" s="161" t="s">
        <v>155</v>
      </c>
      <c r="D38" s="102"/>
      <c r="E38" s="155"/>
      <c r="F38" s="157"/>
      <c r="G38" s="102"/>
      <c r="H38" s="179"/>
      <c r="I38" s="157"/>
      <c r="J38" s="102"/>
      <c r="K38" s="179"/>
      <c r="L38" s="157"/>
      <c r="M38" s="102"/>
      <c r="N38" s="179"/>
      <c r="O38" s="157"/>
      <c r="P38" s="102"/>
      <c r="Q38" s="179"/>
      <c r="R38" s="157"/>
      <c r="S38" s="102"/>
      <c r="T38" s="179"/>
      <c r="U38" s="157"/>
      <c r="V38" s="102"/>
      <c r="W38" s="179"/>
      <c r="X38" s="157"/>
      <c r="Y38" s="102"/>
      <c r="Z38" s="162"/>
      <c r="AB38" s="154" t="n">
        <f aca="false">VLOOKUP(C38,[3]Headct!$C$23:$G$76,2,FALSE())</f>
        <v>35</v>
      </c>
      <c r="AC38" s="182" t="s">
        <v>156</v>
      </c>
    </row>
    <row r="39" customFormat="false" ht="12.75" hidden="true" customHeight="false" outlineLevel="0" collapsed="false">
      <c r="A39" s="161"/>
      <c r="B39" s="181" t="n">
        <v>106616</v>
      </c>
      <c r="C39" s="161" t="s">
        <v>157</v>
      </c>
      <c r="D39" s="102"/>
      <c r="E39" s="155"/>
      <c r="F39" s="157"/>
      <c r="G39" s="102"/>
      <c r="H39" s="179"/>
      <c r="I39" s="157"/>
      <c r="J39" s="102"/>
      <c r="K39" s="179"/>
      <c r="L39" s="157"/>
      <c r="M39" s="102"/>
      <c r="N39" s="179"/>
      <c r="O39" s="157"/>
      <c r="P39" s="102"/>
      <c r="Q39" s="179"/>
      <c r="R39" s="157"/>
      <c r="S39" s="102"/>
      <c r="T39" s="179"/>
      <c r="U39" s="157"/>
      <c r="V39" s="102"/>
      <c r="W39" s="179"/>
      <c r="X39" s="157"/>
      <c r="Y39" s="102"/>
      <c r="Z39" s="162"/>
      <c r="AB39" s="154" t="n">
        <f aca="false">VLOOKUP(C39,[3]Headct!$C$23:$G$76,2,FALSE())</f>
        <v>19</v>
      </c>
      <c r="AC39" s="182" t="s">
        <v>158</v>
      </c>
    </row>
    <row r="40" customFormat="false" ht="12.75" hidden="true" customHeight="false" outlineLevel="0" collapsed="false">
      <c r="A40" s="161" t="s">
        <v>159</v>
      </c>
      <c r="B40" s="181" t="s">
        <v>141</v>
      </c>
      <c r="C40" s="161" t="s">
        <v>160</v>
      </c>
      <c r="D40" s="102"/>
      <c r="E40" s="155"/>
      <c r="F40" s="157"/>
      <c r="G40" s="102"/>
      <c r="H40" s="179"/>
      <c r="I40" s="157"/>
      <c r="J40" s="102"/>
      <c r="K40" s="179"/>
      <c r="L40" s="157"/>
      <c r="M40" s="102"/>
      <c r="N40" s="179"/>
      <c r="O40" s="157"/>
      <c r="P40" s="102"/>
      <c r="Q40" s="179"/>
      <c r="R40" s="157"/>
      <c r="S40" s="102"/>
      <c r="T40" s="179"/>
      <c r="U40" s="157"/>
      <c r="V40" s="102"/>
      <c r="W40" s="179"/>
      <c r="X40" s="157"/>
      <c r="Y40" s="102"/>
      <c r="Z40" s="162"/>
      <c r="AB40" s="154" t="n">
        <f aca="false">VLOOKUP(C40,[3]Headct!$C$23:$G$76,2,FALSE())</f>
        <v>0</v>
      </c>
      <c r="AC40" s="182" t="s">
        <v>161</v>
      </c>
    </row>
    <row r="41" customFormat="false" ht="12.75" hidden="true" customHeight="false" outlineLevel="0" collapsed="false">
      <c r="A41" s="161"/>
      <c r="B41" s="181" t="n">
        <v>106617</v>
      </c>
      <c r="C41" s="161" t="s">
        <v>162</v>
      </c>
      <c r="D41" s="102"/>
      <c r="E41" s="155"/>
      <c r="F41" s="157"/>
      <c r="G41" s="102"/>
      <c r="H41" s="179"/>
      <c r="I41" s="157"/>
      <c r="J41" s="102"/>
      <c r="K41" s="179"/>
      <c r="L41" s="157"/>
      <c r="M41" s="102"/>
      <c r="N41" s="179"/>
      <c r="O41" s="157"/>
      <c r="P41" s="102"/>
      <c r="Q41" s="179"/>
      <c r="R41" s="157"/>
      <c r="S41" s="102"/>
      <c r="T41" s="179"/>
      <c r="U41" s="157"/>
      <c r="V41" s="102"/>
      <c r="W41" s="179"/>
      <c r="X41" s="157"/>
      <c r="Y41" s="102"/>
      <c r="Z41" s="162"/>
      <c r="AB41" s="154" t="n">
        <f aca="false">VLOOKUP(C41,[3]Headct!$C$23:$G$76,2,FALSE())</f>
        <v>3</v>
      </c>
      <c r="AC41" s="182" t="s">
        <v>163</v>
      </c>
    </row>
    <row r="42" customFormat="false" ht="12.75" hidden="true" customHeight="false" outlineLevel="0" collapsed="false">
      <c r="A42" s="161"/>
      <c r="B42" s="181" t="n">
        <v>106620</v>
      </c>
      <c r="C42" s="161" t="s">
        <v>164</v>
      </c>
      <c r="D42" s="102"/>
      <c r="E42" s="155"/>
      <c r="F42" s="157"/>
      <c r="G42" s="102"/>
      <c r="H42" s="179"/>
      <c r="I42" s="157"/>
      <c r="J42" s="102"/>
      <c r="K42" s="179"/>
      <c r="L42" s="157"/>
      <c r="M42" s="102"/>
      <c r="N42" s="179"/>
      <c r="O42" s="157"/>
      <c r="P42" s="102"/>
      <c r="Q42" s="179"/>
      <c r="R42" s="157"/>
      <c r="S42" s="102"/>
      <c r="T42" s="179"/>
      <c r="U42" s="157"/>
      <c r="V42" s="102"/>
      <c r="W42" s="179"/>
      <c r="X42" s="157"/>
      <c r="Y42" s="102"/>
      <c r="Z42" s="162"/>
      <c r="AB42" s="154" t="n">
        <f aca="false">VLOOKUP(C42,[3]Headct!$C$23:$G$76,2,FALSE())</f>
        <v>35</v>
      </c>
      <c r="AC42" s="182" t="s">
        <v>165</v>
      </c>
    </row>
    <row r="43" customFormat="false" ht="12.75" hidden="true" customHeight="false" outlineLevel="0" collapsed="false">
      <c r="A43" s="161" t="s">
        <v>166</v>
      </c>
      <c r="B43" s="181" t="n">
        <v>106581</v>
      </c>
      <c r="C43" s="183" t="s">
        <v>167</v>
      </c>
      <c r="D43" s="102"/>
      <c r="E43" s="155"/>
      <c r="F43" s="157"/>
      <c r="G43" s="102"/>
      <c r="H43" s="179"/>
      <c r="I43" s="157"/>
      <c r="J43" s="102"/>
      <c r="K43" s="179"/>
      <c r="L43" s="157"/>
      <c r="M43" s="102"/>
      <c r="N43" s="179"/>
      <c r="O43" s="157"/>
      <c r="P43" s="102"/>
      <c r="Q43" s="179"/>
      <c r="R43" s="157"/>
      <c r="S43" s="102"/>
      <c r="T43" s="179"/>
      <c r="U43" s="157"/>
      <c r="V43" s="102"/>
      <c r="W43" s="179"/>
      <c r="X43" s="157"/>
      <c r="Y43" s="102"/>
      <c r="Z43" s="162"/>
      <c r="AB43" s="154" t="n">
        <f aca="false">VLOOKUP(C43,[3]Headct!$C$23:$G$76,2,FALSE())</f>
        <v>0</v>
      </c>
      <c r="AC43" s="182" t="s">
        <v>168</v>
      </c>
    </row>
    <row r="44" customFormat="false" ht="12.75" hidden="true" customHeight="false" outlineLevel="0" collapsed="false">
      <c r="A44" s="161"/>
      <c r="B44" s="181" t="n">
        <v>105713</v>
      </c>
      <c r="C44" s="161" t="s">
        <v>169</v>
      </c>
      <c r="D44" s="102"/>
      <c r="E44" s="155"/>
      <c r="F44" s="157"/>
      <c r="G44" s="102"/>
      <c r="H44" s="179"/>
      <c r="I44" s="157"/>
      <c r="J44" s="102"/>
      <c r="K44" s="179"/>
      <c r="L44" s="157"/>
      <c r="M44" s="102"/>
      <c r="N44" s="179"/>
      <c r="O44" s="157"/>
      <c r="P44" s="102"/>
      <c r="Q44" s="179"/>
      <c r="R44" s="157"/>
      <c r="S44" s="102"/>
      <c r="T44" s="179"/>
      <c r="U44" s="157"/>
      <c r="V44" s="102"/>
      <c r="W44" s="179"/>
      <c r="X44" s="157"/>
      <c r="Y44" s="102"/>
      <c r="Z44" s="162"/>
      <c r="AB44" s="154" t="n">
        <f aca="false">VLOOKUP(C44,[3]Headct!$C$23:$G$76,2,FALSE())</f>
        <v>954</v>
      </c>
      <c r="AC44" s="182" t="s">
        <v>170</v>
      </c>
    </row>
    <row r="45" customFormat="false" ht="12.75" hidden="true" customHeight="false" outlineLevel="0" collapsed="false">
      <c r="A45" s="161" t="s">
        <v>171</v>
      </c>
      <c r="B45" s="181" t="s">
        <v>141</v>
      </c>
      <c r="C45" s="161" t="s">
        <v>172</v>
      </c>
      <c r="D45" s="102" t="s">
        <v>173</v>
      </c>
      <c r="E45" s="155"/>
      <c r="F45" s="157"/>
      <c r="G45" s="102"/>
      <c r="H45" s="179"/>
      <c r="I45" s="157"/>
      <c r="J45" s="102"/>
      <c r="K45" s="179"/>
      <c r="L45" s="157"/>
      <c r="M45" s="102"/>
      <c r="N45" s="179"/>
      <c r="O45" s="157"/>
      <c r="P45" s="102"/>
      <c r="Q45" s="179"/>
      <c r="R45" s="157"/>
      <c r="S45" s="102"/>
      <c r="T45" s="179"/>
      <c r="U45" s="157"/>
      <c r="V45" s="102"/>
      <c r="W45" s="179"/>
      <c r="X45" s="157"/>
      <c r="Y45" s="102"/>
      <c r="Z45" s="162"/>
      <c r="AB45" s="154" t="n">
        <f aca="false">VLOOKUP(C45,[3]Headct!$C$23:$G$76,2,FALSE())</f>
        <v>0</v>
      </c>
      <c r="AC45" s="182" t="s">
        <v>174</v>
      </c>
    </row>
    <row r="46" customFormat="false" ht="12.75" hidden="true" customHeight="false" outlineLevel="0" collapsed="false">
      <c r="A46" s="161" t="s">
        <v>175</v>
      </c>
      <c r="B46" s="181" t="n">
        <v>106635</v>
      </c>
      <c r="C46" s="161" t="s">
        <v>176</v>
      </c>
      <c r="D46" s="102" t="s">
        <v>177</v>
      </c>
      <c r="E46" s="155"/>
      <c r="F46" s="157"/>
      <c r="G46" s="102"/>
      <c r="H46" s="179"/>
      <c r="I46" s="157"/>
      <c r="J46" s="102"/>
      <c r="K46" s="179"/>
      <c r="L46" s="157"/>
      <c r="M46" s="102"/>
      <c r="N46" s="179"/>
      <c r="O46" s="157"/>
      <c r="P46" s="102"/>
      <c r="Q46" s="179"/>
      <c r="R46" s="157"/>
      <c r="S46" s="102"/>
      <c r="T46" s="179"/>
      <c r="U46" s="157"/>
      <c r="V46" s="102"/>
      <c r="W46" s="179"/>
      <c r="X46" s="157"/>
      <c r="Y46" s="102"/>
      <c r="Z46" s="162"/>
      <c r="AB46" s="154" t="n">
        <f aca="false">VLOOKUP(C46,[3]Headct!$C$23:$G$76,2,FALSE())</f>
        <v>13</v>
      </c>
      <c r="AC46" s="182" t="s">
        <v>178</v>
      </c>
    </row>
    <row r="47" customFormat="false" ht="12.75" hidden="true" customHeight="false" outlineLevel="0" collapsed="false">
      <c r="A47" s="161" t="s">
        <v>179</v>
      </c>
      <c r="B47" s="181" t="n">
        <v>106638</v>
      </c>
      <c r="C47" s="161" t="s">
        <v>180</v>
      </c>
      <c r="D47" s="102" t="s">
        <v>181</v>
      </c>
      <c r="E47" s="155"/>
      <c r="F47" s="157"/>
      <c r="G47" s="102"/>
      <c r="H47" s="179"/>
      <c r="I47" s="157"/>
      <c r="J47" s="102"/>
      <c r="K47" s="179"/>
      <c r="L47" s="157"/>
      <c r="M47" s="102"/>
      <c r="N47" s="179"/>
      <c r="O47" s="157"/>
      <c r="P47" s="102"/>
      <c r="Q47" s="179"/>
      <c r="R47" s="157"/>
      <c r="S47" s="102"/>
      <c r="T47" s="179"/>
      <c r="U47" s="157"/>
      <c r="V47" s="102"/>
      <c r="W47" s="179"/>
      <c r="X47" s="157"/>
      <c r="Y47" s="102"/>
      <c r="Z47" s="162"/>
      <c r="AB47" s="154" t="n">
        <f aca="false">VLOOKUP(C47,[3]Headct!$C$23:$G$76,2,FALSE())</f>
        <v>0</v>
      </c>
      <c r="AC47" s="182" t="s">
        <v>182</v>
      </c>
    </row>
    <row r="48" customFormat="false" ht="12.75" hidden="true" customHeight="false" outlineLevel="0" collapsed="false">
      <c r="A48" s="161" t="s">
        <v>121</v>
      </c>
      <c r="B48" s="181" t="n">
        <v>106798</v>
      </c>
      <c r="C48" s="161" t="s">
        <v>183</v>
      </c>
      <c r="D48" s="102" t="s">
        <v>184</v>
      </c>
      <c r="E48" s="155"/>
      <c r="F48" s="157"/>
      <c r="G48" s="102"/>
      <c r="H48" s="179"/>
      <c r="I48" s="157"/>
      <c r="J48" s="102"/>
      <c r="K48" s="179"/>
      <c r="L48" s="157"/>
      <c r="M48" s="102"/>
      <c r="N48" s="179"/>
      <c r="O48" s="157"/>
      <c r="P48" s="102"/>
      <c r="Q48" s="179"/>
      <c r="R48" s="157"/>
      <c r="S48" s="102"/>
      <c r="T48" s="179"/>
      <c r="U48" s="157"/>
      <c r="V48" s="102"/>
      <c r="W48" s="179"/>
      <c r="X48" s="157"/>
      <c r="Y48" s="102"/>
      <c r="Z48" s="162"/>
      <c r="AB48" s="154" t="e">
        <f aca="false">VLOOKUP(C48,[3]Headct!$C$23:$G$76,2,FALSE())</f>
        <v>#N/A</v>
      </c>
      <c r="AC48" s="182" t="s">
        <v>185</v>
      </c>
    </row>
    <row r="49" customFormat="false" ht="12.75" hidden="true" customHeight="false" outlineLevel="0" collapsed="false">
      <c r="A49" s="161" t="s">
        <v>121</v>
      </c>
      <c r="B49" s="181" t="n">
        <v>107023</v>
      </c>
      <c r="C49" s="161" t="s">
        <v>186</v>
      </c>
      <c r="D49" s="102"/>
      <c r="E49" s="155"/>
      <c r="F49" s="157"/>
      <c r="G49" s="102"/>
      <c r="H49" s="179"/>
      <c r="I49" s="157"/>
      <c r="J49" s="102"/>
      <c r="K49" s="179"/>
      <c r="L49" s="157"/>
      <c r="M49" s="102"/>
      <c r="N49" s="179"/>
      <c r="O49" s="157"/>
      <c r="P49" s="102"/>
      <c r="Q49" s="179"/>
      <c r="R49" s="157"/>
      <c r="S49" s="102"/>
      <c r="T49" s="179"/>
      <c r="U49" s="157"/>
      <c r="V49" s="102"/>
      <c r="W49" s="179"/>
      <c r="X49" s="157"/>
      <c r="Y49" s="102"/>
      <c r="Z49" s="162"/>
      <c r="AB49" s="154" t="n">
        <f aca="false">VLOOKUP(C49,[3]Headct!$C$23:$G$76,2,FALSE())</f>
        <v>20.5</v>
      </c>
      <c r="AC49" s="182" t="s">
        <v>187</v>
      </c>
    </row>
    <row r="50" customFormat="false" ht="12.75" hidden="true" customHeight="false" outlineLevel="0" collapsed="false">
      <c r="A50" s="161" t="s">
        <v>121</v>
      </c>
      <c r="B50" s="181" t="n">
        <v>107024</v>
      </c>
      <c r="C50" s="161" t="s">
        <v>188</v>
      </c>
      <c r="D50" s="102" t="s">
        <v>189</v>
      </c>
      <c r="E50" s="155" t="n">
        <v>0.217</v>
      </c>
      <c r="F50" s="157"/>
      <c r="G50" s="102"/>
      <c r="H50" s="179" t="n">
        <f aca="false">+$E50*H$67</f>
        <v>197043.622125</v>
      </c>
      <c r="I50" s="157" t="n">
        <f aca="false">+$E50*I$67</f>
        <v>189214.0261375</v>
      </c>
      <c r="J50" s="102"/>
      <c r="K50" s="179" t="n">
        <f aca="false">+$E50*K$67</f>
        <v>189214.0261375</v>
      </c>
      <c r="L50" s="157" t="n">
        <f aca="false">+$E50*L$67</f>
        <v>189214.0261375</v>
      </c>
      <c r="M50" s="102"/>
      <c r="N50" s="179" t="n">
        <f aca="false">+$E50*N$67</f>
        <v>189214.0261375</v>
      </c>
      <c r="O50" s="157" t="n">
        <f aca="false">+$E50*O$67</f>
        <v>189865.0261375</v>
      </c>
      <c r="P50" s="102"/>
      <c r="Q50" s="179" t="n">
        <f aca="false">+$E50*Q$67</f>
        <v>189865.0261375</v>
      </c>
      <c r="R50" s="157" t="n">
        <f aca="false">+$E50*R$67</f>
        <v>189865.0261375</v>
      </c>
      <c r="S50" s="102"/>
      <c r="T50" s="179" t="n">
        <f aca="false">+$E50*T$67</f>
        <v>189865.0261375</v>
      </c>
      <c r="U50" s="157" t="n">
        <f aca="false">+$E50*U$67</f>
        <v>189865.0261375</v>
      </c>
      <c r="V50" s="102"/>
      <c r="W50" s="179" t="n">
        <f aca="false">+$E50*W$67</f>
        <v>189865.0261375</v>
      </c>
      <c r="X50" s="157" t="n">
        <f aca="false">+$E50*X$67</f>
        <v>189865.0261375</v>
      </c>
      <c r="Y50" s="102"/>
      <c r="Z50" s="162" t="n">
        <f aca="false">SUM(H50:X50)</f>
        <v>2282954.9096375</v>
      </c>
      <c r="AB50" s="154" t="n">
        <f aca="false">VLOOKUP(C50,[3]Headct!$C$23:$G$76,2,FALSE())</f>
        <v>20.5</v>
      </c>
      <c r="AC50" s="182" t="s">
        <v>190</v>
      </c>
    </row>
    <row r="51" customFormat="false" ht="12.75" hidden="false" customHeight="false" outlineLevel="0" collapsed="false">
      <c r="A51" s="161" t="s">
        <v>191</v>
      </c>
      <c r="B51" s="181" t="s">
        <v>68</v>
      </c>
      <c r="C51" s="161" t="s">
        <v>192</v>
      </c>
      <c r="D51" s="102" t="s">
        <v>68</v>
      </c>
      <c r="E51" s="186"/>
      <c r="F51" s="157"/>
      <c r="G51" s="102"/>
      <c r="H51" s="179" t="n">
        <f aca="false">+$E51*H$67</f>
        <v>0</v>
      </c>
      <c r="I51" s="157" t="n">
        <f aca="false">+$E51*I$67</f>
        <v>0</v>
      </c>
      <c r="J51" s="102"/>
      <c r="K51" s="179" t="n">
        <f aca="false">+$E51*K$67</f>
        <v>0</v>
      </c>
      <c r="L51" s="157" t="n">
        <f aca="false">+$E51*L$67</f>
        <v>0</v>
      </c>
      <c r="M51" s="102"/>
      <c r="N51" s="179" t="n">
        <f aca="false">+$E51*N$67</f>
        <v>0</v>
      </c>
      <c r="O51" s="157" t="n">
        <f aca="false">+$E51*O$67</f>
        <v>0</v>
      </c>
      <c r="P51" s="102"/>
      <c r="Q51" s="179" t="n">
        <f aca="false">+$E51*Q$67</f>
        <v>0</v>
      </c>
      <c r="R51" s="157" t="n">
        <f aca="false">+$E51*R$67</f>
        <v>0</v>
      </c>
      <c r="S51" s="102"/>
      <c r="T51" s="179" t="n">
        <f aca="false">+$E51*T$67</f>
        <v>0</v>
      </c>
      <c r="U51" s="157" t="n">
        <f aca="false">+$E51*U$67</f>
        <v>0</v>
      </c>
      <c r="V51" s="102"/>
      <c r="W51" s="179" t="n">
        <f aca="false">+$E51*W$67</f>
        <v>0</v>
      </c>
      <c r="X51" s="157" t="n">
        <f aca="false">+$E51*X$67</f>
        <v>0</v>
      </c>
      <c r="Y51" s="102"/>
      <c r="Z51" s="162" t="n">
        <f aca="false">SUM(H51:X51)</f>
        <v>0</v>
      </c>
      <c r="AB51" s="154" t="n">
        <f aca="false">VLOOKUP(C51,[3]Headct!$C$23:$G$76,2,FALSE())</f>
        <v>6</v>
      </c>
      <c r="AC51" s="182" t="s">
        <v>193</v>
      </c>
    </row>
    <row r="52" customFormat="false" ht="12.75" hidden="true" customHeight="false" outlineLevel="0" collapsed="false">
      <c r="A52" s="161" t="s">
        <v>171</v>
      </c>
      <c r="B52" s="181" t="s">
        <v>194</v>
      </c>
      <c r="C52" s="161" t="s">
        <v>195</v>
      </c>
      <c r="D52" s="102" t="s">
        <v>195</v>
      </c>
      <c r="E52" s="186" t="n">
        <v>0.175</v>
      </c>
      <c r="F52" s="157"/>
      <c r="G52" s="102"/>
      <c r="H52" s="179" t="n">
        <f aca="false">+$E52*H$67</f>
        <v>158906.146875</v>
      </c>
      <c r="I52" s="157" t="n">
        <f aca="false">+$E52*I$67</f>
        <v>152591.9565625</v>
      </c>
      <c r="J52" s="102"/>
      <c r="K52" s="179" t="n">
        <f aca="false">+$E52*K$67</f>
        <v>152591.9565625</v>
      </c>
      <c r="L52" s="157" t="n">
        <f aca="false">+$E52*L$67</f>
        <v>152591.9565625</v>
      </c>
      <c r="M52" s="102"/>
      <c r="N52" s="179" t="n">
        <f aca="false">+$E52*N$67</f>
        <v>152591.9565625</v>
      </c>
      <c r="O52" s="157" t="n">
        <f aca="false">+$E52*O$67</f>
        <v>153116.9565625</v>
      </c>
      <c r="P52" s="102"/>
      <c r="Q52" s="179" t="n">
        <f aca="false">+$E52*Q$67</f>
        <v>153116.9565625</v>
      </c>
      <c r="R52" s="157" t="n">
        <f aca="false">+$E52*R$67</f>
        <v>153116.9565625</v>
      </c>
      <c r="S52" s="102"/>
      <c r="T52" s="179" t="n">
        <f aca="false">+$E52*T$67</f>
        <v>153116.9565625</v>
      </c>
      <c r="U52" s="157" t="n">
        <f aca="false">+$E52*U$67</f>
        <v>153116.9565625</v>
      </c>
      <c r="V52" s="102"/>
      <c r="W52" s="179" t="n">
        <f aca="false">+$E52*W$67</f>
        <v>153116.9565625</v>
      </c>
      <c r="X52" s="157" t="n">
        <f aca="false">+$E52*X$67</f>
        <v>153116.9565625</v>
      </c>
      <c r="Y52" s="102"/>
      <c r="Z52" s="162" t="n">
        <f aca="false">SUM(H52:X52)</f>
        <v>1841092.6690625</v>
      </c>
      <c r="AB52" s="154" t="e">
        <f aca="false">VLOOKUP(C52,[3]Headct!$C$23:$G$76,2,FALSE())</f>
        <v>#N/A</v>
      </c>
      <c r="AC52" s="182" t="s">
        <v>196</v>
      </c>
    </row>
    <row r="53" customFormat="false" ht="12.75" hidden="true" customHeight="false" outlineLevel="0" collapsed="false">
      <c r="A53" s="161" t="s">
        <v>197</v>
      </c>
      <c r="B53" s="181" t="s">
        <v>198</v>
      </c>
      <c r="C53" s="161" t="s">
        <v>199</v>
      </c>
      <c r="D53" s="102" t="s">
        <v>199</v>
      </c>
      <c r="E53" s="155"/>
      <c r="F53" s="157"/>
      <c r="G53" s="102"/>
      <c r="H53" s="179" t="n">
        <f aca="false">+$E53*H$67</f>
        <v>0</v>
      </c>
      <c r="I53" s="157" t="n">
        <f aca="false">+$E53*I$67</f>
        <v>0</v>
      </c>
      <c r="J53" s="102"/>
      <c r="K53" s="179" t="n">
        <f aca="false">+$E53*K$67</f>
        <v>0</v>
      </c>
      <c r="L53" s="157" t="n">
        <f aca="false">+$E53*L$67</f>
        <v>0</v>
      </c>
      <c r="M53" s="102"/>
      <c r="N53" s="179" t="n">
        <f aca="false">+$E53*N$67</f>
        <v>0</v>
      </c>
      <c r="O53" s="157" t="n">
        <f aca="false">+$E53*O$67</f>
        <v>0</v>
      </c>
      <c r="P53" s="102"/>
      <c r="Q53" s="179" t="n">
        <f aca="false">+$E53*Q$67</f>
        <v>0</v>
      </c>
      <c r="R53" s="157" t="n">
        <f aca="false">+$E53*R$67</f>
        <v>0</v>
      </c>
      <c r="S53" s="102"/>
      <c r="T53" s="179" t="n">
        <f aca="false">+$E53*T$67</f>
        <v>0</v>
      </c>
      <c r="U53" s="157" t="n">
        <f aca="false">+$E53*U$67</f>
        <v>0</v>
      </c>
      <c r="V53" s="102"/>
      <c r="W53" s="179" t="n">
        <f aca="false">+$E53*W$67</f>
        <v>0</v>
      </c>
      <c r="X53" s="157" t="n">
        <f aca="false">+$E53*X$67</f>
        <v>0</v>
      </c>
      <c r="Y53" s="102"/>
      <c r="Z53" s="162" t="n">
        <f aca="false">SUM(H53:X53)</f>
        <v>0</v>
      </c>
      <c r="AB53" s="154" t="e">
        <f aca="false">VLOOKUP(C53,[3]Headct!$C$23:$G$76,2,FALSE())</f>
        <v>#N/A</v>
      </c>
      <c r="AC53" s="182" t="s">
        <v>200</v>
      </c>
    </row>
    <row r="54" customFormat="false" ht="12.75" hidden="true" customHeight="false" outlineLevel="0" collapsed="false">
      <c r="A54" s="161"/>
      <c r="B54" s="181"/>
      <c r="C54" s="161" t="s">
        <v>201</v>
      </c>
      <c r="D54" s="102" t="s">
        <v>201</v>
      </c>
      <c r="E54" s="155" t="n">
        <v>0.07</v>
      </c>
      <c r="F54" s="157"/>
      <c r="G54" s="102"/>
      <c r="H54" s="179" t="n">
        <f aca="false">+$E54*H$67</f>
        <v>63562.45875</v>
      </c>
      <c r="I54" s="157" t="n">
        <f aca="false">+$E54*I$67</f>
        <v>61036.782625</v>
      </c>
      <c r="J54" s="102"/>
      <c r="K54" s="179" t="n">
        <f aca="false">+$E54*K$67</f>
        <v>61036.782625</v>
      </c>
      <c r="L54" s="157" t="n">
        <f aca="false">+$E54*L$67</f>
        <v>61036.782625</v>
      </c>
      <c r="M54" s="102"/>
      <c r="N54" s="179" t="n">
        <f aca="false">+$E54*N$67</f>
        <v>61036.782625</v>
      </c>
      <c r="O54" s="157" t="n">
        <f aca="false">+$E54*O$67</f>
        <v>61246.782625</v>
      </c>
      <c r="P54" s="102"/>
      <c r="Q54" s="179" t="n">
        <f aca="false">+$E54*Q$67</f>
        <v>61246.782625</v>
      </c>
      <c r="R54" s="157" t="n">
        <f aca="false">+$E54*R$67</f>
        <v>61246.782625</v>
      </c>
      <c r="S54" s="102"/>
      <c r="T54" s="179" t="n">
        <f aca="false">+$E54*T$67</f>
        <v>61246.782625</v>
      </c>
      <c r="U54" s="157" t="n">
        <f aca="false">+$E54*U$67</f>
        <v>61246.782625</v>
      </c>
      <c r="V54" s="102"/>
      <c r="W54" s="179" t="n">
        <f aca="false">+$E54*W$67</f>
        <v>61246.782625</v>
      </c>
      <c r="X54" s="157" t="n">
        <f aca="false">+$E54*X$67</f>
        <v>61246.782625</v>
      </c>
      <c r="Y54" s="102"/>
      <c r="Z54" s="162" t="n">
        <f aca="false">SUM(H54:X54)</f>
        <v>736437.067625</v>
      </c>
      <c r="AC54" s="182"/>
    </row>
    <row r="55" customFormat="false" ht="12.75" hidden="true" customHeight="false" outlineLevel="0" collapsed="false">
      <c r="A55" s="161"/>
      <c r="B55" s="181"/>
      <c r="C55" s="161" t="s">
        <v>202</v>
      </c>
      <c r="D55" s="102" t="s">
        <v>202</v>
      </c>
      <c r="E55" s="155" t="n">
        <v>0.024</v>
      </c>
      <c r="F55" s="157"/>
      <c r="G55" s="102"/>
      <c r="H55" s="179" t="n">
        <f aca="false">+$E55*H$67</f>
        <v>21792.843</v>
      </c>
      <c r="I55" s="157" t="n">
        <f aca="false">+$E55*I$67</f>
        <v>20926.8969</v>
      </c>
      <c r="J55" s="102"/>
      <c r="K55" s="179" t="n">
        <f aca="false">+$E55*K$67</f>
        <v>20926.8969</v>
      </c>
      <c r="L55" s="157" t="n">
        <f aca="false">+$E55*L$67</f>
        <v>20926.8969</v>
      </c>
      <c r="M55" s="102"/>
      <c r="N55" s="179" t="n">
        <f aca="false">+$E55*N$67</f>
        <v>20926.8969</v>
      </c>
      <c r="O55" s="157" t="n">
        <f aca="false">+$E55*O$67</f>
        <v>20998.8969</v>
      </c>
      <c r="P55" s="102"/>
      <c r="Q55" s="179" t="n">
        <f aca="false">+$E55*Q$67</f>
        <v>20998.8969</v>
      </c>
      <c r="R55" s="157" t="n">
        <f aca="false">+$E55*R$67</f>
        <v>20998.8969</v>
      </c>
      <c r="S55" s="102"/>
      <c r="T55" s="179" t="n">
        <f aca="false">+$E55*T$67</f>
        <v>20998.8969</v>
      </c>
      <c r="U55" s="157" t="n">
        <f aca="false">+$E55*U$67</f>
        <v>20998.8969</v>
      </c>
      <c r="V55" s="102"/>
      <c r="W55" s="179" t="n">
        <f aca="false">+$E55*W$67</f>
        <v>20998.8969</v>
      </c>
      <c r="X55" s="157" t="n">
        <f aca="false">+$E55*X$67</f>
        <v>20998.8969</v>
      </c>
      <c r="Y55" s="102"/>
      <c r="Z55" s="162" t="n">
        <f aca="false">SUM(H55:X55)</f>
        <v>252492.7089</v>
      </c>
      <c r="AC55" s="182"/>
    </row>
    <row r="56" customFormat="false" ht="12.75" hidden="true" customHeight="false" outlineLevel="0" collapsed="false">
      <c r="A56" s="161"/>
      <c r="B56" s="181"/>
      <c r="C56" s="161" t="s">
        <v>203</v>
      </c>
      <c r="D56" s="102" t="s">
        <v>203</v>
      </c>
      <c r="E56" s="155" t="n">
        <v>0.01</v>
      </c>
      <c r="F56" s="157"/>
      <c r="G56" s="102"/>
      <c r="H56" s="179" t="n">
        <f aca="false">+$E56*H$67</f>
        <v>9080.35125</v>
      </c>
      <c r="I56" s="157" t="n">
        <f aca="false">+$E56*I$67</f>
        <v>8719.540375</v>
      </c>
      <c r="J56" s="102"/>
      <c r="K56" s="179" t="n">
        <f aca="false">+$E56*K$67</f>
        <v>8719.540375</v>
      </c>
      <c r="L56" s="157" t="n">
        <f aca="false">+$E56*L$67</f>
        <v>8719.540375</v>
      </c>
      <c r="M56" s="102"/>
      <c r="N56" s="179" t="n">
        <f aca="false">+$E56*N$67</f>
        <v>8719.540375</v>
      </c>
      <c r="O56" s="157" t="n">
        <f aca="false">+$E56*O$67</f>
        <v>8749.540375</v>
      </c>
      <c r="P56" s="102"/>
      <c r="Q56" s="179" t="n">
        <f aca="false">+$E56*Q$67</f>
        <v>8749.540375</v>
      </c>
      <c r="R56" s="157" t="n">
        <f aca="false">+$E56*R$67</f>
        <v>8749.540375</v>
      </c>
      <c r="S56" s="102"/>
      <c r="T56" s="179" t="n">
        <f aca="false">+$E56*T$67</f>
        <v>8749.540375</v>
      </c>
      <c r="U56" s="157" t="n">
        <f aca="false">+$E56*U$67</f>
        <v>8749.540375</v>
      </c>
      <c r="V56" s="102"/>
      <c r="W56" s="179" t="n">
        <f aca="false">+$E56*W$67</f>
        <v>8749.540375</v>
      </c>
      <c r="X56" s="157" t="n">
        <f aca="false">+$E56*X$67</f>
        <v>8749.540375</v>
      </c>
      <c r="Y56" s="102"/>
      <c r="Z56" s="162" t="n">
        <f aca="false">SUM(H56:X56)</f>
        <v>105205.295375</v>
      </c>
      <c r="AC56" s="182"/>
    </row>
    <row r="57" customFormat="false" ht="12.75" hidden="true" customHeight="false" outlineLevel="0" collapsed="false">
      <c r="A57" s="161"/>
      <c r="B57" s="181"/>
      <c r="C57" s="161" t="s">
        <v>204</v>
      </c>
      <c r="D57" s="102" t="s">
        <v>204</v>
      </c>
      <c r="E57" s="155" t="n">
        <v>0.135</v>
      </c>
      <c r="F57" s="157"/>
      <c r="G57" s="102"/>
      <c r="H57" s="179" t="n">
        <f aca="false">+$E57*H$67</f>
        <v>122584.741875</v>
      </c>
      <c r="I57" s="157" t="n">
        <f aca="false">+$E57*I$67</f>
        <v>117713.7950625</v>
      </c>
      <c r="J57" s="102"/>
      <c r="K57" s="179" t="n">
        <f aca="false">+$E57*K$67</f>
        <v>117713.7950625</v>
      </c>
      <c r="L57" s="157" t="n">
        <f aca="false">+$E57*L$67</f>
        <v>117713.7950625</v>
      </c>
      <c r="M57" s="102"/>
      <c r="N57" s="179" t="n">
        <f aca="false">+$E57*N$67</f>
        <v>117713.7950625</v>
      </c>
      <c r="O57" s="157" t="n">
        <f aca="false">+$E57*O$67</f>
        <v>118118.7950625</v>
      </c>
      <c r="P57" s="102"/>
      <c r="Q57" s="179" t="n">
        <f aca="false">+$E57*Q$67</f>
        <v>118118.7950625</v>
      </c>
      <c r="R57" s="157" t="n">
        <f aca="false">+$E57*R$67</f>
        <v>118118.7950625</v>
      </c>
      <c r="S57" s="102"/>
      <c r="T57" s="179" t="n">
        <f aca="false">+$E57*T$67</f>
        <v>118118.7950625</v>
      </c>
      <c r="U57" s="157" t="n">
        <f aca="false">+$E57*U$67</f>
        <v>118118.7950625</v>
      </c>
      <c r="V57" s="102"/>
      <c r="W57" s="179" t="n">
        <f aca="false">+$E57*W$67</f>
        <v>118118.7950625</v>
      </c>
      <c r="X57" s="157" t="n">
        <f aca="false">+$E57*X$67</f>
        <v>118118.7950625</v>
      </c>
      <c r="Y57" s="102"/>
      <c r="Z57" s="162" t="n">
        <f aca="false">SUM(H57:X57)</f>
        <v>1420271.4875625</v>
      </c>
      <c r="AC57" s="182"/>
    </row>
    <row r="58" customFormat="false" ht="12.75" hidden="true" customHeight="false" outlineLevel="0" collapsed="false">
      <c r="A58" s="161"/>
      <c r="B58" s="181"/>
      <c r="C58" s="161" t="s">
        <v>205</v>
      </c>
      <c r="D58" s="102" t="s">
        <v>205</v>
      </c>
      <c r="E58" s="155" t="n">
        <v>0.137</v>
      </c>
      <c r="F58" s="157"/>
      <c r="G58" s="102"/>
      <c r="H58" s="179" t="n">
        <f aca="false">+$E58*H$67</f>
        <v>124400.812125</v>
      </c>
      <c r="I58" s="157" t="n">
        <f aca="false">+$E58*I$67</f>
        <v>119457.7031375</v>
      </c>
      <c r="J58" s="102"/>
      <c r="K58" s="179" t="n">
        <f aca="false">+$E58*K$67</f>
        <v>119457.7031375</v>
      </c>
      <c r="L58" s="157" t="n">
        <f aca="false">+$E58*L$67</f>
        <v>119457.7031375</v>
      </c>
      <c r="M58" s="102"/>
      <c r="N58" s="179" t="n">
        <f aca="false">+$E58*N$67</f>
        <v>119457.7031375</v>
      </c>
      <c r="O58" s="157" t="n">
        <f aca="false">+$E58*O$67</f>
        <v>119868.7031375</v>
      </c>
      <c r="P58" s="102"/>
      <c r="Q58" s="179" t="n">
        <f aca="false">+$E58*Q$67</f>
        <v>119868.7031375</v>
      </c>
      <c r="R58" s="157" t="n">
        <f aca="false">+$E58*R$67</f>
        <v>119868.7031375</v>
      </c>
      <c r="S58" s="102"/>
      <c r="T58" s="179" t="n">
        <f aca="false">+$E58*T$67</f>
        <v>119868.7031375</v>
      </c>
      <c r="U58" s="157" t="n">
        <f aca="false">+$E58*U$67</f>
        <v>119868.7031375</v>
      </c>
      <c r="V58" s="102"/>
      <c r="W58" s="179" t="n">
        <f aca="false">+$E58*W$67</f>
        <v>119868.7031375</v>
      </c>
      <c r="X58" s="157" t="n">
        <f aca="false">+$E58*X$67</f>
        <v>119868.7031375</v>
      </c>
      <c r="Y58" s="102"/>
      <c r="Z58" s="162" t="n">
        <f aca="false">SUM(H58:X58)</f>
        <v>1441312.5466375</v>
      </c>
      <c r="AC58" s="182"/>
    </row>
    <row r="59" customFormat="false" ht="12.75" hidden="true" customHeight="false" outlineLevel="0" collapsed="false">
      <c r="A59" s="161"/>
      <c r="B59" s="181"/>
      <c r="C59" s="161" t="s">
        <v>206</v>
      </c>
      <c r="D59" s="102" t="s">
        <v>206</v>
      </c>
      <c r="E59" s="155" t="n">
        <v>0.012</v>
      </c>
      <c r="F59" s="157"/>
      <c r="G59" s="102"/>
      <c r="H59" s="179" t="n">
        <f aca="false">+$E59*H$67</f>
        <v>10896.4215</v>
      </c>
      <c r="I59" s="157" t="n">
        <f aca="false">+$E59*I$67</f>
        <v>10463.44845</v>
      </c>
      <c r="J59" s="102"/>
      <c r="K59" s="179" t="n">
        <f aca="false">+$E59*K$67</f>
        <v>10463.44845</v>
      </c>
      <c r="L59" s="157" t="n">
        <f aca="false">+$E59*L$67</f>
        <v>10463.44845</v>
      </c>
      <c r="M59" s="102"/>
      <c r="N59" s="179" t="n">
        <f aca="false">+$E59*N$67</f>
        <v>10463.44845</v>
      </c>
      <c r="O59" s="157" t="n">
        <f aca="false">+$E59*O$67</f>
        <v>10499.44845</v>
      </c>
      <c r="P59" s="102"/>
      <c r="Q59" s="179" t="n">
        <f aca="false">+$E59*Q$67</f>
        <v>10499.44845</v>
      </c>
      <c r="R59" s="157" t="n">
        <f aca="false">+$E59*R$67</f>
        <v>10499.44845</v>
      </c>
      <c r="S59" s="102"/>
      <c r="T59" s="179" t="n">
        <f aca="false">+$E59*T$67</f>
        <v>10499.44845</v>
      </c>
      <c r="U59" s="157" t="n">
        <f aca="false">+$E59*U$67</f>
        <v>10499.44845</v>
      </c>
      <c r="V59" s="102"/>
      <c r="W59" s="179" t="n">
        <f aca="false">+$E59*W$67</f>
        <v>10499.44845</v>
      </c>
      <c r="X59" s="157" t="n">
        <f aca="false">+$E59*X$67</f>
        <v>10499.44845</v>
      </c>
      <c r="Y59" s="102"/>
      <c r="Z59" s="162" t="n">
        <f aca="false">SUM(H59:X59)</f>
        <v>126246.35445</v>
      </c>
      <c r="AC59" s="182"/>
    </row>
    <row r="60" customFormat="false" ht="12.75" hidden="true" customHeight="false" outlineLevel="0" collapsed="false">
      <c r="A60" s="161"/>
      <c r="B60" s="181"/>
      <c r="C60" s="161" t="s">
        <v>207</v>
      </c>
      <c r="D60" s="102" t="s">
        <v>207</v>
      </c>
      <c r="E60" s="155" t="n">
        <v>0.012</v>
      </c>
      <c r="F60" s="157"/>
      <c r="G60" s="102"/>
      <c r="H60" s="179" t="n">
        <f aca="false">+$E60*H$67</f>
        <v>10896.4215</v>
      </c>
      <c r="I60" s="157" t="n">
        <f aca="false">+$E60*I$67</f>
        <v>10463.44845</v>
      </c>
      <c r="J60" s="102"/>
      <c r="K60" s="179" t="n">
        <f aca="false">+$E60*K$67</f>
        <v>10463.44845</v>
      </c>
      <c r="L60" s="157" t="n">
        <f aca="false">+$E60*L$67</f>
        <v>10463.44845</v>
      </c>
      <c r="M60" s="102"/>
      <c r="N60" s="179" t="n">
        <f aca="false">+$E60*N$67</f>
        <v>10463.44845</v>
      </c>
      <c r="O60" s="157" t="n">
        <f aca="false">+$E60*O$67</f>
        <v>10499.44845</v>
      </c>
      <c r="P60" s="102"/>
      <c r="Q60" s="179" t="n">
        <f aca="false">+$E60*Q$67</f>
        <v>10499.44845</v>
      </c>
      <c r="R60" s="157" t="n">
        <f aca="false">+$E60*R$67</f>
        <v>10499.44845</v>
      </c>
      <c r="S60" s="102"/>
      <c r="T60" s="179" t="n">
        <f aca="false">+$E60*T$67</f>
        <v>10499.44845</v>
      </c>
      <c r="U60" s="157" t="n">
        <f aca="false">+$E60*U$67</f>
        <v>10499.44845</v>
      </c>
      <c r="V60" s="102"/>
      <c r="W60" s="179" t="n">
        <f aca="false">+$E60*W$67</f>
        <v>10499.44845</v>
      </c>
      <c r="X60" s="157" t="n">
        <f aca="false">+$E60*X$67</f>
        <v>10499.44845</v>
      </c>
      <c r="Y60" s="102"/>
      <c r="Z60" s="162" t="n">
        <f aca="false">SUM(H60:X60)</f>
        <v>126246.35445</v>
      </c>
      <c r="AC60" s="182"/>
    </row>
    <row r="61" customFormat="false" ht="12.75" hidden="true" customHeight="false" outlineLevel="0" collapsed="false">
      <c r="A61" s="161"/>
      <c r="B61" s="181"/>
      <c r="C61" s="161" t="s">
        <v>208</v>
      </c>
      <c r="D61" s="102" t="s">
        <v>208</v>
      </c>
      <c r="E61" s="155" t="n">
        <v>0.012</v>
      </c>
      <c r="F61" s="157"/>
      <c r="G61" s="102"/>
      <c r="H61" s="179" t="n">
        <f aca="false">+$E61*H$67</f>
        <v>10896.4215</v>
      </c>
      <c r="I61" s="157" t="n">
        <f aca="false">+$E61*I$67</f>
        <v>10463.44845</v>
      </c>
      <c r="J61" s="102"/>
      <c r="K61" s="179" t="n">
        <f aca="false">+$E61*K$67</f>
        <v>10463.44845</v>
      </c>
      <c r="L61" s="157" t="n">
        <f aca="false">+$E61*L$67</f>
        <v>10463.44845</v>
      </c>
      <c r="M61" s="102"/>
      <c r="N61" s="179" t="n">
        <f aca="false">+$E61*N$67</f>
        <v>10463.44845</v>
      </c>
      <c r="O61" s="157" t="n">
        <f aca="false">+$E61*O$67</f>
        <v>10499.44845</v>
      </c>
      <c r="P61" s="102"/>
      <c r="Q61" s="179" t="n">
        <f aca="false">+$E61*Q$67</f>
        <v>10499.44845</v>
      </c>
      <c r="R61" s="157" t="n">
        <f aca="false">+$E61*R$67</f>
        <v>10499.44845</v>
      </c>
      <c r="S61" s="102"/>
      <c r="T61" s="179" t="n">
        <f aca="false">+$E61*T$67</f>
        <v>10499.44845</v>
      </c>
      <c r="U61" s="157" t="n">
        <f aca="false">+$E61*U$67</f>
        <v>10499.44845</v>
      </c>
      <c r="V61" s="102"/>
      <c r="W61" s="179" t="n">
        <f aca="false">+$E61*W$67</f>
        <v>10499.44845</v>
      </c>
      <c r="X61" s="157" t="n">
        <f aca="false">+$E61*X$67</f>
        <v>10499.44845</v>
      </c>
      <c r="Y61" s="102"/>
      <c r="Z61" s="162" t="n">
        <f aca="false">SUM(H61:X61)</f>
        <v>126246.35445</v>
      </c>
      <c r="AC61" s="182"/>
    </row>
    <row r="62" customFormat="false" ht="12.75" hidden="true" customHeight="false" outlineLevel="0" collapsed="false">
      <c r="A62" s="161"/>
      <c r="B62" s="181"/>
      <c r="C62" s="161" t="s">
        <v>209</v>
      </c>
      <c r="D62" s="102" t="s">
        <v>210</v>
      </c>
      <c r="E62" s="155" t="n">
        <f aca="false">0.012/3</f>
        <v>0.004</v>
      </c>
      <c r="F62" s="157"/>
      <c r="G62" s="102"/>
      <c r="H62" s="179" t="n">
        <f aca="false">+$E62*H$67</f>
        <v>3632.1405</v>
      </c>
      <c r="I62" s="157" t="n">
        <f aca="false">+$E62*I$67</f>
        <v>3487.81615</v>
      </c>
      <c r="J62" s="102"/>
      <c r="K62" s="179" t="n">
        <f aca="false">+$E62*K$67</f>
        <v>3487.81615</v>
      </c>
      <c r="L62" s="157" t="n">
        <f aca="false">+$E62*L$67</f>
        <v>3487.81615</v>
      </c>
      <c r="M62" s="102"/>
      <c r="N62" s="179" t="n">
        <f aca="false">+$E62*N$67</f>
        <v>3487.81615</v>
      </c>
      <c r="O62" s="157" t="n">
        <f aca="false">+$E62*O$67</f>
        <v>3499.81615</v>
      </c>
      <c r="P62" s="102"/>
      <c r="Q62" s="179" t="n">
        <f aca="false">+$E62*Q$67</f>
        <v>3499.81615</v>
      </c>
      <c r="R62" s="157" t="n">
        <f aca="false">+$E62*R$67</f>
        <v>3499.81615</v>
      </c>
      <c r="S62" s="102"/>
      <c r="T62" s="179" t="n">
        <f aca="false">+$E62*T$67</f>
        <v>3499.81615</v>
      </c>
      <c r="U62" s="157" t="n">
        <f aca="false">+$E62*U$67</f>
        <v>3499.81615</v>
      </c>
      <c r="V62" s="102"/>
      <c r="W62" s="179" t="n">
        <f aca="false">+$E62*W$67</f>
        <v>3499.81615</v>
      </c>
      <c r="X62" s="157" t="n">
        <f aca="false">+$E62*X$67</f>
        <v>3499.81615</v>
      </c>
      <c r="Y62" s="102"/>
      <c r="Z62" s="162" t="n">
        <f aca="false">SUM(H62:X62)</f>
        <v>42082.11815</v>
      </c>
      <c r="AC62" s="182"/>
    </row>
    <row r="63" customFormat="false" ht="12.75" hidden="false" customHeight="false" outlineLevel="0" collapsed="false">
      <c r="A63" s="161"/>
      <c r="B63" s="181"/>
      <c r="C63" s="161"/>
      <c r="D63" s="102" t="s">
        <v>211</v>
      </c>
      <c r="E63" s="155" t="n">
        <f aca="false">0.012/3+(0.012/3)</f>
        <v>0.008</v>
      </c>
      <c r="F63" s="157"/>
      <c r="G63" s="102"/>
      <c r="H63" s="179" t="n">
        <f aca="false">+$E63*H$67</f>
        <v>7264.281</v>
      </c>
      <c r="I63" s="157" t="n">
        <f aca="false">+$E63*I$67</f>
        <v>6975.6323</v>
      </c>
      <c r="J63" s="102"/>
      <c r="K63" s="179" t="n">
        <f aca="false">+$E63*K$67</f>
        <v>6975.6323</v>
      </c>
      <c r="L63" s="157" t="n">
        <f aca="false">+$E63*L$67</f>
        <v>6975.6323</v>
      </c>
      <c r="M63" s="102"/>
      <c r="N63" s="179" t="n">
        <f aca="false">+$E63*N$67</f>
        <v>6975.6323</v>
      </c>
      <c r="O63" s="157" t="n">
        <f aca="false">+$E63*O$67</f>
        <v>6999.6323</v>
      </c>
      <c r="P63" s="102"/>
      <c r="Q63" s="179" t="n">
        <f aca="false">+$E63*Q$67</f>
        <v>6999.6323</v>
      </c>
      <c r="R63" s="157" t="n">
        <f aca="false">+$E63*R$67</f>
        <v>6999.6323</v>
      </c>
      <c r="S63" s="102"/>
      <c r="T63" s="179" t="n">
        <f aca="false">+$E63*T$67</f>
        <v>6999.6323</v>
      </c>
      <c r="U63" s="157" t="n">
        <f aca="false">+$E63*U$67</f>
        <v>6999.6323</v>
      </c>
      <c r="V63" s="102"/>
      <c r="W63" s="179" t="n">
        <f aca="false">+$E63*W$67</f>
        <v>6999.6323</v>
      </c>
      <c r="X63" s="157" t="n">
        <f aca="false">+$E63*X$67</f>
        <v>6999.6323</v>
      </c>
      <c r="Y63" s="102"/>
      <c r="Z63" s="162" t="n">
        <f aca="false">SUM(H63:X63)</f>
        <v>84164.2363</v>
      </c>
      <c r="AC63" s="182"/>
    </row>
    <row r="64" customFormat="false" ht="12.75" hidden="true" customHeight="false" outlineLevel="0" collapsed="false">
      <c r="A64" s="161"/>
      <c r="B64" s="181"/>
      <c r="C64" s="161"/>
      <c r="D64" s="102" t="s">
        <v>210</v>
      </c>
      <c r="E64" s="155"/>
      <c r="F64" s="157"/>
      <c r="G64" s="102"/>
      <c r="H64" s="179" t="n">
        <f aca="false">+$E64*H$67</f>
        <v>0</v>
      </c>
      <c r="I64" s="157" t="n">
        <f aca="false">+$E64*I$67</f>
        <v>0</v>
      </c>
      <c r="J64" s="102"/>
      <c r="K64" s="179" t="n">
        <f aca="false">+$E64*K$67</f>
        <v>0</v>
      </c>
      <c r="L64" s="157" t="n">
        <f aca="false">+$E64*L$67</f>
        <v>0</v>
      </c>
      <c r="M64" s="102"/>
      <c r="N64" s="179" t="n">
        <f aca="false">+$E64*N$67</f>
        <v>0</v>
      </c>
      <c r="O64" s="157" t="n">
        <f aca="false">+$E64*O$67</f>
        <v>0</v>
      </c>
      <c r="P64" s="102"/>
      <c r="Q64" s="179" t="n">
        <f aca="false">+$E64*Q$67</f>
        <v>0</v>
      </c>
      <c r="R64" s="157" t="n">
        <f aca="false">+$E64*R$67</f>
        <v>0</v>
      </c>
      <c r="S64" s="102"/>
      <c r="T64" s="179" t="n">
        <f aca="false">+$E64*T$67</f>
        <v>0</v>
      </c>
      <c r="U64" s="157" t="n">
        <f aca="false">+$E64*U$67</f>
        <v>0</v>
      </c>
      <c r="V64" s="102"/>
      <c r="W64" s="179" t="n">
        <f aca="false">+$E64*W$67</f>
        <v>0</v>
      </c>
      <c r="X64" s="157" t="n">
        <f aca="false">+$E64*X$67</f>
        <v>0</v>
      </c>
      <c r="Y64" s="102"/>
      <c r="Z64" s="162" t="n">
        <f aca="false">SUM(H64:X64)</f>
        <v>0</v>
      </c>
      <c r="AC64" s="182"/>
    </row>
    <row r="65" customFormat="false" ht="12.75" hidden="false" customHeight="false" outlineLevel="0" collapsed="false">
      <c r="A65" s="161"/>
      <c r="B65" s="181"/>
      <c r="C65" s="161" t="s">
        <v>66</v>
      </c>
      <c r="D65" s="102" t="str">
        <f aca="false">+C65</f>
        <v>RAC</v>
      </c>
      <c r="E65" s="155" t="n">
        <v>0.184</v>
      </c>
      <c r="F65" s="157"/>
      <c r="G65" s="102"/>
      <c r="H65" s="179" t="n">
        <f aca="false">+$E65*H$67</f>
        <v>167078.463</v>
      </c>
      <c r="I65" s="157" t="n">
        <f aca="false">+$E65*I$67</f>
        <v>160439.5429</v>
      </c>
      <c r="J65" s="102"/>
      <c r="K65" s="179" t="n">
        <f aca="false">+$E65*K$67</f>
        <v>160439.5429</v>
      </c>
      <c r="L65" s="157" t="n">
        <f aca="false">+$E65*L$67</f>
        <v>160439.5429</v>
      </c>
      <c r="M65" s="102"/>
      <c r="N65" s="179" t="n">
        <f aca="false">+$E65*N$67</f>
        <v>160439.5429</v>
      </c>
      <c r="O65" s="157" t="n">
        <f aca="false">+$E65*O$67</f>
        <v>160991.5429</v>
      </c>
      <c r="P65" s="102"/>
      <c r="Q65" s="179" t="n">
        <f aca="false">+$E65*Q$67</f>
        <v>160991.5429</v>
      </c>
      <c r="R65" s="157" t="n">
        <f aca="false">+$E65*R$67</f>
        <v>160991.5429</v>
      </c>
      <c r="S65" s="102"/>
      <c r="T65" s="179" t="n">
        <f aca="false">+$E65*T$67</f>
        <v>160991.5429</v>
      </c>
      <c r="U65" s="157" t="n">
        <f aca="false">+$E65*U$67</f>
        <v>160991.5429</v>
      </c>
      <c r="V65" s="102"/>
      <c r="W65" s="179" t="n">
        <f aca="false">+$E65*W$67</f>
        <v>160991.5429</v>
      </c>
      <c r="X65" s="157" t="n">
        <f aca="false">+$E65*X$67</f>
        <v>160991.5429</v>
      </c>
      <c r="Y65" s="102"/>
      <c r="Z65" s="162" t="n">
        <f aca="false">SUM(H65:X65)</f>
        <v>1935777.4349</v>
      </c>
      <c r="AC65" s="182"/>
    </row>
    <row r="66" customFormat="false" ht="12.75" hidden="false" customHeight="false" outlineLevel="0" collapsed="false">
      <c r="A66" s="161"/>
      <c r="B66" s="102"/>
      <c r="C66" s="161"/>
      <c r="D66" s="102"/>
      <c r="E66" s="161"/>
      <c r="F66" s="157"/>
      <c r="G66" s="102"/>
      <c r="H66" s="179"/>
      <c r="I66" s="157"/>
      <c r="J66" s="102"/>
      <c r="K66" s="179"/>
      <c r="L66" s="157"/>
      <c r="M66" s="102"/>
      <c r="N66" s="179"/>
      <c r="O66" s="157"/>
      <c r="P66" s="102"/>
      <c r="Q66" s="179"/>
      <c r="R66" s="157"/>
      <c r="S66" s="102"/>
      <c r="T66" s="179"/>
      <c r="U66" s="157"/>
      <c r="V66" s="102"/>
      <c r="W66" s="179"/>
      <c r="X66" s="157"/>
      <c r="Y66" s="102"/>
      <c r="Z66" s="180"/>
    </row>
    <row r="67" customFormat="false" ht="13.5" hidden="false" customHeight="false" outlineLevel="0" collapsed="false">
      <c r="A67" s="187"/>
      <c r="B67" s="188"/>
      <c r="C67" s="189" t="s">
        <v>58</v>
      </c>
      <c r="D67" s="190"/>
      <c r="E67" s="191" t="n">
        <f aca="false">SUM(E22:E66)</f>
        <v>1</v>
      </c>
      <c r="F67" s="192" t="n">
        <f aca="false">SUM(F22:F66)</f>
        <v>0</v>
      </c>
      <c r="G67" s="190"/>
      <c r="H67" s="193" t="n">
        <f aca="false">+[4]Research!D86</f>
        <v>908035.125</v>
      </c>
      <c r="I67" s="192" t="n">
        <f aca="false">+[4]Research!E86</f>
        <v>871954.0375</v>
      </c>
      <c r="J67" s="194"/>
      <c r="K67" s="193" t="n">
        <f aca="false">+[4]Research!F86</f>
        <v>871954.0375</v>
      </c>
      <c r="L67" s="192" t="n">
        <f aca="false">+[4]Research!G86</f>
        <v>871954.0375</v>
      </c>
      <c r="M67" s="194"/>
      <c r="N67" s="193" t="n">
        <f aca="false">+[4]Research!H86</f>
        <v>871954.0375</v>
      </c>
      <c r="O67" s="192" t="n">
        <f aca="false">+[4]Research!I86</f>
        <v>874954.0375</v>
      </c>
      <c r="P67" s="194"/>
      <c r="Q67" s="193" t="n">
        <f aca="false">+[4]Research!J86</f>
        <v>874954.0375</v>
      </c>
      <c r="R67" s="192" t="n">
        <f aca="false">+[4]Research!K86</f>
        <v>874954.0375</v>
      </c>
      <c r="S67" s="194"/>
      <c r="T67" s="193" t="n">
        <f aca="false">+[4]Research!L86</f>
        <v>874954.0375</v>
      </c>
      <c r="U67" s="192" t="n">
        <f aca="false">+[4]Research!M86</f>
        <v>874954.0375</v>
      </c>
      <c r="V67" s="194"/>
      <c r="W67" s="193" t="n">
        <f aca="false">+[4]Research!N86</f>
        <v>874954.0375</v>
      </c>
      <c r="X67" s="192" t="n">
        <f aca="false">+[4]Research!O86</f>
        <v>874954.0375</v>
      </c>
      <c r="Y67" s="194"/>
      <c r="Z67" s="195" t="n">
        <f aca="false">SUM(Z50:Z66)</f>
        <v>10520529.5375</v>
      </c>
      <c r="AA67" s="196"/>
      <c r="AB67" s="196"/>
      <c r="AC67" s="196"/>
      <c r="AD67" s="196"/>
      <c r="AE67" s="196"/>
      <c r="AF67" s="196"/>
      <c r="AG67" s="196"/>
      <c r="AH67" s="196"/>
      <c r="AI67" s="196"/>
      <c r="AJ67" s="196"/>
      <c r="AK67" s="196"/>
      <c r="AL67" s="196"/>
      <c r="AM67" s="196"/>
      <c r="AN67" s="196"/>
      <c r="AO67" s="196"/>
      <c r="AP67" s="196"/>
      <c r="AQ67" s="196"/>
      <c r="AR67" s="196"/>
      <c r="AS67" s="196"/>
      <c r="AT67" s="196"/>
      <c r="AU67" s="196"/>
      <c r="AV67" s="196"/>
      <c r="AW67" s="196"/>
      <c r="AX67" s="196"/>
      <c r="AY67" s="196"/>
      <c r="AZ67" s="196"/>
      <c r="BA67" s="196"/>
      <c r="BB67" s="196"/>
      <c r="BC67" s="196"/>
      <c r="BD67" s="196"/>
      <c r="BE67" s="196"/>
      <c r="BF67" s="196"/>
      <c r="BG67" s="196"/>
      <c r="BH67" s="196"/>
      <c r="BI67" s="196"/>
      <c r="BJ67" s="196"/>
      <c r="BK67" s="196"/>
      <c r="BL67" s="197"/>
      <c r="BM67" s="197"/>
      <c r="BN67" s="197"/>
      <c r="BO67" s="197"/>
      <c r="BP67" s="197"/>
      <c r="BQ67" s="197"/>
      <c r="BR67" s="197"/>
      <c r="BS67" s="197"/>
      <c r="BT67" s="197"/>
      <c r="BU67" s="197"/>
      <c r="BV67" s="197"/>
      <c r="BW67" s="197"/>
      <c r="BX67" s="197"/>
      <c r="BY67" s="197"/>
      <c r="BZ67" s="197"/>
      <c r="CA67" s="197"/>
      <c r="CB67" s="197"/>
      <c r="CC67" s="197"/>
      <c r="CD67" s="197"/>
      <c r="CE67" s="197"/>
      <c r="CF67" s="197"/>
      <c r="CG67" s="197"/>
      <c r="CH67" s="197"/>
      <c r="CI67" s="197"/>
      <c r="CJ67" s="197"/>
      <c r="CK67" s="197"/>
      <c r="CL67" s="197"/>
      <c r="CM67" s="197"/>
      <c r="CN67" s="197"/>
      <c r="CO67" s="197"/>
      <c r="CP67" s="197"/>
      <c r="CQ67" s="197"/>
      <c r="CR67" s="197"/>
      <c r="CS67" s="197"/>
      <c r="CT67" s="197"/>
      <c r="CU67" s="197"/>
      <c r="CV67" s="197"/>
      <c r="CW67" s="197"/>
      <c r="CX67" s="197"/>
      <c r="CY67" s="197"/>
      <c r="CZ67" s="197"/>
      <c r="DA67" s="197"/>
      <c r="DB67" s="197"/>
      <c r="DC67" s="197"/>
      <c r="DD67" s="197"/>
      <c r="DE67" s="197"/>
      <c r="DF67" s="197"/>
      <c r="DG67" s="197"/>
      <c r="DH67" s="197"/>
      <c r="DI67" s="197"/>
      <c r="DJ67" s="197"/>
      <c r="DK67" s="197"/>
      <c r="DL67" s="197"/>
      <c r="DM67" s="197"/>
      <c r="DN67" s="197"/>
      <c r="DO67" s="197"/>
      <c r="DP67" s="197"/>
      <c r="DQ67" s="197"/>
      <c r="DR67" s="197"/>
      <c r="DS67" s="197"/>
      <c r="DT67" s="197"/>
      <c r="DU67" s="197"/>
      <c r="DV67" s="197"/>
      <c r="DW67" s="197"/>
      <c r="DX67" s="197"/>
      <c r="DY67" s="197"/>
      <c r="DZ67" s="197"/>
      <c r="EA67" s="197"/>
      <c r="EB67" s="197"/>
      <c r="EC67" s="197"/>
      <c r="ED67" s="197"/>
      <c r="EE67" s="197"/>
      <c r="EF67" s="197"/>
      <c r="EG67" s="197"/>
      <c r="EH67" s="197"/>
      <c r="EI67" s="197"/>
      <c r="EJ67" s="197"/>
      <c r="EK67" s="197"/>
      <c r="EL67" s="197"/>
      <c r="EM67" s="197"/>
      <c r="EN67" s="197"/>
      <c r="EO67" s="197"/>
      <c r="EP67" s="197"/>
      <c r="EQ67" s="197"/>
      <c r="ER67" s="197"/>
      <c r="ES67" s="197"/>
      <c r="ET67" s="197"/>
      <c r="EU67" s="197"/>
      <c r="EV67" s="197"/>
      <c r="EW67" s="197"/>
      <c r="EX67" s="197"/>
      <c r="EY67" s="197"/>
      <c r="EZ67" s="197"/>
      <c r="FA67" s="197"/>
      <c r="FB67" s="197"/>
      <c r="FC67" s="197"/>
      <c r="FD67" s="197"/>
      <c r="FE67" s="197"/>
      <c r="FF67" s="197"/>
      <c r="FG67" s="197"/>
      <c r="FH67" s="197"/>
      <c r="FI67" s="197"/>
      <c r="FJ67" s="197"/>
      <c r="FK67" s="197"/>
      <c r="FL67" s="197"/>
      <c r="FM67" s="197"/>
      <c r="FN67" s="197"/>
      <c r="FO67" s="197"/>
      <c r="FP67" s="197"/>
      <c r="FQ67" s="197"/>
      <c r="FR67" s="197"/>
      <c r="FS67" s="197"/>
      <c r="FT67" s="197"/>
      <c r="FU67" s="197"/>
      <c r="FV67" s="197"/>
      <c r="FW67" s="197"/>
      <c r="FX67" s="197"/>
      <c r="FY67" s="197"/>
      <c r="FZ67" s="197"/>
      <c r="GA67" s="197"/>
      <c r="GB67" s="197"/>
      <c r="GC67" s="197"/>
      <c r="GD67" s="197"/>
      <c r="GE67" s="197"/>
      <c r="GF67" s="197"/>
      <c r="GG67" s="197"/>
      <c r="GH67" s="197"/>
      <c r="GI67" s="197"/>
      <c r="GJ67" s="197"/>
      <c r="GK67" s="197"/>
      <c r="GL67" s="197"/>
      <c r="GM67" s="197"/>
      <c r="GN67" s="197"/>
      <c r="GO67" s="197"/>
      <c r="GP67" s="197"/>
      <c r="GQ67" s="197"/>
      <c r="GR67" s="197"/>
      <c r="GS67" s="197"/>
      <c r="GT67" s="197"/>
      <c r="GU67" s="197"/>
      <c r="GV67" s="197"/>
      <c r="GW67" s="197"/>
      <c r="GX67" s="197"/>
      <c r="GY67" s="197"/>
      <c r="GZ67" s="197"/>
      <c r="HA67" s="197"/>
      <c r="HB67" s="197"/>
      <c r="HC67" s="197"/>
      <c r="HD67" s="197"/>
      <c r="HE67" s="197"/>
      <c r="HF67" s="197"/>
      <c r="HG67" s="197"/>
      <c r="HH67" s="197"/>
      <c r="HI67" s="197"/>
      <c r="HJ67" s="197"/>
      <c r="HK67" s="197"/>
      <c r="HL67" s="197"/>
      <c r="HM67" s="197"/>
      <c r="HN67" s="197"/>
      <c r="HO67" s="197"/>
      <c r="HP67" s="197"/>
      <c r="HQ67" s="197"/>
      <c r="HR67" s="197"/>
      <c r="HS67" s="197"/>
      <c r="HT67" s="197"/>
      <c r="HU67" s="197"/>
      <c r="HV67" s="197"/>
      <c r="HW67" s="197"/>
      <c r="HX67" s="197"/>
      <c r="HY67" s="197"/>
      <c r="HZ67" s="197"/>
      <c r="IA67" s="197"/>
      <c r="IB67" s="197"/>
      <c r="IC67" s="197"/>
      <c r="ID67" s="197"/>
      <c r="IE67" s="197"/>
      <c r="IF67" s="197"/>
      <c r="IG67" s="197"/>
      <c r="IH67" s="197"/>
      <c r="II67" s="197"/>
      <c r="IJ67" s="197"/>
      <c r="IK67" s="197"/>
      <c r="IL67" s="197"/>
      <c r="IM67" s="197"/>
      <c r="IN67" s="197"/>
      <c r="IO67" s="197"/>
      <c r="IP67" s="197"/>
      <c r="IQ67" s="197"/>
      <c r="IR67" s="197"/>
      <c r="IS67" s="197"/>
      <c r="IT67" s="197"/>
      <c r="IU67" s="197"/>
      <c r="IV67" s="197"/>
      <c r="IW67" s="197"/>
    </row>
    <row r="68" customFormat="false" ht="14.25" hidden="false" customHeight="false" outlineLevel="0" collapsed="false">
      <c r="A68" s="198"/>
      <c r="B68" s="199"/>
      <c r="C68" s="198"/>
      <c r="D68" s="199"/>
      <c r="E68" s="199"/>
      <c r="F68" s="200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199"/>
      <c r="T68" s="199"/>
      <c r="U68" s="199"/>
      <c r="V68" s="199"/>
      <c r="W68" s="199"/>
      <c r="X68" s="199"/>
      <c r="Y68" s="199"/>
      <c r="Z68" s="201"/>
    </row>
    <row r="69" customFormat="false" ht="9.75" hidden="false" customHeight="true" outlineLevel="0" collapsed="false">
      <c r="A69" s="202"/>
      <c r="B69" s="202"/>
      <c r="C69" s="202" t="s">
        <v>212</v>
      </c>
      <c r="D69" s="202"/>
      <c r="E69" s="202"/>
      <c r="F69" s="203" t="n">
        <f aca="false">SUM(F22:F66)</f>
        <v>0</v>
      </c>
      <c r="G69" s="202"/>
      <c r="H69" s="202"/>
      <c r="I69" s="202" t="n">
        <f aca="false">SUM(I22:I66)</f>
        <v>871954.0375</v>
      </c>
      <c r="J69" s="202"/>
      <c r="K69" s="202"/>
      <c r="L69" s="202" t="n">
        <f aca="false">SUM(L22:L66)</f>
        <v>871954.0375</v>
      </c>
      <c r="M69" s="202"/>
      <c r="N69" s="202"/>
      <c r="O69" s="202" t="n">
        <f aca="false">SUM(O22:O66)</f>
        <v>874954.0375</v>
      </c>
      <c r="P69" s="202"/>
      <c r="Q69" s="202"/>
      <c r="R69" s="202" t="n">
        <f aca="false">SUM(R22:R66)</f>
        <v>874954.0375</v>
      </c>
      <c r="S69" s="202"/>
      <c r="T69" s="202"/>
      <c r="U69" s="202" t="n">
        <f aca="false">SUM(U22:U66)</f>
        <v>874954.0375</v>
      </c>
      <c r="V69" s="202"/>
      <c r="W69" s="202"/>
      <c r="X69" s="202" t="n">
        <f aca="false">SUM(X22:X66)</f>
        <v>874954.0375</v>
      </c>
      <c r="Y69" s="202"/>
      <c r="Z69" s="202" t="n">
        <f aca="false">SUM(Z22:Z66)</f>
        <v>10520529.5375</v>
      </c>
      <c r="AA69" s="202"/>
      <c r="AB69" s="202"/>
      <c r="AC69" s="202"/>
      <c r="AD69" s="202"/>
      <c r="AE69" s="202"/>
      <c r="AF69" s="202"/>
      <c r="AG69" s="202"/>
      <c r="AH69" s="202"/>
      <c r="AI69" s="202"/>
      <c r="AJ69" s="202"/>
      <c r="AK69" s="202"/>
      <c r="AL69" s="202"/>
      <c r="AM69" s="202"/>
      <c r="AN69" s="202"/>
      <c r="AO69" s="202"/>
      <c r="AP69" s="202"/>
      <c r="AQ69" s="202"/>
      <c r="AR69" s="202"/>
      <c r="AS69" s="202"/>
      <c r="AT69" s="202"/>
      <c r="AU69" s="202"/>
      <c r="AV69" s="202"/>
      <c r="AW69" s="202"/>
      <c r="AX69" s="202"/>
      <c r="AY69" s="202"/>
      <c r="AZ69" s="202"/>
      <c r="BA69" s="202"/>
      <c r="BB69" s="202"/>
      <c r="BC69" s="202"/>
      <c r="BD69" s="202"/>
      <c r="BE69" s="202"/>
      <c r="BF69" s="202"/>
      <c r="BG69" s="202"/>
      <c r="BH69" s="202"/>
      <c r="BI69" s="202"/>
      <c r="BJ69" s="202"/>
      <c r="BK69" s="202"/>
      <c r="BL69" s="202"/>
      <c r="BM69" s="202"/>
      <c r="BN69" s="202"/>
      <c r="BO69" s="202"/>
      <c r="BP69" s="202"/>
      <c r="BQ69" s="202"/>
      <c r="BR69" s="202"/>
      <c r="BS69" s="202"/>
      <c r="BT69" s="202"/>
      <c r="BU69" s="202"/>
      <c r="BV69" s="202"/>
      <c r="BW69" s="202"/>
      <c r="BX69" s="202"/>
      <c r="BY69" s="202"/>
      <c r="BZ69" s="202"/>
      <c r="CA69" s="202"/>
      <c r="CB69" s="202"/>
      <c r="CC69" s="202"/>
      <c r="CD69" s="202"/>
      <c r="CE69" s="202"/>
      <c r="CF69" s="202"/>
      <c r="CG69" s="202"/>
      <c r="CH69" s="202"/>
      <c r="CI69" s="202"/>
      <c r="CJ69" s="202"/>
      <c r="CK69" s="202"/>
      <c r="CL69" s="202"/>
      <c r="CM69" s="202"/>
      <c r="CN69" s="202"/>
      <c r="CO69" s="202"/>
      <c r="CP69" s="202"/>
      <c r="CQ69" s="202"/>
      <c r="CR69" s="202"/>
      <c r="CS69" s="202"/>
      <c r="CT69" s="202"/>
      <c r="CU69" s="202"/>
      <c r="CV69" s="202"/>
      <c r="CW69" s="202"/>
      <c r="CX69" s="202"/>
      <c r="CY69" s="202"/>
      <c r="CZ69" s="202"/>
      <c r="DA69" s="202"/>
      <c r="DB69" s="202"/>
      <c r="DC69" s="202"/>
      <c r="DD69" s="202"/>
      <c r="DE69" s="202"/>
      <c r="DF69" s="202"/>
      <c r="DG69" s="202"/>
      <c r="DH69" s="202"/>
      <c r="DI69" s="202"/>
      <c r="DJ69" s="202"/>
      <c r="DK69" s="202"/>
      <c r="DL69" s="202"/>
      <c r="DM69" s="202"/>
      <c r="DN69" s="202"/>
      <c r="DO69" s="202"/>
      <c r="DP69" s="202"/>
      <c r="DQ69" s="202"/>
      <c r="DR69" s="202"/>
      <c r="DS69" s="202"/>
      <c r="DT69" s="202"/>
      <c r="DU69" s="202"/>
      <c r="DV69" s="202"/>
      <c r="DW69" s="202"/>
      <c r="DX69" s="202"/>
      <c r="DY69" s="202"/>
      <c r="DZ69" s="202"/>
      <c r="EA69" s="202"/>
      <c r="EB69" s="202"/>
      <c r="EC69" s="202"/>
      <c r="ED69" s="202"/>
      <c r="EE69" s="202"/>
      <c r="EF69" s="202"/>
      <c r="EG69" s="202"/>
      <c r="EH69" s="202"/>
      <c r="EI69" s="202"/>
      <c r="EJ69" s="202"/>
      <c r="EK69" s="202"/>
      <c r="EL69" s="202"/>
      <c r="EM69" s="202"/>
      <c r="EN69" s="202"/>
      <c r="EO69" s="202"/>
      <c r="EP69" s="202"/>
      <c r="EQ69" s="202"/>
      <c r="ER69" s="202"/>
      <c r="ES69" s="202"/>
      <c r="ET69" s="202"/>
      <c r="EU69" s="202"/>
      <c r="EV69" s="202"/>
      <c r="EW69" s="202"/>
      <c r="EX69" s="202"/>
      <c r="EY69" s="202"/>
      <c r="EZ69" s="202"/>
      <c r="FA69" s="202"/>
      <c r="FB69" s="202"/>
      <c r="FC69" s="202"/>
      <c r="FD69" s="202"/>
      <c r="FE69" s="202"/>
      <c r="FF69" s="202"/>
      <c r="FG69" s="202"/>
      <c r="FH69" s="202"/>
      <c r="FI69" s="202"/>
      <c r="FJ69" s="202"/>
      <c r="FK69" s="202"/>
      <c r="FL69" s="202"/>
      <c r="FM69" s="202"/>
      <c r="FN69" s="202"/>
      <c r="FO69" s="202"/>
      <c r="FP69" s="202"/>
      <c r="FQ69" s="202"/>
      <c r="FR69" s="202"/>
      <c r="FS69" s="202"/>
      <c r="FT69" s="202"/>
      <c r="FU69" s="202"/>
      <c r="FV69" s="202"/>
      <c r="FW69" s="202"/>
      <c r="FX69" s="202"/>
      <c r="FY69" s="202"/>
      <c r="FZ69" s="202"/>
      <c r="GA69" s="202"/>
      <c r="GB69" s="202"/>
      <c r="GC69" s="202"/>
      <c r="GD69" s="202"/>
      <c r="GE69" s="202"/>
      <c r="GF69" s="202"/>
      <c r="GG69" s="202"/>
      <c r="GH69" s="202"/>
      <c r="GI69" s="202"/>
      <c r="GJ69" s="202"/>
      <c r="GK69" s="202"/>
      <c r="GL69" s="202"/>
      <c r="GM69" s="202"/>
      <c r="GN69" s="202"/>
      <c r="GO69" s="202"/>
      <c r="GP69" s="202"/>
      <c r="GQ69" s="202"/>
      <c r="GR69" s="202"/>
      <c r="GS69" s="202"/>
      <c r="GT69" s="202"/>
      <c r="GU69" s="202"/>
      <c r="GV69" s="202"/>
      <c r="GW69" s="202"/>
      <c r="GX69" s="202"/>
      <c r="GY69" s="202"/>
      <c r="GZ69" s="202"/>
      <c r="HA69" s="202"/>
      <c r="HB69" s="202"/>
      <c r="HC69" s="202"/>
      <c r="HD69" s="202"/>
      <c r="HE69" s="202"/>
      <c r="HF69" s="202"/>
      <c r="HG69" s="202"/>
      <c r="HH69" s="202"/>
      <c r="HI69" s="202"/>
      <c r="HJ69" s="202"/>
      <c r="HK69" s="202"/>
      <c r="HL69" s="202"/>
      <c r="HM69" s="202"/>
      <c r="HN69" s="202"/>
      <c r="HO69" s="202"/>
      <c r="HP69" s="202"/>
      <c r="HQ69" s="202"/>
      <c r="HR69" s="202"/>
      <c r="HS69" s="202"/>
      <c r="HT69" s="202"/>
      <c r="HU69" s="202"/>
      <c r="HV69" s="202"/>
      <c r="HW69" s="202"/>
      <c r="HX69" s="202"/>
      <c r="HY69" s="202"/>
      <c r="HZ69" s="202"/>
      <c r="IA69" s="202"/>
      <c r="IB69" s="202"/>
      <c r="IC69" s="202"/>
      <c r="ID69" s="202"/>
      <c r="IE69" s="202"/>
      <c r="IF69" s="202"/>
      <c r="IG69" s="202"/>
      <c r="IH69" s="202"/>
      <c r="II69" s="202"/>
      <c r="IJ69" s="202"/>
      <c r="IK69" s="202"/>
      <c r="IL69" s="202"/>
      <c r="IM69" s="202"/>
      <c r="IN69" s="202"/>
      <c r="IO69" s="202"/>
      <c r="IP69" s="202"/>
      <c r="IQ69" s="202"/>
      <c r="IR69" s="202"/>
      <c r="IS69" s="202"/>
      <c r="IT69" s="202"/>
      <c r="IU69" s="202"/>
      <c r="IV69" s="202"/>
      <c r="IW69" s="202"/>
    </row>
    <row r="70" customFormat="false" ht="12.75" hidden="false" customHeight="false" outlineLevel="0" collapsed="false">
      <c r="F70" s="151" t="n">
        <f aca="false">1-F69</f>
        <v>1</v>
      </c>
    </row>
  </sheetData>
  <mergeCells count="4">
    <mergeCell ref="C15:Z15"/>
    <mergeCell ref="C16:Z16"/>
    <mergeCell ref="E19:F19"/>
    <mergeCell ref="E20:F20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106"/>
  <sheetViews>
    <sheetView showFormulas="false" showGridLines="tru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J64" activeCellId="0" sqref="J6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56"/>
    <col collapsed="false" customWidth="true" hidden="false" outlineLevel="0" max="3" min="3" style="0" width="14.99"/>
    <col collapsed="false" customWidth="true" hidden="false" outlineLevel="0" max="4" min="4" style="0" width="14.85"/>
    <col collapsed="false" customWidth="true" hidden="false" outlineLevel="0" max="5" min="5" style="0" width="20.7"/>
    <col collapsed="false" customWidth="true" hidden="false" outlineLevel="0" max="6" min="6" style="204" width="13.99"/>
    <col collapsed="false" customWidth="true" hidden="false" outlineLevel="0" max="7" min="7" style="205" width="12.7"/>
    <col collapsed="false" customWidth="true" hidden="false" outlineLevel="0" max="8" min="8" style="204" width="12.14"/>
    <col collapsed="false" customWidth="true" hidden="false" outlineLevel="0" max="10" min="9" style="204" width="14.85"/>
    <col collapsed="false" customWidth="true" hidden="false" outlineLevel="0" max="11" min="11" style="0" width="9.56"/>
  </cols>
  <sheetData>
    <row r="1" customFormat="false" ht="20.25" hidden="false" customHeight="false" outlineLevel="0" collapsed="false">
      <c r="A1" s="206" t="s">
        <v>213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</row>
    <row r="2" customFormat="false" ht="12.75" hidden="false" customHeight="false" outlineLevel="0" collapsed="false">
      <c r="F2" s="0"/>
      <c r="G2" s="204"/>
      <c r="H2" s="205"/>
      <c r="K2" s="204"/>
    </row>
    <row r="3" customFormat="false" ht="12.75" hidden="false" customHeight="false" outlineLevel="0" collapsed="false">
      <c r="A3" s="207" t="s">
        <v>214</v>
      </c>
      <c r="F3" s="0"/>
      <c r="G3" s="204"/>
      <c r="H3" s="205"/>
      <c r="K3" s="204"/>
    </row>
    <row r="4" customFormat="false" ht="12.75" hidden="false" customHeight="false" outlineLevel="0" collapsed="false">
      <c r="F4" s="0"/>
      <c r="G4" s="204"/>
      <c r="H4" s="205"/>
      <c r="K4" s="204"/>
    </row>
    <row r="5" customFormat="false" ht="12.75" hidden="false" customHeight="false" outlineLevel="0" collapsed="false">
      <c r="B5" s="207" t="s">
        <v>215</v>
      </c>
      <c r="F5" s="0"/>
      <c r="G5" s="204"/>
      <c r="H5" s="205"/>
      <c r="K5" s="204"/>
    </row>
    <row r="6" customFormat="false" ht="12.75" hidden="false" customHeight="false" outlineLevel="0" collapsed="false">
      <c r="B6" s="207"/>
      <c r="F6" s="0"/>
      <c r="G6" s="204"/>
      <c r="H6" s="205"/>
      <c r="K6" s="204"/>
    </row>
    <row r="7" customFormat="false" ht="12.75" hidden="false" customHeight="false" outlineLevel="0" collapsed="false">
      <c r="C7" s="208" t="s">
        <v>216</v>
      </c>
      <c r="D7" s="208" t="s">
        <v>217</v>
      </c>
      <c r="E7" s="208" t="s">
        <v>218</v>
      </c>
      <c r="F7" s="209" t="s">
        <v>219</v>
      </c>
      <c r="G7" s="210" t="s">
        <v>220</v>
      </c>
      <c r="H7" s="209" t="s">
        <v>221</v>
      </c>
      <c r="I7" s="209" t="s">
        <v>58</v>
      </c>
      <c r="J7" s="209"/>
      <c r="K7" s="204"/>
    </row>
    <row r="8" customFormat="false" ht="12.75" hidden="false" customHeight="false" outlineLevel="0" collapsed="false">
      <c r="C8" s="208"/>
      <c r="D8" s="208"/>
      <c r="E8" s="211"/>
      <c r="F8" s="212" t="n">
        <v>0.2</v>
      </c>
      <c r="G8" s="213" t="n">
        <v>0.32</v>
      </c>
      <c r="H8" s="212" t="n">
        <v>0.4</v>
      </c>
      <c r="I8" s="209"/>
      <c r="J8" s="209"/>
      <c r="K8" s="204"/>
    </row>
    <row r="9" customFormat="false" ht="12.75" hidden="false" customHeight="false" outlineLevel="0" collapsed="false">
      <c r="C9" s="0" t="s">
        <v>222</v>
      </c>
      <c r="D9" s="204" t="n">
        <v>400000</v>
      </c>
      <c r="E9" s="204"/>
      <c r="G9" s="204"/>
      <c r="K9" s="204"/>
    </row>
    <row r="10" customFormat="false" ht="12.75" hidden="false" customHeight="false" outlineLevel="0" collapsed="false">
      <c r="C10" s="0" t="s">
        <v>223</v>
      </c>
      <c r="D10" s="204" t="n">
        <v>250000</v>
      </c>
      <c r="E10" s="204" t="n">
        <v>125000</v>
      </c>
      <c r="F10" s="204" t="n">
        <f aca="false">+E10*F$8</f>
        <v>25000</v>
      </c>
      <c r="G10" s="204" t="n">
        <f aca="false">+$E10*G$8</f>
        <v>40000</v>
      </c>
      <c r="H10" s="204" t="n">
        <f aca="false">+$E10*H$8</f>
        <v>50000</v>
      </c>
      <c r="I10" s="204" t="n">
        <f aca="false">SUM(E10:H10)</f>
        <v>240000</v>
      </c>
      <c r="K10" s="204"/>
    </row>
    <row r="11" customFormat="false" ht="12.75" hidden="false" customHeight="false" outlineLevel="0" collapsed="false">
      <c r="C11" s="0" t="s">
        <v>224</v>
      </c>
      <c r="D11" s="204" t="n">
        <v>200000</v>
      </c>
      <c r="E11" s="204" t="n">
        <v>100000</v>
      </c>
      <c r="F11" s="204" t="n">
        <f aca="false">+E11*F$8</f>
        <v>20000</v>
      </c>
      <c r="G11" s="204" t="n">
        <f aca="false">+$E11*G$8</f>
        <v>32000</v>
      </c>
      <c r="H11" s="204" t="n">
        <f aca="false">+$E11*H$8</f>
        <v>40000</v>
      </c>
      <c r="I11" s="204" t="n">
        <f aca="false">SUM(E11:H11)</f>
        <v>192000</v>
      </c>
      <c r="K11" s="204"/>
    </row>
    <row r="12" customFormat="false" ht="12.75" hidden="false" customHeight="false" outlineLevel="0" collapsed="false">
      <c r="C12" s="0" t="s">
        <v>225</v>
      </c>
      <c r="D12" s="204" t="n">
        <v>150000</v>
      </c>
      <c r="E12" s="204" t="n">
        <v>80000</v>
      </c>
      <c r="F12" s="204" t="n">
        <f aca="false">+E12*F$8</f>
        <v>16000</v>
      </c>
      <c r="G12" s="204" t="n">
        <f aca="false">+$E12*G$8</f>
        <v>25600</v>
      </c>
      <c r="H12" s="204" t="n">
        <f aca="false">+$E12*H$8</f>
        <v>32000</v>
      </c>
      <c r="I12" s="204" t="n">
        <f aca="false">SUM(E12:H12)</f>
        <v>153600</v>
      </c>
      <c r="K12" s="204"/>
    </row>
    <row r="13" customFormat="false" ht="12.75" hidden="false" customHeight="false" outlineLevel="0" collapsed="false">
      <c r="C13" s="0" t="s">
        <v>226</v>
      </c>
      <c r="D13" s="204" t="n">
        <v>125000</v>
      </c>
      <c r="E13" s="204" t="n">
        <v>65000</v>
      </c>
      <c r="F13" s="204" t="n">
        <f aca="false">+E13*F$8</f>
        <v>13000</v>
      </c>
      <c r="G13" s="204" t="n">
        <f aca="false">+$E13*G$8</f>
        <v>20800</v>
      </c>
      <c r="H13" s="204" t="n">
        <f aca="false">+$E13*H$8</f>
        <v>26000</v>
      </c>
      <c r="I13" s="204" t="n">
        <f aca="false">SUM(E13:H13)</f>
        <v>124800</v>
      </c>
      <c r="K13" s="204"/>
    </row>
    <row r="14" customFormat="false" ht="12.75" hidden="false" customHeight="false" outlineLevel="0" collapsed="false">
      <c r="C14" s="0" t="s">
        <v>227</v>
      </c>
      <c r="D14" s="204" t="n">
        <v>70000</v>
      </c>
      <c r="E14" s="204" t="n">
        <v>35000</v>
      </c>
      <c r="F14" s="204" t="n">
        <f aca="false">+E14*F$8</f>
        <v>7000</v>
      </c>
      <c r="G14" s="204" t="n">
        <f aca="false">+$E14*G$8</f>
        <v>11200</v>
      </c>
      <c r="H14" s="204" t="n">
        <f aca="false">+$E14*H$8</f>
        <v>14000</v>
      </c>
      <c r="I14" s="204" t="n">
        <f aca="false">SUM(E14:H14)</f>
        <v>67200</v>
      </c>
      <c r="K14" s="204"/>
    </row>
    <row r="15" customFormat="false" ht="12.75" hidden="false" customHeight="false" outlineLevel="0" collapsed="false">
      <c r="F15" s="0"/>
      <c r="G15" s="204"/>
      <c r="H15" s="205"/>
      <c r="K15" s="204"/>
    </row>
    <row r="16" customFormat="false" ht="12.75" hidden="false" customHeight="false" outlineLevel="0" collapsed="false">
      <c r="B16" s="207" t="s">
        <v>228</v>
      </c>
      <c r="F16" s="0"/>
      <c r="G16" s="204"/>
      <c r="H16" s="205"/>
      <c r="K16" s="204"/>
    </row>
    <row r="17" customFormat="false" ht="12.75" hidden="false" customHeight="false" outlineLevel="0" collapsed="false">
      <c r="F17" s="0"/>
      <c r="G17" s="204"/>
      <c r="H17" s="205"/>
      <c r="K17" s="204"/>
    </row>
    <row r="18" customFormat="false" ht="12.75" hidden="false" customHeight="false" outlineLevel="0" collapsed="false">
      <c r="C18" s="197" t="s">
        <v>229</v>
      </c>
      <c r="F18" s="0"/>
      <c r="G18" s="204"/>
      <c r="H18" s="205"/>
      <c r="K18" s="204"/>
    </row>
    <row r="19" customFormat="false" ht="12.75" hidden="false" customHeight="false" outlineLevel="0" collapsed="false">
      <c r="C19" s="0" t="s">
        <v>230</v>
      </c>
      <c r="F19" s="0"/>
      <c r="G19" s="204"/>
      <c r="H19" s="205"/>
      <c r="K19" s="204"/>
    </row>
    <row r="20" customFormat="false" ht="12.75" hidden="false" customHeight="false" outlineLevel="0" collapsed="false">
      <c r="C20" s="197" t="s">
        <v>231</v>
      </c>
      <c r="F20" s="0"/>
      <c r="G20" s="204"/>
      <c r="H20" s="205"/>
      <c r="K20" s="204"/>
    </row>
    <row r="21" customFormat="false" ht="12.75" hidden="false" customHeight="false" outlineLevel="0" collapsed="false">
      <c r="C21" s="0" t="s">
        <v>232</v>
      </c>
      <c r="F21" s="0"/>
      <c r="G21" s="204"/>
      <c r="H21" s="205"/>
      <c r="K21" s="204"/>
    </row>
    <row r="22" customFormat="false" ht="12.75" hidden="false" customHeight="false" outlineLevel="0" collapsed="false">
      <c r="C22" s="0" t="s">
        <v>233</v>
      </c>
      <c r="F22" s="0"/>
      <c r="G22" s="204"/>
      <c r="H22" s="205"/>
      <c r="K22" s="204"/>
    </row>
    <row r="23" customFormat="false" ht="12.75" hidden="false" customHeight="false" outlineLevel="0" collapsed="false">
      <c r="C23" s="0" t="s">
        <v>234</v>
      </c>
      <c r="F23" s="0"/>
      <c r="G23" s="204"/>
      <c r="H23" s="205"/>
      <c r="K23" s="204"/>
    </row>
    <row r="24" customFormat="false" ht="12.75" hidden="false" customHeight="false" outlineLevel="0" collapsed="false">
      <c r="C24" s="0" t="s">
        <v>235</v>
      </c>
      <c r="F24" s="0"/>
      <c r="G24" s="204"/>
      <c r="H24" s="205"/>
      <c r="K24" s="204"/>
    </row>
    <row r="25" customFormat="false" ht="12.75" hidden="false" customHeight="false" outlineLevel="0" collapsed="false">
      <c r="C25" s="0" t="s">
        <v>236</v>
      </c>
      <c r="F25" s="0"/>
      <c r="G25" s="204"/>
      <c r="H25" s="205"/>
      <c r="K25" s="204"/>
    </row>
    <row r="26" customFormat="false" ht="12.75" hidden="false" customHeight="false" outlineLevel="0" collapsed="false">
      <c r="C26" s="0" t="s">
        <v>237</v>
      </c>
      <c r="F26" s="0"/>
      <c r="G26" s="204"/>
      <c r="H26" s="205"/>
      <c r="K26" s="204"/>
    </row>
    <row r="27" customFormat="false" ht="12.75" hidden="false" customHeight="false" outlineLevel="0" collapsed="false">
      <c r="C27" s="0" t="s">
        <v>238</v>
      </c>
      <c r="F27" s="0"/>
      <c r="G27" s="204"/>
      <c r="H27" s="205"/>
      <c r="K27" s="204"/>
    </row>
    <row r="28" customFormat="false" ht="12.75" hidden="false" customHeight="false" outlineLevel="0" collapsed="false">
      <c r="C28" s="0" t="s">
        <v>239</v>
      </c>
      <c r="F28" s="0"/>
      <c r="G28" s="204"/>
      <c r="H28" s="205"/>
      <c r="K28" s="204"/>
    </row>
    <row r="29" customFormat="false" ht="12.75" hidden="false" customHeight="false" outlineLevel="0" collapsed="false">
      <c r="C29" s="0" t="s">
        <v>240</v>
      </c>
      <c r="F29" s="0"/>
      <c r="G29" s="204"/>
      <c r="H29" s="205"/>
      <c r="K29" s="204"/>
    </row>
    <row r="30" customFormat="false" ht="12.75" hidden="false" customHeight="false" outlineLevel="0" collapsed="false">
      <c r="C30" s="0" t="s">
        <v>241</v>
      </c>
      <c r="F30" s="0"/>
      <c r="G30" s="204"/>
      <c r="H30" s="205"/>
      <c r="K30" s="204"/>
    </row>
    <row r="31" customFormat="false" ht="12.75" hidden="false" customHeight="false" outlineLevel="0" collapsed="false">
      <c r="C31" s="197" t="s">
        <v>242</v>
      </c>
      <c r="F31" s="0"/>
      <c r="G31" s="204"/>
      <c r="H31" s="205"/>
      <c r="K31" s="204"/>
    </row>
    <row r="32" customFormat="false" ht="12.75" hidden="false" customHeight="false" outlineLevel="0" collapsed="false">
      <c r="C32" s="0" t="s">
        <v>243</v>
      </c>
      <c r="F32" s="0"/>
      <c r="G32" s="204"/>
      <c r="H32" s="205"/>
      <c r="K32" s="204"/>
    </row>
    <row r="33" customFormat="false" ht="12.75" hidden="false" customHeight="false" outlineLevel="0" collapsed="false">
      <c r="C33" s="0" t="s">
        <v>244</v>
      </c>
      <c r="F33" s="0"/>
      <c r="G33" s="204"/>
      <c r="H33" s="205"/>
      <c r="K33" s="204"/>
    </row>
    <row r="34" customFormat="false" ht="12.75" hidden="false" customHeight="false" outlineLevel="0" collapsed="false">
      <c r="C34" s="0" t="s">
        <v>245</v>
      </c>
      <c r="F34" s="0"/>
      <c r="G34" s="204"/>
      <c r="H34" s="205"/>
      <c r="K34" s="204"/>
    </row>
    <row r="35" customFormat="false" ht="12.75" hidden="false" customHeight="false" outlineLevel="0" collapsed="false">
      <c r="C35" s="0" t="s">
        <v>246</v>
      </c>
      <c r="F35" s="0"/>
      <c r="G35" s="204"/>
      <c r="H35" s="205"/>
      <c r="K35" s="204"/>
    </row>
    <row r="36" customFormat="false" ht="12.75" hidden="false" customHeight="false" outlineLevel="0" collapsed="false">
      <c r="C36" s="0" t="s">
        <v>247</v>
      </c>
      <c r="F36" s="0"/>
      <c r="G36" s="204"/>
      <c r="H36" s="205"/>
      <c r="K36" s="204"/>
    </row>
    <row r="37" customFormat="false" ht="12.75" hidden="false" customHeight="false" outlineLevel="0" collapsed="false">
      <c r="C37" s="197" t="s">
        <v>248</v>
      </c>
      <c r="F37" s="0"/>
      <c r="G37" s="204"/>
      <c r="H37" s="205"/>
      <c r="K37" s="204"/>
    </row>
    <row r="38" customFormat="false" ht="12.75" hidden="false" customHeight="false" outlineLevel="0" collapsed="false">
      <c r="C38" s="0" t="s">
        <v>249</v>
      </c>
      <c r="F38" s="0"/>
      <c r="G38" s="204"/>
      <c r="H38" s="205"/>
      <c r="K38" s="204"/>
    </row>
    <row r="39" customFormat="false" ht="12.75" hidden="false" customHeight="false" outlineLevel="0" collapsed="false">
      <c r="C39" s="0" t="s">
        <v>250</v>
      </c>
      <c r="F39" s="0"/>
      <c r="G39" s="204"/>
      <c r="H39" s="205"/>
      <c r="K39" s="204"/>
    </row>
    <row r="40" customFormat="false" ht="12.75" hidden="false" customHeight="false" outlineLevel="0" collapsed="false">
      <c r="C40" s="197" t="s">
        <v>251</v>
      </c>
      <c r="F40" s="0"/>
      <c r="G40" s="204"/>
      <c r="H40" s="205"/>
      <c r="K40" s="204"/>
    </row>
    <row r="41" customFormat="false" ht="12.75" hidden="false" customHeight="false" outlineLevel="0" collapsed="false">
      <c r="C41" s="0" t="s">
        <v>252</v>
      </c>
      <c r="F41" s="0"/>
      <c r="G41" s="204"/>
      <c r="H41" s="205"/>
      <c r="K41" s="204"/>
    </row>
    <row r="42" customFormat="false" ht="12.75" hidden="false" customHeight="false" outlineLevel="0" collapsed="false">
      <c r="C42" s="0" t="s">
        <v>253</v>
      </c>
      <c r="F42" s="0"/>
      <c r="G42" s="204"/>
      <c r="H42" s="205"/>
      <c r="K42" s="204"/>
    </row>
    <row r="43" customFormat="false" ht="12.75" hidden="false" customHeight="false" outlineLevel="0" collapsed="false">
      <c r="C43" s="0" t="s">
        <v>254</v>
      </c>
      <c r="F43" s="0"/>
      <c r="G43" s="204"/>
      <c r="H43" s="205"/>
      <c r="K43" s="204"/>
    </row>
    <row r="44" customFormat="false" ht="12.75" hidden="false" customHeight="false" outlineLevel="0" collapsed="false">
      <c r="F44" s="0"/>
      <c r="G44" s="204"/>
      <c r="H44" s="205"/>
      <c r="K44" s="204"/>
    </row>
    <row r="45" customFormat="false" ht="12.75" hidden="false" customHeight="false" outlineLevel="0" collapsed="false">
      <c r="B45" s="207" t="s">
        <v>255</v>
      </c>
      <c r="F45" s="0"/>
      <c r="G45" s="204"/>
      <c r="H45" s="205"/>
      <c r="K45" s="204"/>
    </row>
    <row r="46" customFormat="false" ht="13.5" hidden="false" customHeight="false" outlineLevel="0" collapsed="false">
      <c r="F46" s="0"/>
      <c r="G46" s="204"/>
      <c r="H46" s="205"/>
      <c r="K46" s="204"/>
    </row>
    <row r="47" customFormat="false" ht="13.5" hidden="false" customHeight="false" outlineLevel="0" collapsed="false">
      <c r="C47" s="214" t="s">
        <v>256</v>
      </c>
      <c r="D47" s="215" t="s">
        <v>257</v>
      </c>
      <c r="E47" s="215" t="s">
        <v>7</v>
      </c>
      <c r="F47" s="215" t="s">
        <v>258</v>
      </c>
      <c r="G47" s="216" t="s">
        <v>259</v>
      </c>
      <c r="H47" s="217" t="s">
        <v>260</v>
      </c>
      <c r="I47" s="216" t="s">
        <v>8</v>
      </c>
      <c r="J47" s="216" t="s">
        <v>261</v>
      </c>
      <c r="K47" s="218" t="s">
        <v>262</v>
      </c>
    </row>
    <row r="48" customFormat="false" ht="12.75" hidden="true" customHeight="false" outlineLevel="0" collapsed="false">
      <c r="C48" s="219"/>
      <c r="D48" s="220"/>
      <c r="E48" s="220"/>
      <c r="F48" s="220"/>
      <c r="G48" s="221"/>
      <c r="H48" s="222"/>
      <c r="I48" s="221"/>
      <c r="J48" s="223"/>
      <c r="K48" s="224"/>
    </row>
    <row r="49" customFormat="false" ht="12.75" hidden="true" customHeight="false" outlineLevel="0" collapsed="false">
      <c r="C49" s="219" t="s">
        <v>194</v>
      </c>
      <c r="D49" s="225"/>
      <c r="E49" s="225" t="s">
        <v>263</v>
      </c>
      <c r="F49" s="225" t="s">
        <v>264</v>
      </c>
      <c r="G49" s="226" t="n">
        <v>250000</v>
      </c>
      <c r="H49" s="227" t="n">
        <v>0.75</v>
      </c>
      <c r="I49" s="226" t="n">
        <f aca="false">+H49*G49</f>
        <v>187500</v>
      </c>
      <c r="J49" s="228"/>
      <c r="K49" s="229"/>
    </row>
    <row r="50" customFormat="false" ht="12.75" hidden="true" customHeight="false" outlineLevel="0" collapsed="false">
      <c r="C50" s="219"/>
      <c r="D50" s="225"/>
      <c r="E50" s="225" t="s">
        <v>265</v>
      </c>
      <c r="F50" s="225" t="s">
        <v>264</v>
      </c>
      <c r="G50" s="226" t="n">
        <v>200000</v>
      </c>
      <c r="H50" s="227" t="n">
        <v>1</v>
      </c>
      <c r="I50" s="226" t="n">
        <f aca="false">+H50*G50</f>
        <v>200000</v>
      </c>
      <c r="J50" s="228"/>
      <c r="K50" s="229"/>
    </row>
    <row r="51" customFormat="false" ht="12.75" hidden="true" customHeight="false" outlineLevel="0" collapsed="false">
      <c r="C51" s="219"/>
      <c r="D51" s="225"/>
      <c r="E51" s="225" t="s">
        <v>266</v>
      </c>
      <c r="F51" s="225" t="s">
        <v>264</v>
      </c>
      <c r="G51" s="226" t="n">
        <v>150000</v>
      </c>
      <c r="H51" s="227" t="n">
        <v>1</v>
      </c>
      <c r="I51" s="226" t="n">
        <f aca="false">+H51*G51</f>
        <v>150000</v>
      </c>
      <c r="J51" s="228"/>
      <c r="K51" s="229"/>
    </row>
    <row r="52" customFormat="false" ht="12.75" hidden="true" customHeight="false" outlineLevel="0" collapsed="false">
      <c r="C52" s="219"/>
      <c r="D52" s="225"/>
      <c r="E52" s="225" t="s">
        <v>267</v>
      </c>
      <c r="F52" s="225" t="s">
        <v>264</v>
      </c>
      <c r="G52" s="226" t="n">
        <v>125000</v>
      </c>
      <c r="H52" s="227" t="n">
        <v>0.5</v>
      </c>
      <c r="I52" s="226" t="n">
        <f aca="false">+H52*G52</f>
        <v>62500</v>
      </c>
      <c r="J52" s="228"/>
      <c r="K52" s="229"/>
    </row>
    <row r="53" customFormat="false" ht="12.75" hidden="true" customHeight="false" outlineLevel="0" collapsed="false">
      <c r="C53" s="219"/>
      <c r="D53" s="225"/>
      <c r="E53" s="225" t="s">
        <v>268</v>
      </c>
      <c r="F53" s="225" t="s">
        <v>269</v>
      </c>
      <c r="G53" s="226" t="n">
        <v>125000</v>
      </c>
      <c r="H53" s="227" t="n">
        <v>0.5</v>
      </c>
      <c r="I53" s="226" t="n">
        <f aca="false">+H53*G53</f>
        <v>62500</v>
      </c>
      <c r="J53" s="228"/>
      <c r="K53" s="229"/>
    </row>
    <row r="54" customFormat="false" ht="12.75" hidden="true" customHeight="false" outlineLevel="0" collapsed="false">
      <c r="C54" s="219"/>
      <c r="D54" s="225"/>
      <c r="E54" s="225" t="s">
        <v>270</v>
      </c>
      <c r="F54" s="225" t="s">
        <v>269</v>
      </c>
      <c r="G54" s="226" t="n">
        <v>125000</v>
      </c>
      <c r="H54" s="227" t="n">
        <v>0.5</v>
      </c>
      <c r="I54" s="226" t="n">
        <f aca="false">+H54*G54</f>
        <v>62500</v>
      </c>
      <c r="J54" s="228"/>
      <c r="K54" s="229"/>
    </row>
    <row r="55" customFormat="false" ht="12.75" hidden="true" customHeight="false" outlineLevel="0" collapsed="false">
      <c r="C55" s="219"/>
      <c r="D55" s="225"/>
      <c r="E55" s="225" t="s">
        <v>271</v>
      </c>
      <c r="F55" s="225" t="s">
        <v>269</v>
      </c>
      <c r="G55" s="226" t="n">
        <v>125000</v>
      </c>
      <c r="H55" s="227" t="n">
        <v>0.5</v>
      </c>
      <c r="I55" s="226" t="n">
        <f aca="false">+H55*G55</f>
        <v>62500</v>
      </c>
      <c r="J55" s="228"/>
      <c r="K55" s="229"/>
    </row>
    <row r="56" customFormat="false" ht="12.75" hidden="true" customHeight="false" outlineLevel="0" collapsed="false">
      <c r="C56" s="219"/>
      <c r="D56" s="225"/>
      <c r="E56" s="225" t="s">
        <v>272</v>
      </c>
      <c r="F56" s="225" t="s">
        <v>269</v>
      </c>
      <c r="G56" s="226" t="n">
        <v>125000</v>
      </c>
      <c r="H56" s="227" t="n">
        <v>0.5</v>
      </c>
      <c r="I56" s="226" t="n">
        <f aca="false">+H56*G56</f>
        <v>62500</v>
      </c>
      <c r="J56" s="228"/>
      <c r="K56" s="229"/>
    </row>
    <row r="57" customFormat="false" ht="12.75" hidden="true" customHeight="false" outlineLevel="0" collapsed="false">
      <c r="C57" s="219"/>
      <c r="D57" s="225"/>
      <c r="E57" s="225" t="s">
        <v>273</v>
      </c>
      <c r="F57" s="225" t="s">
        <v>274</v>
      </c>
      <c r="G57" s="226" t="n">
        <v>400000</v>
      </c>
      <c r="H57" s="227" t="n">
        <v>0.15</v>
      </c>
      <c r="I57" s="226" t="n">
        <f aca="false">+H57*G57</f>
        <v>60000</v>
      </c>
      <c r="J57" s="228"/>
      <c r="K57" s="229"/>
    </row>
    <row r="58" customFormat="false" ht="12.75" hidden="true" customHeight="false" outlineLevel="0" collapsed="false">
      <c r="C58" s="219"/>
      <c r="D58" s="225"/>
      <c r="E58" s="225" t="s">
        <v>275</v>
      </c>
      <c r="F58" s="225" t="s">
        <v>269</v>
      </c>
      <c r="G58" s="226" t="n">
        <v>96000</v>
      </c>
      <c r="H58" s="227" t="n">
        <v>1</v>
      </c>
      <c r="I58" s="226" t="n">
        <f aca="false">+H58*G58</f>
        <v>96000</v>
      </c>
      <c r="J58" s="228"/>
      <c r="K58" s="229"/>
    </row>
    <row r="59" customFormat="false" ht="13.5" hidden="true" customHeight="false" outlineLevel="0" collapsed="false">
      <c r="C59" s="219"/>
      <c r="D59" s="225"/>
      <c r="E59" s="225"/>
      <c r="F59" s="225"/>
      <c r="G59" s="226"/>
      <c r="H59" s="227"/>
      <c r="I59" s="226"/>
      <c r="J59" s="228" t="n">
        <f aca="false">SUM(I48:I59)</f>
        <v>1006000</v>
      </c>
      <c r="K59" s="229" t="n">
        <f aca="false">+J59/12</f>
        <v>83833.3333333333</v>
      </c>
    </row>
    <row r="60" customFormat="false" ht="12.75" hidden="false" customHeight="false" outlineLevel="0" collapsed="false">
      <c r="C60" s="230"/>
      <c r="D60" s="220"/>
      <c r="E60" s="220"/>
      <c r="F60" s="220"/>
      <c r="G60" s="221"/>
      <c r="H60" s="222"/>
      <c r="I60" s="221"/>
      <c r="J60" s="223"/>
      <c r="K60" s="224"/>
    </row>
    <row r="61" customFormat="false" ht="12.75" hidden="false" customHeight="false" outlineLevel="0" collapsed="false">
      <c r="C61" s="219" t="s">
        <v>68</v>
      </c>
      <c r="D61" s="225" t="s">
        <v>276</v>
      </c>
      <c r="E61" s="225" t="s">
        <v>277</v>
      </c>
      <c r="F61" s="225" t="s">
        <v>278</v>
      </c>
      <c r="G61" s="226" t="n">
        <v>250000</v>
      </c>
      <c r="H61" s="227" t="n">
        <v>0.04</v>
      </c>
      <c r="I61" s="226" t="n">
        <f aca="false">+G61*H61</f>
        <v>10000</v>
      </c>
      <c r="J61" s="228"/>
      <c r="K61" s="229"/>
    </row>
    <row r="62" customFormat="false" ht="12.75" hidden="false" customHeight="false" outlineLevel="0" collapsed="false">
      <c r="C62" s="219"/>
      <c r="D62" s="225" t="s">
        <v>279</v>
      </c>
      <c r="E62" s="225" t="s">
        <v>277</v>
      </c>
      <c r="F62" s="225" t="s">
        <v>278</v>
      </c>
      <c r="G62" s="226" t="n">
        <v>250000</v>
      </c>
      <c r="H62" s="227" t="n">
        <v>0.17</v>
      </c>
      <c r="I62" s="226" t="n">
        <f aca="false">+G62*H62</f>
        <v>42500</v>
      </c>
      <c r="J62" s="228"/>
      <c r="K62" s="229"/>
    </row>
    <row r="63" customFormat="false" ht="12.75" hidden="false" customHeight="false" outlineLevel="0" collapsed="false">
      <c r="C63" s="219"/>
      <c r="D63" s="225" t="s">
        <v>280</v>
      </c>
      <c r="E63" s="225" t="s">
        <v>277</v>
      </c>
      <c r="F63" s="225" t="s">
        <v>278</v>
      </c>
      <c r="G63" s="226" t="n">
        <v>250000</v>
      </c>
      <c r="H63" s="227" t="n">
        <v>0.25</v>
      </c>
      <c r="I63" s="226" t="n">
        <f aca="false">+H63*G63</f>
        <v>62500</v>
      </c>
      <c r="J63" s="228"/>
      <c r="K63" s="229"/>
    </row>
    <row r="64" customFormat="false" ht="12.75" hidden="false" customHeight="false" outlineLevel="0" collapsed="false">
      <c r="C64" s="219"/>
      <c r="D64" s="225" t="s">
        <v>276</v>
      </c>
      <c r="E64" s="225" t="s">
        <v>281</v>
      </c>
      <c r="F64" s="225" t="s">
        <v>278</v>
      </c>
      <c r="G64" s="226" t="n">
        <v>70000</v>
      </c>
      <c r="H64" s="227" t="n">
        <f aca="false">+H61/0.71*0.5</f>
        <v>0.028169014084507</v>
      </c>
      <c r="I64" s="226" t="n">
        <f aca="false">+H64*G64</f>
        <v>1971.83098591549</v>
      </c>
      <c r="J64" s="228"/>
      <c r="K64" s="229"/>
    </row>
    <row r="65" customFormat="false" ht="12.75" hidden="false" customHeight="false" outlineLevel="0" collapsed="false">
      <c r="C65" s="219"/>
      <c r="D65" s="225" t="s">
        <v>279</v>
      </c>
      <c r="E65" s="225" t="s">
        <v>281</v>
      </c>
      <c r="F65" s="225" t="s">
        <v>278</v>
      </c>
      <c r="G65" s="226" t="n">
        <v>70000</v>
      </c>
      <c r="H65" s="227" t="n">
        <f aca="false">+H62/0.71*0.5</f>
        <v>0.119718309859155</v>
      </c>
      <c r="I65" s="226" t="n">
        <f aca="false">+H65*G65</f>
        <v>8380.28169014085</v>
      </c>
      <c r="J65" s="228"/>
      <c r="K65" s="229"/>
    </row>
    <row r="66" customFormat="false" ht="12.75" hidden="false" customHeight="false" outlineLevel="0" collapsed="false">
      <c r="C66" s="219"/>
      <c r="D66" s="225" t="s">
        <v>280</v>
      </c>
      <c r="E66" s="225" t="s">
        <v>281</v>
      </c>
      <c r="F66" s="225" t="s">
        <v>278</v>
      </c>
      <c r="G66" s="226" t="n">
        <v>70000</v>
      </c>
      <c r="H66" s="227" t="n">
        <f aca="false">+H63/0.71*0.5</f>
        <v>0.176056338028169</v>
      </c>
      <c r="I66" s="226" t="n">
        <f aca="false">+H66*G66</f>
        <v>12323.9436619718</v>
      </c>
      <c r="J66" s="228"/>
      <c r="K66" s="229"/>
    </row>
    <row r="67" customFormat="false" ht="12.75" hidden="false" customHeight="false" outlineLevel="0" collapsed="false">
      <c r="C67" s="219"/>
      <c r="D67" s="225" t="s">
        <v>66</v>
      </c>
      <c r="E67" s="225" t="s">
        <v>281</v>
      </c>
      <c r="F67" s="225" t="s">
        <v>282</v>
      </c>
      <c r="G67" s="226" t="n">
        <v>70000</v>
      </c>
      <c r="H67" s="227" t="n">
        <v>0.25</v>
      </c>
      <c r="I67" s="226" t="n">
        <f aca="false">+H67*G67</f>
        <v>17500</v>
      </c>
      <c r="J67" s="228"/>
      <c r="K67" s="229"/>
    </row>
    <row r="68" customFormat="false" ht="12.75" hidden="false" customHeight="false" outlineLevel="0" collapsed="false">
      <c r="C68" s="219"/>
      <c r="D68" s="225" t="s">
        <v>66</v>
      </c>
      <c r="E68" s="225" t="s">
        <v>266</v>
      </c>
      <c r="F68" s="225" t="s">
        <v>282</v>
      </c>
      <c r="G68" s="226" t="n">
        <v>150000</v>
      </c>
      <c r="H68" s="227" t="n">
        <v>0.25</v>
      </c>
      <c r="I68" s="226" t="n">
        <f aca="false">+H68*G68</f>
        <v>37500</v>
      </c>
      <c r="J68" s="228"/>
      <c r="K68" s="229"/>
    </row>
    <row r="69" customFormat="false" ht="12.75" hidden="false" customHeight="false" outlineLevel="0" collapsed="false">
      <c r="C69" s="219"/>
      <c r="D69" s="225" t="s">
        <v>283</v>
      </c>
      <c r="E69" s="225" t="s">
        <v>281</v>
      </c>
      <c r="F69" s="225" t="s">
        <v>282</v>
      </c>
      <c r="G69" s="226" t="n">
        <v>70000</v>
      </c>
      <c r="H69" s="227" t="n">
        <v>1.5</v>
      </c>
      <c r="I69" s="226" t="n">
        <f aca="false">+H69*G69</f>
        <v>105000</v>
      </c>
      <c r="J69" s="228"/>
      <c r="K69" s="229"/>
    </row>
    <row r="70" customFormat="false" ht="12.75" hidden="false" customHeight="false" outlineLevel="0" collapsed="false">
      <c r="C70" s="219"/>
      <c r="D70" s="225" t="s">
        <v>283</v>
      </c>
      <c r="E70" s="225" t="s">
        <v>266</v>
      </c>
      <c r="F70" s="225" t="s">
        <v>282</v>
      </c>
      <c r="G70" s="226" t="n">
        <v>150000</v>
      </c>
      <c r="H70" s="227" t="n">
        <v>0.25</v>
      </c>
      <c r="I70" s="226" t="n">
        <f aca="false">+H70*G70</f>
        <v>37500</v>
      </c>
      <c r="J70" s="228"/>
      <c r="K70" s="229"/>
    </row>
    <row r="71" customFormat="false" ht="12.75" hidden="false" customHeight="false" outlineLevel="0" collapsed="false">
      <c r="C71" s="219"/>
      <c r="D71" s="225"/>
      <c r="E71" s="225" t="s">
        <v>284</v>
      </c>
      <c r="F71" s="225" t="s">
        <v>269</v>
      </c>
      <c r="G71" s="226" t="n">
        <f aca="false">8000*2*12</f>
        <v>192000</v>
      </c>
      <c r="H71" s="227" t="n">
        <v>1</v>
      </c>
      <c r="I71" s="226" t="n">
        <f aca="false">+H71*G71</f>
        <v>192000</v>
      </c>
      <c r="J71" s="228"/>
      <c r="K71" s="229"/>
    </row>
    <row r="72" customFormat="false" ht="12.75" hidden="false" customHeight="false" outlineLevel="0" collapsed="false">
      <c r="C72" s="219"/>
      <c r="D72" s="225" t="s">
        <v>285</v>
      </c>
      <c r="E72" s="225" t="s">
        <v>273</v>
      </c>
      <c r="F72" s="225" t="s">
        <v>274</v>
      </c>
      <c r="G72" s="226" t="n">
        <v>400000</v>
      </c>
      <c r="H72" s="227" t="n">
        <v>0.15</v>
      </c>
      <c r="I72" s="226" t="n">
        <f aca="false">+H72*G72</f>
        <v>60000</v>
      </c>
      <c r="J72" s="228"/>
      <c r="K72" s="229"/>
    </row>
    <row r="73" customFormat="false" ht="12.75" hidden="false" customHeight="false" outlineLevel="0" collapsed="false">
      <c r="C73" s="219"/>
      <c r="D73" s="225"/>
      <c r="E73" s="225" t="s">
        <v>268</v>
      </c>
      <c r="F73" s="225" t="s">
        <v>269</v>
      </c>
      <c r="G73" s="226" t="n">
        <v>125000</v>
      </c>
      <c r="H73" s="227" t="n">
        <v>1</v>
      </c>
      <c r="I73" s="226" t="n">
        <f aca="false">+H73*G73</f>
        <v>125000</v>
      </c>
      <c r="J73" s="228"/>
      <c r="K73" s="229"/>
    </row>
    <row r="74" customFormat="false" ht="12.75" hidden="false" customHeight="false" outlineLevel="0" collapsed="false">
      <c r="C74" s="219"/>
      <c r="D74" s="225" t="s">
        <v>286</v>
      </c>
      <c r="E74" s="225" t="s">
        <v>287</v>
      </c>
      <c r="F74" s="225" t="s">
        <v>269</v>
      </c>
      <c r="G74" s="226" t="n">
        <v>125000</v>
      </c>
      <c r="H74" s="227" t="n">
        <v>1</v>
      </c>
      <c r="I74" s="226" t="n">
        <f aca="false">+H74*G74</f>
        <v>125000</v>
      </c>
      <c r="J74" s="228"/>
      <c r="K74" s="229"/>
    </row>
    <row r="75" customFormat="false" ht="13.5" hidden="false" customHeight="false" outlineLevel="0" collapsed="false">
      <c r="C75" s="231"/>
      <c r="D75" s="232"/>
      <c r="E75" s="232"/>
      <c r="F75" s="232"/>
      <c r="G75" s="233"/>
      <c r="H75" s="234"/>
      <c r="I75" s="233"/>
      <c r="J75" s="235" t="n">
        <f aca="false">SUM(I60:I75)</f>
        <v>837176.056338028</v>
      </c>
      <c r="K75" s="236" t="n">
        <f aca="false">+J75/12</f>
        <v>69764.6713615024</v>
      </c>
    </row>
    <row r="76" customFormat="false" ht="12.75" hidden="true" customHeight="false" outlineLevel="0" collapsed="false">
      <c r="C76" s="219"/>
      <c r="D76" s="225"/>
      <c r="E76" s="225"/>
      <c r="F76" s="225"/>
      <c r="G76" s="226"/>
      <c r="H76" s="227"/>
      <c r="I76" s="226"/>
      <c r="J76" s="228"/>
      <c r="K76" s="229"/>
    </row>
    <row r="77" customFormat="false" ht="12.75" hidden="true" customHeight="false" outlineLevel="0" collapsed="false">
      <c r="C77" s="219" t="s">
        <v>288</v>
      </c>
      <c r="D77" s="225"/>
      <c r="E77" s="225" t="s">
        <v>275</v>
      </c>
      <c r="F77" s="225" t="s">
        <v>269</v>
      </c>
      <c r="G77" s="226" t="n">
        <f aca="false">8000*1*12</f>
        <v>96000</v>
      </c>
      <c r="H77" s="227" t="n">
        <v>1</v>
      </c>
      <c r="I77" s="226" t="n">
        <f aca="false">+H77*G77</f>
        <v>96000</v>
      </c>
      <c r="J77" s="228"/>
      <c r="K77" s="229"/>
    </row>
    <row r="78" customFormat="false" ht="13.5" hidden="true" customHeight="false" outlineLevel="0" collapsed="false">
      <c r="C78" s="231"/>
      <c r="D78" s="232"/>
      <c r="E78" s="232"/>
      <c r="F78" s="232"/>
      <c r="G78" s="233"/>
      <c r="H78" s="234"/>
      <c r="I78" s="233"/>
      <c r="J78" s="235" t="n">
        <f aca="false">SUM(I76:I78)</f>
        <v>96000</v>
      </c>
      <c r="K78" s="236" t="n">
        <f aca="false">+J78/12</f>
        <v>8000</v>
      </c>
    </row>
    <row r="79" customFormat="false" ht="12.75" hidden="true" customHeight="false" outlineLevel="0" collapsed="false">
      <c r="C79" s="219"/>
      <c r="D79" s="225"/>
      <c r="E79" s="225"/>
      <c r="F79" s="225"/>
      <c r="G79" s="226"/>
      <c r="H79" s="227"/>
      <c r="I79" s="226"/>
      <c r="J79" s="228"/>
      <c r="K79" s="229"/>
    </row>
    <row r="80" customFormat="false" ht="12.75" hidden="true" customHeight="false" outlineLevel="0" collapsed="false">
      <c r="C80" s="219" t="s">
        <v>289</v>
      </c>
      <c r="D80" s="225"/>
      <c r="E80" s="225" t="s">
        <v>227</v>
      </c>
      <c r="F80" s="225" t="s">
        <v>282</v>
      </c>
      <c r="G80" s="226" t="n">
        <v>70000</v>
      </c>
      <c r="H80" s="227" t="n">
        <v>1.5</v>
      </c>
      <c r="I80" s="226" t="n">
        <f aca="false">+H80*G80</f>
        <v>105000</v>
      </c>
      <c r="J80" s="228"/>
      <c r="K80" s="229"/>
    </row>
    <row r="81" customFormat="false" ht="13.5" hidden="true" customHeight="false" outlineLevel="0" collapsed="false">
      <c r="C81" s="231"/>
      <c r="D81" s="232"/>
      <c r="E81" s="232"/>
      <c r="F81" s="232"/>
      <c r="G81" s="233"/>
      <c r="H81" s="234"/>
      <c r="I81" s="233"/>
      <c r="J81" s="235" t="n">
        <f aca="false">SUM(I79:I81)</f>
        <v>105000</v>
      </c>
      <c r="K81" s="236" t="n">
        <f aca="false">+J81/12</f>
        <v>8750</v>
      </c>
    </row>
    <row r="82" customFormat="false" ht="12.75" hidden="true" customHeight="false" outlineLevel="0" collapsed="false">
      <c r="C82" s="219"/>
      <c r="D82" s="225"/>
      <c r="E82" s="225"/>
      <c r="F82" s="225"/>
      <c r="G82" s="226"/>
      <c r="H82" s="227"/>
      <c r="I82" s="226"/>
      <c r="J82" s="228"/>
      <c r="K82" s="229"/>
    </row>
    <row r="83" customFormat="false" ht="12.75" hidden="true" customHeight="false" outlineLevel="0" collapsed="false">
      <c r="C83" s="219" t="s">
        <v>69</v>
      </c>
      <c r="D83" s="225"/>
      <c r="E83" s="225" t="s">
        <v>284</v>
      </c>
      <c r="F83" s="225" t="s">
        <v>269</v>
      </c>
      <c r="G83" s="226" t="n">
        <f aca="false">8000*2*12</f>
        <v>192000</v>
      </c>
      <c r="H83" s="227" t="n">
        <v>1</v>
      </c>
      <c r="I83" s="226" t="n">
        <f aca="false">+H83*G83</f>
        <v>192000</v>
      </c>
      <c r="J83" s="228"/>
      <c r="K83" s="229"/>
    </row>
    <row r="84" customFormat="false" ht="13.5" hidden="true" customHeight="false" outlineLevel="0" collapsed="false">
      <c r="C84" s="231"/>
      <c r="D84" s="232"/>
      <c r="E84" s="232"/>
      <c r="F84" s="232"/>
      <c r="G84" s="233"/>
      <c r="H84" s="234"/>
      <c r="I84" s="233"/>
      <c r="J84" s="235" t="n">
        <f aca="false">SUM(I82:I84)</f>
        <v>192000</v>
      </c>
      <c r="K84" s="236" t="n">
        <f aca="false">+J84/12</f>
        <v>16000</v>
      </c>
    </row>
    <row r="85" customFormat="false" ht="12.75" hidden="true" customHeight="false" outlineLevel="0" collapsed="false">
      <c r="C85" s="219"/>
      <c r="D85" s="225"/>
      <c r="E85" s="225"/>
      <c r="F85" s="225"/>
      <c r="G85" s="226"/>
      <c r="H85" s="227"/>
      <c r="I85" s="226"/>
      <c r="J85" s="228"/>
      <c r="K85" s="229"/>
    </row>
    <row r="86" customFormat="false" ht="12.75" hidden="true" customHeight="false" outlineLevel="0" collapsed="false">
      <c r="C86" s="219" t="s">
        <v>290</v>
      </c>
      <c r="D86" s="225"/>
      <c r="E86" s="225" t="s">
        <v>277</v>
      </c>
      <c r="F86" s="225" t="s">
        <v>278</v>
      </c>
      <c r="G86" s="226" t="n">
        <v>250000</v>
      </c>
      <c r="H86" s="227" t="n">
        <v>0.25</v>
      </c>
      <c r="I86" s="226" t="n">
        <f aca="false">+H86*G86</f>
        <v>62500</v>
      </c>
      <c r="J86" s="228"/>
      <c r="K86" s="229"/>
    </row>
    <row r="87" customFormat="false" ht="12.75" hidden="true" customHeight="false" outlineLevel="0" collapsed="false">
      <c r="C87" s="219"/>
      <c r="D87" s="225"/>
      <c r="E87" s="225" t="s">
        <v>291</v>
      </c>
      <c r="F87" s="225"/>
      <c r="G87" s="226" t="n">
        <v>70000</v>
      </c>
      <c r="H87" s="227" t="n">
        <f aca="false">0.25/0.71*0.5</f>
        <v>0.176056338028169</v>
      </c>
      <c r="I87" s="226" t="n">
        <f aca="false">+H87*G87</f>
        <v>12323.9436619718</v>
      </c>
      <c r="J87" s="228"/>
      <c r="K87" s="229"/>
    </row>
    <row r="88" customFormat="false" ht="12.75" hidden="true" customHeight="false" outlineLevel="0" collapsed="false">
      <c r="C88" s="219"/>
      <c r="D88" s="225"/>
      <c r="E88" s="225" t="s">
        <v>281</v>
      </c>
      <c r="F88" s="225" t="s">
        <v>282</v>
      </c>
      <c r="G88" s="226" t="n">
        <v>70000</v>
      </c>
      <c r="H88" s="227" t="n">
        <v>0.25</v>
      </c>
      <c r="I88" s="226" t="n">
        <f aca="false">+H88*G88</f>
        <v>17500</v>
      </c>
      <c r="J88" s="228"/>
      <c r="K88" s="229"/>
    </row>
    <row r="89" customFormat="false" ht="12.75" hidden="true" customHeight="false" outlineLevel="0" collapsed="false">
      <c r="C89" s="219"/>
      <c r="D89" s="225"/>
      <c r="E89" s="225" t="s">
        <v>266</v>
      </c>
      <c r="F89" s="225" t="s">
        <v>282</v>
      </c>
      <c r="G89" s="226" t="n">
        <v>150000</v>
      </c>
      <c r="H89" s="227" t="n">
        <v>0.25</v>
      </c>
      <c r="I89" s="226" t="n">
        <f aca="false">+H89*G89</f>
        <v>37500</v>
      </c>
      <c r="J89" s="228"/>
      <c r="K89" s="229"/>
    </row>
    <row r="90" customFormat="false" ht="12.75" hidden="true" customHeight="false" outlineLevel="0" collapsed="false">
      <c r="C90" s="219"/>
      <c r="D90" s="225"/>
      <c r="E90" s="225"/>
      <c r="F90" s="225"/>
      <c r="G90" s="226"/>
      <c r="H90" s="227"/>
      <c r="I90" s="226"/>
      <c r="J90" s="228"/>
      <c r="K90" s="229"/>
    </row>
    <row r="91" customFormat="false" ht="13.5" hidden="true" customHeight="false" outlineLevel="0" collapsed="false">
      <c r="C91" s="219"/>
      <c r="D91" s="225"/>
      <c r="E91" s="225"/>
      <c r="F91" s="225"/>
      <c r="G91" s="226"/>
      <c r="H91" s="227"/>
      <c r="I91" s="226"/>
      <c r="J91" s="228" t="n">
        <f aca="false">SUM(I85:I91)</f>
        <v>129823.943661972</v>
      </c>
      <c r="K91" s="229" t="n">
        <f aca="false">+J91/12</f>
        <v>10818.661971831</v>
      </c>
    </row>
    <row r="92" customFormat="false" ht="12.75" hidden="true" customHeight="false" outlineLevel="0" collapsed="false">
      <c r="C92" s="230"/>
      <c r="D92" s="220"/>
      <c r="E92" s="220"/>
      <c r="F92" s="220"/>
      <c r="G92" s="221"/>
      <c r="H92" s="222"/>
      <c r="I92" s="221"/>
      <c r="J92" s="223"/>
      <c r="K92" s="224"/>
    </row>
    <row r="93" customFormat="false" ht="12.75" hidden="true" customHeight="false" outlineLevel="0" collapsed="false">
      <c r="C93" s="219" t="s">
        <v>198</v>
      </c>
      <c r="D93" s="225"/>
      <c r="E93" s="225" t="s">
        <v>272</v>
      </c>
      <c r="F93" s="225" t="s">
        <v>269</v>
      </c>
      <c r="G93" s="226" t="n">
        <v>125000</v>
      </c>
      <c r="H93" s="227" t="n">
        <v>0.5</v>
      </c>
      <c r="I93" s="226" t="n">
        <f aca="false">+G93*H93</f>
        <v>62500</v>
      </c>
      <c r="J93" s="228"/>
      <c r="K93" s="229"/>
    </row>
    <row r="94" customFormat="false" ht="12.75" hidden="true" customHeight="false" outlineLevel="0" collapsed="false">
      <c r="C94" s="219"/>
      <c r="D94" s="225"/>
      <c r="E94" s="225" t="s">
        <v>268</v>
      </c>
      <c r="F94" s="225" t="s">
        <v>269</v>
      </c>
      <c r="G94" s="226" t="n">
        <v>125000</v>
      </c>
      <c r="H94" s="227" t="n">
        <v>0.5</v>
      </c>
      <c r="I94" s="226" t="n">
        <f aca="false">+H94*G94</f>
        <v>62500</v>
      </c>
      <c r="J94" s="228"/>
      <c r="K94" s="229"/>
    </row>
    <row r="95" customFormat="false" ht="12.75" hidden="true" customHeight="false" outlineLevel="0" collapsed="false">
      <c r="C95" s="219"/>
      <c r="D95" s="225"/>
      <c r="E95" s="225" t="s">
        <v>270</v>
      </c>
      <c r="F95" s="225" t="s">
        <v>269</v>
      </c>
      <c r="G95" s="226" t="n">
        <v>125000</v>
      </c>
      <c r="H95" s="227" t="n">
        <v>0.5</v>
      </c>
      <c r="I95" s="226" t="n">
        <f aca="false">+H95*G95</f>
        <v>62500</v>
      </c>
      <c r="J95" s="228"/>
      <c r="K95" s="229"/>
    </row>
    <row r="96" customFormat="false" ht="12.75" hidden="true" customHeight="false" outlineLevel="0" collapsed="false">
      <c r="C96" s="219"/>
      <c r="D96" s="225"/>
      <c r="E96" s="225" t="s">
        <v>271</v>
      </c>
      <c r="F96" s="225" t="s">
        <v>269</v>
      </c>
      <c r="G96" s="226" t="n">
        <v>125000</v>
      </c>
      <c r="H96" s="227" t="n">
        <v>0.5</v>
      </c>
      <c r="I96" s="226" t="n">
        <f aca="false">+H96*G96</f>
        <v>62500</v>
      </c>
      <c r="J96" s="228"/>
      <c r="K96" s="229"/>
    </row>
    <row r="97" customFormat="false" ht="12.75" hidden="true" customHeight="false" outlineLevel="0" collapsed="false">
      <c r="C97" s="219"/>
      <c r="D97" s="225"/>
      <c r="E97" s="225" t="s">
        <v>292</v>
      </c>
      <c r="F97" s="225" t="s">
        <v>274</v>
      </c>
      <c r="G97" s="226" t="n">
        <v>400000</v>
      </c>
      <c r="H97" s="227" t="n">
        <v>0.2</v>
      </c>
      <c r="I97" s="226" t="n">
        <f aca="false">+H97*G97</f>
        <v>80000</v>
      </c>
      <c r="J97" s="228"/>
      <c r="K97" s="229"/>
    </row>
    <row r="98" customFormat="false" ht="12.75" hidden="true" customHeight="false" outlineLevel="0" collapsed="false">
      <c r="C98" s="219"/>
      <c r="D98" s="225"/>
      <c r="E98" s="225" t="s">
        <v>293</v>
      </c>
      <c r="F98" s="225" t="s">
        <v>264</v>
      </c>
      <c r="G98" s="226" t="n">
        <v>200000</v>
      </c>
      <c r="H98" s="227" t="n">
        <v>0.5</v>
      </c>
      <c r="I98" s="226" t="n">
        <f aca="false">+H98*G98</f>
        <v>100000</v>
      </c>
      <c r="J98" s="228"/>
      <c r="K98" s="229"/>
    </row>
    <row r="99" customFormat="false" ht="12.75" hidden="true" customHeight="false" outlineLevel="0" collapsed="false">
      <c r="C99" s="219"/>
      <c r="D99" s="225"/>
      <c r="E99" s="225"/>
      <c r="F99" s="225"/>
      <c r="G99" s="226"/>
      <c r="H99" s="227"/>
      <c r="I99" s="226"/>
      <c r="J99" s="228"/>
      <c r="K99" s="229"/>
    </row>
    <row r="100" customFormat="false" ht="12.75" hidden="true" customHeight="false" outlineLevel="0" collapsed="false">
      <c r="C100" s="219"/>
      <c r="D100" s="225"/>
      <c r="E100" s="225"/>
      <c r="F100" s="225"/>
      <c r="G100" s="226"/>
      <c r="H100" s="227"/>
      <c r="I100" s="226" t="n">
        <f aca="false">+G100*H100</f>
        <v>0</v>
      </c>
      <c r="J100" s="228"/>
      <c r="K100" s="229"/>
    </row>
    <row r="101" customFormat="false" ht="13.5" hidden="true" customHeight="false" outlineLevel="0" collapsed="false">
      <c r="C101" s="219"/>
      <c r="D101" s="225"/>
      <c r="E101" s="225"/>
      <c r="F101" s="225"/>
      <c r="G101" s="226"/>
      <c r="H101" s="227"/>
      <c r="I101" s="226"/>
      <c r="J101" s="228" t="n">
        <f aca="false">SUM(I92:I101)</f>
        <v>430000</v>
      </c>
      <c r="K101" s="229" t="n">
        <f aca="false">+J101/12</f>
        <v>35833.3333333333</v>
      </c>
    </row>
    <row r="102" customFormat="false" ht="12.75" hidden="true" customHeight="false" outlineLevel="0" collapsed="false">
      <c r="C102" s="230"/>
      <c r="D102" s="237"/>
      <c r="E102" s="237"/>
      <c r="F102" s="237"/>
      <c r="G102" s="238"/>
      <c r="H102" s="239"/>
      <c r="I102" s="238"/>
      <c r="J102" s="238"/>
      <c r="K102" s="240"/>
    </row>
    <row r="103" customFormat="false" ht="13.5" hidden="true" customHeight="false" outlineLevel="0" collapsed="false">
      <c r="C103" s="219"/>
      <c r="D103" s="241" t="s">
        <v>294</v>
      </c>
      <c r="E103" s="242"/>
      <c r="F103" s="242"/>
      <c r="G103" s="204"/>
      <c r="H103" s="205"/>
      <c r="J103" s="243" t="n">
        <f aca="false">SUM(J59:J102)</f>
        <v>2796000</v>
      </c>
      <c r="K103" s="244" t="n">
        <f aca="false">SUM(K71:K102)</f>
        <v>149166.666666667</v>
      </c>
    </row>
    <row r="104" customFormat="false" ht="13.5" hidden="false" customHeight="false" outlineLevel="0" collapsed="false">
      <c r="C104" s="231"/>
      <c r="D104" s="245"/>
      <c r="E104" s="245"/>
      <c r="F104" s="245"/>
      <c r="G104" s="246"/>
      <c r="H104" s="247"/>
      <c r="I104" s="246"/>
      <c r="J104" s="246"/>
      <c r="K104" s="248"/>
    </row>
    <row r="105" customFormat="false" ht="12.75" hidden="false" customHeight="false" outlineLevel="0" collapsed="false">
      <c r="F105" s="0"/>
      <c r="G105" s="204"/>
      <c r="H105" s="205"/>
      <c r="K105" s="204"/>
    </row>
    <row r="106" customFormat="false" ht="12.75" hidden="false" customHeight="false" outlineLevel="0" collapsed="false">
      <c r="B106" s="0" t="str">
        <f aca="true">CELL("filename")</f>
        <v>'file:///mnt/12tb/@roms/datasets/enron/EDRM Enron Email Data Set v2 XML/filtered-attachments/xls/Corp_IC_billing_as_of_2k1212.xls'#$HR Detail</v>
      </c>
      <c r="F106" s="0"/>
      <c r="G106" s="204"/>
      <c r="H106" s="205"/>
      <c r="K106" s="204"/>
    </row>
  </sheetData>
  <mergeCells count="1">
    <mergeCell ref="A1:K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1998-06-25T10:54:09Z</dcterms:created>
  <dc:creator/>
  <dc:description/>
  <dc:language>en-US</dc:language>
  <cp:lastModifiedBy>hheath</cp:lastModifiedBy>
  <cp:lastPrinted>2000-11-06T13:52:11Z</cp:lastPrinted>
  <cp:revision>0</cp:revision>
  <dc:subject/>
  <dc:title/>
</cp:coreProperties>
</file>