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Core &amp; Non-core" sheetId="6" state="visible" r:id="rId8"/>
    <sheet name="DWR purchases" sheetId="7" state="visible" r:id="rId9"/>
  </sheets>
  <definedNames>
    <definedName function="false" hidden="false" localSheetId="3" name="_xlnm.Print_Area" vbProcedure="false">'All Summary'!$A$5:$H$61</definedName>
    <definedName function="false" hidden="false" localSheetId="6" name="_xlnm.Print_Area" vbProcedure="false">'DWR purchases'!$A$2:$M$15</definedName>
    <definedName function="false" hidden="false" localSheetId="0" name="_xlnm.Print_Area" vbProcedure="false">PGE!$A$7:$K$145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<sst xmlns="http://schemas.openxmlformats.org/spreadsheetml/2006/main" count="888" uniqueCount="221">
  <si>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</si>
  <si>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</si>
  <si>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</si>
  <si>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</si>
  <si>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</si>
  <si>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</si>
  <si>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</si>
  <si>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</si>
  <si>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</si>
  <si>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</si>
  <si>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</si>
  <si>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</si>
  <si>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</si>
  <si>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</si>
  <si>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</si>
  <si>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</si>
  <si>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</si>
  <si>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</si>
  <si>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</si>
  <si>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</si>
  <si>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</si>
  <si>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</si>
  <si>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</si>
  <si>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</si>
  <si>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</si>
  <si>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</si>
  <si>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</si>
  <si>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</si>
  <si>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</si>
  <si>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</si>
  <si>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</si>
  <si>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</si>
  <si>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</si>
  <si>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</si>
  <si>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</si>
  <si>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</si>
  <si>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</si>
  <si>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</si>
  <si>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</si>
  <si>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</si>
  <si>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</si>
  <si>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</si>
  <si>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</si>
  <si>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</si>
  <si>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</si>
  <si>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</si>
  <si>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1000 mW, more than 499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</si>
  <si>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</si>
  <si>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</si>
  <si>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</si>
  <si>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</si>
  <si>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</si>
  <si>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</si>
  <si>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</si>
  <si>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</si>
  <si>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</si>
  <si>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</si>
  <si>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</si>
  <si>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</si>
  <si>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</si>
  <si>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</si>
  <si>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</si>
  <si>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</si>
  <si>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</si>
  <si>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</si>
  <si>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</si>
  <si>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</si>
  <si>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</si>
  <si>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</si>
  <si>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</si>
  <si>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</si>
  <si>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</si>
  <si>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14 mos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</si>
  <si>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</si>
  <si>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</si>
  <si>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</si>
  <si>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</si>
  <si>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</si>
  <si>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</si>
  <si>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</si>
  <si>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</si>
  <si>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</si>
  <si>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</si>
  <si>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</si>
  <si>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</si>
  <si>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</si>
  <si>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</si>
  <si>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</si>
  <si>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</si>
  <si>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</si>
  <si>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</si>
  <si>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</si>
  <si>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</si>
  <si>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</si>
  <si>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</si>
  <si>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</si>
  <si>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</si>
  <si>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</si>
  <si>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</si>
  <si>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</si>
  <si>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</si>
  <si>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</si>
  <si>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</si>
  <si>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</si>
  <si>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</si>
  <si>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</si>
  <si>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</si>
  <si>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</si>
  <si>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</si>
  <si>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</si>
  <si>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</si>
  <si>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</si>
  <si>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</si>
  <si>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</si>
  <si>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</si>
  <si>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</si>
  <si>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</si>
  <si>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</si>
  <si>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</si>
  <si>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</si>
  <si>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</si>
  <si>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</si>
  <si>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</si>
  <si>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</si>
  <si>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</si>
  <si>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</si>
  <si>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</si>
  <si>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</si>
  <si>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</si>
  <si>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</si>
  <si>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</si>
  <si>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</si>
  <si>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</si>
  <si>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</si>
  <si>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</si>
  <si>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</si>
  <si>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</si>
  <si>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</si>
  <si>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</si>
  <si>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</si>
  <si>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</si>
  <si>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</si>
  <si>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</si>
  <si>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</si>
  <si>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</si>
  <si>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</si>
  <si>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</si>
  <si>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</si>
  <si>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</si>
  <si>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</si>
  <si>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</si>
  <si>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</si>
  <si>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</si>
  <si>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</si>
  <si>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</si>
  <si>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</si>
  <si>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</si>
  <si>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</si>
  <si>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</si>
  <si>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</si>
  <si>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</si>
  <si>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</si>
  <si>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</si>
  <si>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</si>
  <si>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</si>
  <si>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</si>
  <si>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</si>
  <si>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</si>
  <si>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</si>
  <si>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</si>
  <si>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</si>
  <si>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</si>
  <si>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</si>
  <si>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</si>
  <si>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</si>
  <si>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</si>
  <si>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</si>
  <si>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</si>
  <si>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</si>
  <si>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</si>
  <si>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</si>
  <si>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</si>
  <si>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</si>
  <si>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</si>
  <si>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</si>
  <si>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</si>
  <si>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</si>
  <si>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</si>
  <si>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</si>
  <si>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</si>
  <si>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</si>
  <si>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</si>
  <si>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</si>
  <si>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</si>
  <si>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</si>
  <si>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</si>
  <si>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</si>
  <si>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Core Cost:</t>
  </si>
  <si>
    <t xml:space="preserve">Share of Past Utility</t>
  </si>
  <si>
    <t xml:space="preserve">Share of past DWR</t>
  </si>
  <si>
    <t xml:space="preserve">Share of Future DWR (contracts)*</t>
  </si>
  <si>
    <t xml:space="preserve">Other T&amp;D (pro rata) </t>
  </si>
  <si>
    <t xml:space="preserve">Total Core Load </t>
  </si>
  <si>
    <t xml:space="preserve">Cost to Core</t>
  </si>
  <si>
    <t xml:space="preserve">Cost to Core per proposed CPUC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</si>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</sst>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44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44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44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44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44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44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44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44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44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44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44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44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</f>
        <v>2725</v>
      </c>
      <c r="F135" s="3" t="n">
        <f aca="false">+G135/E135*100</f>
        <v>10.2422018348624</v>
      </c>
      <c r="G135" s="2" t="n">
        <f aca="false">+G86+G92+G98</f>
        <v>279.1</v>
      </c>
      <c r="H135" s="2" t="n">
        <f aca="false">+H86+H92+H98</f>
        <v>58.1</v>
      </c>
      <c r="I135" s="2" t="n">
        <f aca="false">+I86+I92+I98</f>
        <v>337.3</v>
      </c>
      <c r="J135" s="8" t="n">
        <f aca="false">I135/E135*100</f>
        <v>12.3779816513761</v>
      </c>
      <c r="K135" s="11" t="n">
        <f aca="false">(J135-F135)/F135</f>
        <v>0.208527409530634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+E51+E58+E65+E107+E114+E121</f>
        <v>27460</v>
      </c>
      <c r="F137" s="3" t="n">
        <f aca="false">+G137/E137*100</f>
        <v>7.5768390386016</v>
      </c>
      <c r="G137" s="2" t="n">
        <f aca="false">+G51+G58+G65+G107+G114+G121</f>
        <v>2080.6</v>
      </c>
      <c r="H137" s="2" t="n">
        <f aca="false">+H51+H58+H65+H107+H114+H121</f>
        <v>1098.5</v>
      </c>
      <c r="I137" s="2" t="n">
        <f aca="false">+I51+I58+I65+I107+I114+I121</f>
        <v>3179.2</v>
      </c>
      <c r="J137" s="8" t="n">
        <f aca="false">I137/E137*100</f>
        <v>11.577567370721</v>
      </c>
      <c r="K137" s="11" t="n">
        <f aca="false">(J137-F137)/F137</f>
        <v>0.528020763241373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9.91958673056575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1" t="s">
        <v>81</v>
      </c>
      <c r="E142" s="7" t="n">
        <f aca="false">+E13+E21+E30+E37+E44+E73+E79+E86+E92</f>
        <v>50774</v>
      </c>
      <c r="F142" s="3" t="n">
        <f aca="false">+G142/E142*100</f>
        <v>11.2236577776027</v>
      </c>
      <c r="G142" s="7" t="n">
        <f aca="false">+G13+G21+G30+G37+G44+G73+G79+G86+G92</f>
        <v>5698.7</v>
      </c>
      <c r="H142" s="7" t="n">
        <f aca="false">+H13+H21+H30+H37+H44+H73+H79+H86+H92</f>
        <v>1165.1</v>
      </c>
      <c r="I142" s="7" t="n">
        <f aca="false">+I13+I21+I30+I37+I44+I73+I79+I86+I92</f>
        <v>6851.6</v>
      </c>
      <c r="J142" s="8" t="n">
        <f aca="false">I142/E142*100</f>
        <v>13.4943081104502</v>
      </c>
      <c r="K142" s="11" t="n">
        <f aca="false">(J142-F142)/F142</f>
        <v>0.202309298611964</v>
      </c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1" t="s">
        <v>82</v>
      </c>
      <c r="E143" s="7" t="n">
        <f aca="false">+E51+E58+E65+E98+E107+E114+E121</f>
        <v>29561</v>
      </c>
      <c r="F143" s="3" t="n">
        <f aca="false">+G143/E143*100</f>
        <v>7.67971313555022</v>
      </c>
      <c r="G143" s="7" t="n">
        <f aca="false">+G51+G58+G65+G98+G107+G114+G121</f>
        <v>2270.2</v>
      </c>
      <c r="H143" s="7" t="n">
        <f aca="false">+H51+H58+H65+H98+H107+H114+H121</f>
        <v>1144.3</v>
      </c>
      <c r="I143" s="7" t="n">
        <f aca="false">+I51+I58+I65+I98+I107+I114+I121</f>
        <v>3414.7</v>
      </c>
      <c r="J143" s="8" t="n">
        <f aca="false">I143/E143*100</f>
        <v>11.5513683569568</v>
      </c>
      <c r="K143" s="11" t="n">
        <f aca="false">(J143-F143)/F143</f>
        <v>0.504140604352039</v>
      </c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G144" s="7"/>
      <c r="H144" s="7"/>
      <c r="I144" s="7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1" t="s">
        <v>80</v>
      </c>
      <c r="E145" s="7" t="n">
        <f aca="false">+E142+E143</f>
        <v>80335</v>
      </c>
      <c r="F145" s="3" t="n">
        <f aca="false">+G145/E145*100</f>
        <v>9.91958673056575</v>
      </c>
      <c r="G145" s="7" t="n">
        <f aca="false">+G142+G143</f>
        <v>7968.9</v>
      </c>
      <c r="H145" s="7" t="n">
        <f aca="false">+H142+H143</f>
        <v>2309.4</v>
      </c>
      <c r="I145" s="7" t="n">
        <f aca="false">+I142+I143</f>
        <v>10266.3</v>
      </c>
      <c r="J145" s="8" t="n">
        <f aca="false">I145/E145*100</f>
        <v>12.7793614240368</v>
      </c>
      <c r="K145" s="11" t="n">
        <f aca="false">(J145-F145)/F145</f>
        <v>0.288295749727064</v>
      </c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 t="n">
        <f aca="false">+E145-E139</f>
        <v>0</v>
      </c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115" colorId="64" zoomScale="80" zoomScaleNormal="80" zoomScalePageLayoutView="100" workbookViewId="0">
      <selection pane="topLeft" activeCell="D115" activeCellId="0" sqref="D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83</v>
      </c>
      <c r="D5" s="1" t="s">
        <v>84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83</v>
      </c>
      <c r="D6" s="1" t="s">
        <v>85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83</v>
      </c>
      <c r="D7" s="1" t="s">
        <v>86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83</v>
      </c>
      <c r="D8" s="1" t="s">
        <v>87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83</v>
      </c>
      <c r="D9" s="1" t="s">
        <v>88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89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90</v>
      </c>
      <c r="C14" s="1" t="s">
        <v>24</v>
      </c>
      <c r="D14" s="1" t="s">
        <v>84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90</v>
      </c>
      <c r="C15" s="1" t="s">
        <v>24</v>
      </c>
      <c r="D15" s="1" t="s">
        <v>85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90</v>
      </c>
      <c r="C16" s="1" t="s">
        <v>24</v>
      </c>
      <c r="D16" s="1" t="s">
        <v>86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90</v>
      </c>
      <c r="C17" s="1" t="s">
        <v>24</v>
      </c>
      <c r="D17" s="1" t="s">
        <v>87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90</v>
      </c>
      <c r="C18" s="1" t="s">
        <v>24</v>
      </c>
      <c r="D18" s="1" t="s">
        <v>88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91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92</v>
      </c>
      <c r="B23" s="1" t="s">
        <v>93</v>
      </c>
      <c r="C23" s="1" t="s">
        <v>94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92</v>
      </c>
      <c r="B24" s="1" t="s">
        <v>93</v>
      </c>
      <c r="C24" s="1" t="s">
        <v>94</v>
      </c>
      <c r="D24" s="1" t="s">
        <v>95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92</v>
      </c>
      <c r="B25" s="1" t="s">
        <v>93</v>
      </c>
      <c r="C25" s="1" t="s">
        <v>94</v>
      </c>
      <c r="D25" s="1" t="s">
        <v>96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92</v>
      </c>
      <c r="B26" s="1" t="s">
        <v>93</v>
      </c>
      <c r="C26" s="1" t="s">
        <v>94</v>
      </c>
      <c r="D26" s="1" t="s">
        <v>97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92</v>
      </c>
      <c r="B27" s="1" t="s">
        <v>93</v>
      </c>
      <c r="C27" s="1" t="s">
        <v>94</v>
      </c>
      <c r="D27" s="1" t="s">
        <v>98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92</v>
      </c>
      <c r="B28" s="1" t="s">
        <v>93</v>
      </c>
      <c r="C28" s="1" t="s">
        <v>94</v>
      </c>
      <c r="D28" s="1" t="s">
        <v>88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99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92</v>
      </c>
      <c r="B33" s="1" t="s">
        <v>100</v>
      </c>
      <c r="C33" s="1" t="s">
        <v>101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92</v>
      </c>
      <c r="B34" s="1" t="s">
        <v>100</v>
      </c>
      <c r="C34" s="1" t="s">
        <v>101</v>
      </c>
      <c r="D34" s="1" t="s">
        <v>102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92</v>
      </c>
      <c r="B35" s="1" t="s">
        <v>100</v>
      </c>
      <c r="C35" s="1" t="s">
        <v>101</v>
      </c>
      <c r="D35" s="1" t="s">
        <v>103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92</v>
      </c>
      <c r="B36" s="1" t="s">
        <v>100</v>
      </c>
      <c r="C36" s="1" t="s">
        <v>101</v>
      </c>
      <c r="D36" s="1" t="s">
        <v>104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92</v>
      </c>
      <c r="B37" s="1" t="s">
        <v>100</v>
      </c>
      <c r="C37" s="1" t="s">
        <v>101</v>
      </c>
      <c r="D37" s="1" t="s">
        <v>105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106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92</v>
      </c>
      <c r="B42" s="1" t="s">
        <v>107</v>
      </c>
      <c r="C42" s="1" t="s">
        <v>108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92</v>
      </c>
      <c r="B43" s="1" t="s">
        <v>107</v>
      </c>
      <c r="C43" s="1" t="s">
        <v>108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92</v>
      </c>
      <c r="B44" s="1" t="s">
        <v>107</v>
      </c>
      <c r="C44" s="1" t="s">
        <v>108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109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110</v>
      </c>
      <c r="C49" s="1" t="s">
        <v>111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110</v>
      </c>
      <c r="C50" s="1" t="s">
        <v>111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110</v>
      </c>
      <c r="C51" s="1" t="s">
        <v>111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112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113</v>
      </c>
      <c r="C56" s="1" t="s">
        <v>114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113</v>
      </c>
      <c r="C57" s="1" t="s">
        <v>114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113</v>
      </c>
      <c r="C58" s="1" t="s">
        <v>114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115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116</v>
      </c>
      <c r="C63" s="1" t="s">
        <v>114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116</v>
      </c>
      <c r="C64" s="1" t="s">
        <v>114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116</v>
      </c>
      <c r="C65" s="1" t="s">
        <v>114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117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118</v>
      </c>
      <c r="B70" s="1" t="s">
        <v>119</v>
      </c>
      <c r="C70" s="1" t="s">
        <v>120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118</v>
      </c>
      <c r="B71" s="1" t="s">
        <v>119</v>
      </c>
      <c r="C71" s="1" t="s">
        <v>120</v>
      </c>
      <c r="D71" s="1" t="s">
        <v>95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118</v>
      </c>
      <c r="B72" s="1" t="s">
        <v>119</v>
      </c>
      <c r="C72" s="1" t="s">
        <v>120</v>
      </c>
      <c r="D72" s="1" t="s">
        <v>96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118</v>
      </c>
      <c r="B73" s="1" t="s">
        <v>119</v>
      </c>
      <c r="C73" s="1" t="s">
        <v>120</v>
      </c>
      <c r="D73" s="1" t="s">
        <v>97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118</v>
      </c>
      <c r="B74" s="1" t="s">
        <v>119</v>
      </c>
      <c r="C74" s="1" t="s">
        <v>120</v>
      </c>
      <c r="D74" s="1" t="s">
        <v>98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121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118</v>
      </c>
      <c r="B79" s="1" t="s">
        <v>122</v>
      </c>
      <c r="C79" s="1" t="s">
        <v>120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118</v>
      </c>
      <c r="B80" s="1" t="s">
        <v>122</v>
      </c>
      <c r="C80" s="1" t="s">
        <v>120</v>
      </c>
      <c r="D80" s="1" t="s">
        <v>102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118</v>
      </c>
      <c r="B81" s="1" t="s">
        <v>122</v>
      </c>
      <c r="C81" s="1" t="s">
        <v>120</v>
      </c>
      <c r="D81" s="1" t="s">
        <v>103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118</v>
      </c>
      <c r="B82" s="1" t="s">
        <v>122</v>
      </c>
      <c r="C82" s="1" t="s">
        <v>120</v>
      </c>
      <c r="D82" s="1" t="s">
        <v>104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118</v>
      </c>
      <c r="B83" s="1" t="s">
        <v>122</v>
      </c>
      <c r="C83" s="1" t="s">
        <v>120</v>
      </c>
      <c r="D83" s="1" t="s">
        <v>105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123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118</v>
      </c>
      <c r="B88" s="1" t="s">
        <v>124</v>
      </c>
      <c r="C88" s="1" t="s">
        <v>120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118</v>
      </c>
      <c r="B89" s="1" t="s">
        <v>124</v>
      </c>
      <c r="C89" s="1" t="s">
        <v>120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118</v>
      </c>
      <c r="B90" s="1" t="s">
        <v>124</v>
      </c>
      <c r="C90" s="1" t="s">
        <v>120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125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118</v>
      </c>
      <c r="B95" s="1" t="s">
        <v>126</v>
      </c>
      <c r="C95" s="1" t="s">
        <v>120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118</v>
      </c>
      <c r="B96" s="1" t="s">
        <v>126</v>
      </c>
      <c r="C96" s="1" t="s">
        <v>120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118</v>
      </c>
      <c r="B97" s="1" t="s">
        <v>126</v>
      </c>
      <c r="C97" s="1" t="s">
        <v>120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127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128</v>
      </c>
      <c r="B102" s="1" t="s">
        <v>129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128</v>
      </c>
      <c r="B103" s="1" t="s">
        <v>129</v>
      </c>
      <c r="D103" s="1" t="s">
        <v>95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128</v>
      </c>
      <c r="B104" s="1" t="s">
        <v>129</v>
      </c>
      <c r="D104" s="1" t="s">
        <v>96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128</v>
      </c>
      <c r="B105" s="1" t="s">
        <v>129</v>
      </c>
      <c r="D105" s="1" t="s">
        <v>97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128</v>
      </c>
      <c r="B106" s="1" t="s">
        <v>129</v>
      </c>
      <c r="D106" s="1" t="s">
        <v>98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130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131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131</v>
      </c>
      <c r="D112" s="1" t="s">
        <v>95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131</v>
      </c>
      <c r="D113" s="1" t="s">
        <v>96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131</v>
      </c>
      <c r="D114" s="1" t="s">
        <v>97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131</v>
      </c>
      <c r="D115" s="1" t="s">
        <v>98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  <row r="135" customFormat="false" ht="12.75" hidden="false" customHeight="false" outlineLevel="0" collapsed="false">
      <c r="D135" s="1" t="s">
        <v>81</v>
      </c>
      <c r="E135" s="7" t="n">
        <f aca="false">+E11+E20+E30+E39+E46+E76+E85+E92+E99</f>
        <v>58229</v>
      </c>
      <c r="F135" s="3" t="n">
        <f aca="false">+G135/E135*100</f>
        <v>10.9664011059781</v>
      </c>
      <c r="G135" s="7" t="n">
        <f aca="false">+G11+G20+G30+G39+G46+G76+G85+G92+G99</f>
        <v>6385.6257</v>
      </c>
      <c r="H135" s="7" t="n">
        <f aca="false">+H11+H20+H30+H39+H46+H76+H85+H92+H99</f>
        <v>1859.8155</v>
      </c>
      <c r="I135" s="7" t="n">
        <f aca="false">+I11+I20+I30+I39+I46+I76+I85+I92+I99</f>
        <v>8245.4412</v>
      </c>
      <c r="J135" s="8" t="n">
        <f aca="false">I135/E135*100</f>
        <v>14.1603688883546</v>
      </c>
      <c r="K135" s="11" t="n">
        <f aca="false">(J135-F135)/F135</f>
        <v>0.2912503155329</v>
      </c>
    </row>
    <row r="136" customFormat="false" ht="12.75" hidden="false" customHeight="false" outlineLevel="0" collapsed="false">
      <c r="D136" s="1" t="s">
        <v>82</v>
      </c>
      <c r="E136" s="7" t="n">
        <f aca="false">+E53+E60+E67+E108+E117</f>
        <v>24673</v>
      </c>
      <c r="F136" s="3" t="n">
        <f aca="false">+G136/E136*100</f>
        <v>8.11548575365785</v>
      </c>
      <c r="G136" s="7" t="n">
        <f aca="false">+G53+G60+G67+G108+G117</f>
        <v>2002.3338</v>
      </c>
      <c r="H136" s="7" t="n">
        <f aca="false">+H53+H60+H67+H108+H117</f>
        <v>1006.8183</v>
      </c>
      <c r="I136" s="7" t="n">
        <f aca="false">+I53+I60+I67+I108+I117</f>
        <v>3009.1521</v>
      </c>
      <c r="J136" s="8" t="n">
        <f aca="false">I136/E136*100</f>
        <v>12.196133830503</v>
      </c>
      <c r="K136" s="11" t="n">
        <f aca="false">(J136-F136)/F136</f>
        <v>0.502822406533816</v>
      </c>
    </row>
    <row r="137" customFormat="false" ht="12.75" hidden="false" customHeight="false" outlineLevel="0" collapsed="false">
      <c r="D137" s="0"/>
      <c r="E137" s="7"/>
      <c r="G137" s="7"/>
      <c r="H137" s="7"/>
      <c r="I137" s="7"/>
      <c r="J137" s="3"/>
      <c r="K137" s="10"/>
    </row>
    <row r="138" customFormat="false" ht="12.75" hidden="false" customHeight="false" outlineLevel="0" collapsed="false">
      <c r="D138" s="1" t="s">
        <v>80</v>
      </c>
      <c r="E138" s="7" t="n">
        <f aca="false">+E135+E136</f>
        <v>82902</v>
      </c>
      <c r="F138" s="3" t="n">
        <f aca="false">+G138/E138*100</f>
        <v>10.1179217630455</v>
      </c>
      <c r="G138" s="7" t="n">
        <f aca="false">+G135+G136</f>
        <v>8387.9595</v>
      </c>
      <c r="H138" s="7" t="n">
        <f aca="false">+H135+H136</f>
        <v>2866.6338</v>
      </c>
      <c r="I138" s="7" t="n">
        <f aca="false">+I135+I136</f>
        <v>11254.5933</v>
      </c>
      <c r="J138" s="8" t="n">
        <f aca="false">I138/E138*100</f>
        <v>13.5757801983064</v>
      </c>
      <c r="K138" s="11" t="n">
        <f aca="false">(J138-F138)/F138</f>
        <v>0.341755798892448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132</v>
      </c>
    </row>
    <row r="7" customFormat="false" ht="12.75" hidden="false" customHeight="false" outlineLevel="0" collapsed="false">
      <c r="A7" s="1" t="s">
        <v>15</v>
      </c>
      <c r="B7" s="1" t="s">
        <v>133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133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133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133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134</v>
      </c>
      <c r="C15" s="1" t="s">
        <v>24</v>
      </c>
      <c r="D15" s="1" t="s">
        <v>135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134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134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134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134</v>
      </c>
      <c r="D20" s="1" t="s">
        <v>136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137</v>
      </c>
    </row>
    <row r="24" customFormat="false" ht="12.75" hidden="false" customHeight="false" outlineLevel="0" collapsed="false">
      <c r="D24" s="1" t="s">
        <v>138</v>
      </c>
    </row>
    <row r="25" customFormat="false" ht="12.75" hidden="false" customHeight="false" outlineLevel="0" collapsed="false">
      <c r="A25" s="1" t="s">
        <v>139</v>
      </c>
      <c r="C25" s="1" t="s">
        <v>140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139</v>
      </c>
      <c r="D26" s="1" t="s">
        <v>141</v>
      </c>
    </row>
    <row r="27" customFormat="false" ht="12.75" hidden="false" customHeight="false" outlineLevel="0" collapsed="false">
      <c r="A27" s="1" t="s">
        <v>139</v>
      </c>
      <c r="B27" s="1" t="s">
        <v>142</v>
      </c>
      <c r="D27" s="1" t="s">
        <v>143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139</v>
      </c>
      <c r="B28" s="1" t="s">
        <v>142</v>
      </c>
      <c r="D28" s="1" t="s">
        <v>144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139</v>
      </c>
      <c r="B29" s="1" t="s">
        <v>142</v>
      </c>
      <c r="D29" s="1" t="s">
        <v>145</v>
      </c>
    </row>
    <row r="30" customFormat="false" ht="12.75" hidden="false" customHeight="false" outlineLevel="0" collapsed="false">
      <c r="A30" s="1" t="s">
        <v>139</v>
      </c>
      <c r="B30" s="1" t="s">
        <v>142</v>
      </c>
      <c r="D30" s="1" t="s">
        <v>143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139</v>
      </c>
      <c r="B31" s="1" t="s">
        <v>142</v>
      </c>
      <c r="D31" s="1" t="s">
        <v>144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147</v>
      </c>
    </row>
    <row r="38" customFormat="false" ht="12.75" hidden="false" customHeight="false" outlineLevel="0" collapsed="false">
      <c r="A38" s="1" t="s">
        <v>44</v>
      </c>
      <c r="C38" s="1" t="s">
        <v>148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C39" s="1" t="s">
        <v>148</v>
      </c>
      <c r="D39" s="1" t="s">
        <v>149</v>
      </c>
    </row>
    <row r="40" customFormat="false" ht="12.75" hidden="false" customHeight="false" outlineLevel="0" collapsed="false">
      <c r="A40" s="1" t="s">
        <v>44</v>
      </c>
      <c r="C40" s="1" t="s">
        <v>148</v>
      </c>
      <c r="D40" s="1" t="s">
        <v>150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C41" s="1" t="s">
        <v>148</v>
      </c>
      <c r="D41" s="1" t="s">
        <v>145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C42" s="1" t="s">
        <v>148</v>
      </c>
      <c r="D42" s="1" t="s">
        <v>151</v>
      </c>
    </row>
    <row r="43" customFormat="false" ht="12.75" hidden="false" customHeight="false" outlineLevel="0" collapsed="false">
      <c r="A43" s="1" t="s">
        <v>44</v>
      </c>
      <c r="C43" s="1" t="s">
        <v>148</v>
      </c>
      <c r="D43" s="1" t="s">
        <v>150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C44" s="1" t="s">
        <v>148</v>
      </c>
      <c r="D44" s="1" t="s">
        <v>145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C45" s="1" t="s">
        <v>148</v>
      </c>
      <c r="D45" s="1" t="s">
        <v>152</v>
      </c>
    </row>
    <row r="46" customFormat="false" ht="12.75" hidden="false" customHeight="false" outlineLevel="0" collapsed="false">
      <c r="A46" s="1" t="s">
        <v>44</v>
      </c>
      <c r="C46" s="1" t="s">
        <v>148</v>
      </c>
      <c r="D46" s="1" t="s">
        <v>150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C47" s="1" t="s">
        <v>148</v>
      </c>
      <c r="D47" s="1" t="s">
        <v>145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C49" s="1" t="s">
        <v>148</v>
      </c>
      <c r="D49" s="1" t="s">
        <v>149</v>
      </c>
    </row>
    <row r="50" customFormat="false" ht="12.75" hidden="false" customHeight="false" outlineLevel="0" collapsed="false">
      <c r="A50" s="1" t="s">
        <v>44</v>
      </c>
      <c r="C50" s="1" t="s">
        <v>148</v>
      </c>
      <c r="D50" s="1" t="s">
        <v>150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C51" s="1" t="s">
        <v>148</v>
      </c>
      <c r="D51" s="1" t="s">
        <v>145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C52" s="1" t="s">
        <v>148</v>
      </c>
      <c r="D52" s="1" t="s">
        <v>151</v>
      </c>
    </row>
    <row r="53" customFormat="false" ht="12.75" hidden="false" customHeight="false" outlineLevel="0" collapsed="false">
      <c r="A53" s="1" t="s">
        <v>44</v>
      </c>
      <c r="C53" s="1" t="s">
        <v>148</v>
      </c>
      <c r="D53" s="1" t="s">
        <v>150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C54" s="1" t="s">
        <v>148</v>
      </c>
      <c r="D54" s="1" t="s">
        <v>145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C55" s="1" t="s">
        <v>148</v>
      </c>
      <c r="D55" s="1" t="s">
        <v>152</v>
      </c>
    </row>
    <row r="56" customFormat="false" ht="12.75" hidden="false" customHeight="false" outlineLevel="0" collapsed="false">
      <c r="A56" s="1" t="s">
        <v>44</v>
      </c>
      <c r="C56" s="1" t="s">
        <v>148</v>
      </c>
      <c r="D56" s="1" t="s">
        <v>150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C57" s="1" t="s">
        <v>148</v>
      </c>
      <c r="D57" s="1" t="s">
        <v>145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153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154</v>
      </c>
    </row>
    <row r="63" customFormat="false" ht="12.75" hidden="false" customHeight="false" outlineLevel="0" collapsed="false">
      <c r="A63" s="1" t="s">
        <v>44</v>
      </c>
      <c r="B63" s="1" t="s">
        <v>155</v>
      </c>
      <c r="C63" s="1" t="s">
        <v>156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155</v>
      </c>
      <c r="C64" s="1" t="s">
        <v>156</v>
      </c>
      <c r="D64" s="1" t="s">
        <v>149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155</v>
      </c>
      <c r="C65" s="1" t="s">
        <v>156</v>
      </c>
      <c r="D65" s="1" t="s">
        <v>157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159</v>
      </c>
    </row>
    <row r="71" customFormat="false" ht="12.75" hidden="false" customHeight="false" outlineLevel="0" collapsed="false">
      <c r="D71" s="1" t="s">
        <v>160</v>
      </c>
    </row>
    <row r="72" customFormat="false" ht="12.75" hidden="false" customHeight="false" outlineLevel="0" collapsed="false">
      <c r="A72" s="1" t="s">
        <v>61</v>
      </c>
      <c r="C72" s="1" t="s">
        <v>161</v>
      </c>
      <c r="D72" s="1" t="s">
        <v>162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161</v>
      </c>
      <c r="D73" s="1" t="s">
        <v>163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161</v>
      </c>
      <c r="D74" s="1" t="s">
        <v>164</v>
      </c>
    </row>
    <row r="75" customFormat="false" ht="12.75" hidden="false" customHeight="false" outlineLevel="0" collapsed="false">
      <c r="A75" s="1" t="s">
        <v>61</v>
      </c>
      <c r="C75" s="1" t="s">
        <v>161</v>
      </c>
      <c r="D75" s="1" t="s">
        <v>143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161</v>
      </c>
      <c r="D76" s="1" t="s">
        <v>144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165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143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0" t="n">
        <f aca="false">+G12+G20</f>
        <v>856.9</v>
      </c>
      <c r="H95" s="40" t="n">
        <f aca="false">+H12+H20</f>
        <v>158.8</v>
      </c>
      <c r="I95" s="40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0" t="n">
        <f aca="false">+G33</f>
        <v>291.9</v>
      </c>
      <c r="H96" s="40" t="n">
        <f aca="false">+H33</f>
        <v>62.1</v>
      </c>
      <c r="I96" s="40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0" t="n">
        <f aca="false">+G78</f>
        <v>16.3</v>
      </c>
      <c r="H97" s="40" t="n">
        <f aca="false">+H78</f>
        <v>3.8</v>
      </c>
      <c r="I97" s="40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0" t="n">
        <f aca="false">+G86</f>
        <v>12.6</v>
      </c>
      <c r="H98" s="40" t="n">
        <f aca="false">+H86</f>
        <v>2.6</v>
      </c>
      <c r="I98" s="40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0" t="n">
        <f aca="false">+G59+G67</f>
        <v>1012.7</v>
      </c>
      <c r="H99" s="40" t="n">
        <f aca="false">+H59+H67</f>
        <v>296</v>
      </c>
      <c r="I99" s="40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G100" s="40"/>
      <c r="H100" s="40"/>
      <c r="I100" s="40"/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0" t="n">
        <f aca="false">SUM(G95:G100)</f>
        <v>2190.4</v>
      </c>
      <c r="H101" s="40" t="n">
        <f aca="false">SUM(H95:H100)</f>
        <v>523.3</v>
      </c>
      <c r="I101" s="40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81</v>
      </c>
      <c r="E104" s="7" t="n">
        <f aca="false">+E12+E20+E33+E59+E86+E78</f>
        <v>16548</v>
      </c>
      <c r="F104" s="3" t="n">
        <f aca="false">+G104/E104*100</f>
        <v>12.912134396906</v>
      </c>
      <c r="G104" s="7" t="n">
        <f aca="false">+G12+G20+G33+G59+G86+G78</f>
        <v>2136.7</v>
      </c>
      <c r="H104" s="7" t="n">
        <f aca="false">+H12+H20+H33+H59+H86+H78</f>
        <v>498.3</v>
      </c>
      <c r="I104" s="7" t="n">
        <f aca="false">+I12+I20+I33+I59+I86+I78</f>
        <v>2635</v>
      </c>
      <c r="J104" s="8" t="n">
        <f aca="false">I104/E104*100</f>
        <v>15.9233744259125</v>
      </c>
      <c r="K104" s="11" t="n">
        <f aca="false">(J104-F104)/F104</f>
        <v>0.233210090326204</v>
      </c>
    </row>
    <row r="105" customFormat="false" ht="12.75" hidden="false" customHeight="false" outlineLevel="0" collapsed="false">
      <c r="D105" s="1" t="s">
        <v>82</v>
      </c>
      <c r="E105" s="7" t="n">
        <f aca="false">+E67</f>
        <v>657</v>
      </c>
      <c r="F105" s="3" t="n">
        <f aca="false">+G105/E105*100</f>
        <v>8.17351598173516</v>
      </c>
      <c r="G105" s="7" t="n">
        <f aca="false">+G67</f>
        <v>53.7</v>
      </c>
      <c r="H105" s="7" t="n">
        <f aca="false">+H67</f>
        <v>25</v>
      </c>
      <c r="I105" s="7" t="n">
        <f aca="false">+I67</f>
        <v>78.8</v>
      </c>
      <c r="J105" s="8" t="n">
        <f aca="false">I105/E105*100</f>
        <v>11.9939117199391</v>
      </c>
      <c r="K105" s="11" t="n">
        <f aca="false">(J105-F105)/F105</f>
        <v>0.467411545623836</v>
      </c>
    </row>
    <row r="106" customFormat="false" ht="12.75" hidden="false" customHeight="false" outlineLevel="0" collapsed="false">
      <c r="D106" s="0"/>
      <c r="E106" s="7"/>
      <c r="G106" s="7"/>
      <c r="H106" s="7"/>
      <c r="I106" s="7"/>
      <c r="K106" s="10"/>
    </row>
    <row r="107" customFormat="false" ht="12.75" hidden="false" customHeight="false" outlineLevel="0" collapsed="false">
      <c r="D107" s="1" t="s">
        <v>80</v>
      </c>
      <c r="E107" s="7" t="n">
        <f aca="false">+E104+E105</f>
        <v>17205</v>
      </c>
      <c r="F107" s="3" t="n">
        <f aca="false">+G107/E107*100</f>
        <v>12.7311827956989</v>
      </c>
      <c r="G107" s="7" t="n">
        <f aca="false">+G104+G105</f>
        <v>2190.4</v>
      </c>
      <c r="H107" s="7" t="n">
        <f aca="false">+H104+H105</f>
        <v>523.3</v>
      </c>
      <c r="I107" s="7" t="n">
        <f aca="false">+I104+I105</f>
        <v>2713.8</v>
      </c>
      <c r="J107" s="8" t="n">
        <f aca="false">I107/E107*100</f>
        <v>15.7733217088056</v>
      </c>
      <c r="K107" s="11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1" width="10.56"/>
  </cols>
  <sheetData>
    <row r="5" customFormat="false" ht="12.75" hidden="false" customHeight="false" outlineLevel="0" collapsed="false">
      <c r="D5" s="42" t="s">
        <v>166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1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1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1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2725</v>
      </c>
      <c r="C12" s="20" t="n">
        <f aca="false">+PGE!F135</f>
        <v>10.2422018348624</v>
      </c>
      <c r="D12" s="4" t="n">
        <f aca="false">+PGE!G135</f>
        <v>279.1</v>
      </c>
      <c r="E12" s="4" t="n">
        <f aca="false">+PGE!H135</f>
        <v>58.1</v>
      </c>
      <c r="F12" s="4" t="n">
        <f aca="false">+PGE!I135</f>
        <v>337.3</v>
      </c>
      <c r="G12" s="20" t="n">
        <f aca="false">+PGE!J135</f>
        <v>12.3779816513761</v>
      </c>
      <c r="H12" s="41" t="n">
        <f aca="false">+PGE!K135</f>
        <v>0.208527409530634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1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27460</v>
      </c>
      <c r="C14" s="20" t="n">
        <f aca="false">+PGE!F137</f>
        <v>7.5768390386016</v>
      </c>
      <c r="D14" s="4" t="n">
        <f aca="false">+PGE!G137</f>
        <v>2080.6</v>
      </c>
      <c r="E14" s="4" t="n">
        <f aca="false">+PGE!H137</f>
        <v>1098.5</v>
      </c>
      <c r="F14" s="4" t="n">
        <f aca="false">+PGE!I137</f>
        <v>3179.2</v>
      </c>
      <c r="G14" s="20" t="n">
        <f aca="false">+PGE!J137</f>
        <v>11.577567370721</v>
      </c>
      <c r="H14" s="41" t="n">
        <f aca="false">+PGE!K137</f>
        <v>0.528020763241373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9.91958673056575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1" t="n">
        <f aca="false">+PGE!K139</f>
        <v>0.288295749727064</v>
      </c>
    </row>
    <row r="20" customFormat="false" ht="12.75" hidden="false" customHeight="false" outlineLevel="0" collapsed="false">
      <c r="D20" s="42" t="s">
        <v>167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1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1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1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1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1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1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1" t="n">
        <f aca="false">+SCE!K132</f>
        <v>0.341755798892448</v>
      </c>
    </row>
    <row r="35" customFormat="false" ht="12.75" hidden="false" customHeight="false" outlineLevel="0" collapsed="false">
      <c r="D35" s="42" t="s">
        <v>168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1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1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1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1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1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1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1" t="n">
        <f aca="false">+SDGE!K101</f>
        <v>0.238951789627465</v>
      </c>
    </row>
    <row r="50" customFormat="false" ht="12.75" hidden="false" customHeight="false" outlineLevel="0" collapsed="false">
      <c r="D50" s="42" t="s">
        <v>169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1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1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5799</v>
      </c>
      <c r="C57" s="20" t="n">
        <f aca="false">+D57/B57*100</f>
        <v>10.2699413692016</v>
      </c>
      <c r="D57" s="4" t="n">
        <f aca="false">+D12+D27+D42</f>
        <v>595.5539</v>
      </c>
      <c r="E57" s="4" t="n">
        <f aca="false">+E12+E27+E42</f>
        <v>165.5956</v>
      </c>
      <c r="F57" s="4" t="n">
        <f aca="false">+F12+F27+F42</f>
        <v>761.1495</v>
      </c>
      <c r="G57" s="20" t="n">
        <f aca="false">+F57/B57*100</f>
        <v>13.1255302638386</v>
      </c>
      <c r="H57" s="41" t="n">
        <f aca="false">+E57/D57</f>
        <v>0.278053086378915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1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60109</v>
      </c>
      <c r="C59" s="20" t="n">
        <f aca="false">+D59/B59*100</f>
        <v>8.40109135071287</v>
      </c>
      <c r="D59" s="4" t="n">
        <f aca="false">+D14+D29+D44</f>
        <v>5049.812</v>
      </c>
      <c r="E59" s="4" t="n">
        <f aca="false">+E14+E29+E44</f>
        <v>2370.6577</v>
      </c>
      <c r="F59" s="4" t="n">
        <f aca="false">+F14+F29+F44</f>
        <v>7420.7697</v>
      </c>
      <c r="G59" s="20" t="n">
        <f aca="false">+F59/B59*100</f>
        <v>12.3455218020596</v>
      </c>
      <c r="H59" s="41" t="n">
        <f aca="false">+E59/D59</f>
        <v>0.469454645044212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1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3" width="11.99"/>
    <col collapsed="false" customWidth="true" hidden="false" outlineLevel="0" max="6" min="6" style="40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3" t="str">
        <f aca="false">+'All Summary'!C7</f>
        <v>Current</v>
      </c>
      <c r="F9" s="40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3" t="str">
        <f aca="false">+'All Summary'!C8</f>
        <v>Rate (cents)</v>
      </c>
      <c r="F10" s="40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3" t="n">
        <f aca="false">+'All Summary'!C10</f>
        <v>11.5121680648963</v>
      </c>
      <c r="F12" s="40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3" t="n">
        <f aca="false">+'All Summary'!C11</f>
        <v>10.7950996877252</v>
      </c>
      <c r="F13" s="40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2725</v>
      </c>
      <c r="E14" s="43" t="n">
        <f aca="false">+'All Summary'!C12</f>
        <v>10.2422018348624</v>
      </c>
      <c r="F14" s="40" t="n">
        <f aca="false">+'All Summary'!E12</f>
        <v>58.1</v>
      </c>
      <c r="G14" s="3" t="n">
        <f aca="false">+'All Summary'!G12</f>
        <v>12.3779816513761</v>
      </c>
      <c r="H14" s="5" t="n">
        <f aca="false">+'All Summary'!H12</f>
        <v>0.208527409530634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3" t="n">
        <f aca="false">+'All Summary'!C13</f>
        <v>8.46625766871166</v>
      </c>
      <c r="F15" s="40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27460</v>
      </c>
      <c r="E16" s="43" t="n">
        <f aca="false">+'All Summary'!C14</f>
        <v>7.5768390386016</v>
      </c>
      <c r="F16" s="40" t="n">
        <f aca="false">+'All Summary'!E14</f>
        <v>1098.5</v>
      </c>
      <c r="G16" s="3" t="n">
        <f aca="false">+'All Summary'!G14</f>
        <v>11.577567370721</v>
      </c>
      <c r="H16" s="5" t="n">
        <f aca="false">+'All Summary'!H14</f>
        <v>0.528020763241373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3" t="n">
        <f aca="false">+'All Summary'!C16</f>
        <v>9.91958673056575</v>
      </c>
      <c r="F18" s="40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170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3" t="str">
        <f aca="false">+'All Summary'!C22</f>
        <v>Current</v>
      </c>
      <c r="F25" s="40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3" t="str">
        <f aca="false">+'All Summary'!C23</f>
        <v>Rate (cents)</v>
      </c>
      <c r="F26" s="40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3" t="n">
        <f aca="false">+'All Summary'!C25</f>
        <v>12.382642252177</v>
      </c>
      <c r="F28" s="40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3" t="n">
        <f aca="false">+'All Summary'!C26</f>
        <v>9.86049346253402</v>
      </c>
      <c r="F29" s="40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3" t="n">
        <f aca="false">+'All Summary'!C27</f>
        <v>10.1885234215886</v>
      </c>
      <c r="F30" s="40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3" t="n">
        <f aca="false">+'All Summary'!C28</f>
        <v>6.66983988355167</v>
      </c>
      <c r="F31" s="40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3" t="n">
        <f aca="false">+'All Summary'!C29</f>
        <v>8.15689152005337</v>
      </c>
      <c r="F32" s="40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3" t="n">
        <f aca="false">+'All Summary'!C31</f>
        <v>10.1179217630455</v>
      </c>
      <c r="F34" s="40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171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3" t="str">
        <f aca="false">+'All Summary'!C37</f>
        <v>Current</v>
      </c>
      <c r="F40" s="40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3" t="str">
        <f aca="false">+'All Summary'!C38</f>
        <v>Rate (cents)</v>
      </c>
      <c r="F41" s="40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3" t="n">
        <f aca="false">+'All Summary'!C40</f>
        <v>13.6906854130053</v>
      </c>
      <c r="F43" s="40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3" t="n">
        <f aca="false">+'All Summary'!C41</f>
        <v>14.1082648622523</v>
      </c>
      <c r="F44" s="40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3" t="n">
        <f aca="false">+'All Summary'!C42</f>
        <v>12.734375</v>
      </c>
      <c r="F45" s="40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3" t="n">
        <f aca="false">+'All Summary'!C43</f>
        <v>14.6511627906977</v>
      </c>
      <c r="F46" s="40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3" t="n">
        <f aca="false">+'All Summary'!C44</f>
        <v>11.6899457462773</v>
      </c>
      <c r="F47" s="40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3" t="n">
        <f aca="false">+'All Summary'!C46</f>
        <v>12.7311827956989</v>
      </c>
      <c r="F49" s="40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172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3" t="str">
        <f aca="false">+'All Summary'!C52</f>
        <v>Current</v>
      </c>
      <c r="F55" s="40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3" t="str">
        <f aca="false">+'All Summary'!C53</f>
        <v>Rate (cents)</v>
      </c>
      <c r="F56" s="40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3" t="n">
        <f aca="false">+'All Summary'!C55</f>
        <v>12.1017869353072</v>
      </c>
      <c r="F58" s="40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3" t="n">
        <f aca="false">+'All Summary'!C56</f>
        <v>10.393189294202</v>
      </c>
      <c r="F59" s="40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5799</v>
      </c>
      <c r="E60" s="43" t="n">
        <f aca="false">+'All Summary'!C57</f>
        <v>10.2699413692016</v>
      </c>
      <c r="F60" s="40" t="n">
        <f aca="false">+'All Summary'!E57</f>
        <v>165.5956</v>
      </c>
      <c r="G60" s="3" t="n">
        <f aca="false">+'All Summary'!G57</f>
        <v>13.1255302638386</v>
      </c>
      <c r="H60" s="5" t="n">
        <f aca="false">+'All Summary'!H57</f>
        <v>0.278053086378915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3" t="n">
        <f aca="false">+'All Summary'!C58</f>
        <v>7.90980982567353</v>
      </c>
      <c r="F61" s="40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60109</v>
      </c>
      <c r="E62" s="43" t="n">
        <f aca="false">+'All Summary'!C59</f>
        <v>8.40109135071287</v>
      </c>
      <c r="F62" s="40" t="n">
        <f aca="false">+'All Summary'!E59</f>
        <v>2370.6577</v>
      </c>
      <c r="G62" s="3" t="n">
        <f aca="false">+'All Summary'!G59</f>
        <v>12.3455218020596</v>
      </c>
      <c r="H62" s="5" t="n">
        <f aca="false">+'All Summary'!H59</f>
        <v>0.469454645044212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3" t="n">
        <f aca="false">+'All Summary'!C61</f>
        <v>10.2787929085246</v>
      </c>
      <c r="F64" s="40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172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E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3" min="2" style="0" width="11.28"/>
    <col collapsed="false" customWidth="true" hidden="false" outlineLevel="0" max="4" min="4" style="0" width="10.41"/>
  </cols>
  <sheetData>
    <row r="4" customFormat="false" ht="12.75" hidden="false" customHeight="false" outlineLevel="0" collapsed="false">
      <c r="A4" s="12"/>
      <c r="B4" s="45" t="s">
        <v>166</v>
      </c>
      <c r="C4" s="45" t="s">
        <v>167</v>
      </c>
      <c r="D4" s="45" t="s">
        <v>168</v>
      </c>
    </row>
    <row r="6" customFormat="false" ht="12.75" hidden="false" customHeight="false" outlineLevel="0" collapsed="false">
      <c r="A6" s="0" t="s">
        <v>173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174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175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176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B11" s="7"/>
      <c r="C11" s="7"/>
      <c r="D11" s="7"/>
      <c r="E11" s="7"/>
    </row>
    <row r="12" customFormat="false" ht="12.75" hidden="false" customHeight="false" outlineLevel="0" collapsed="false">
      <c r="A12" s="0" t="s">
        <v>177</v>
      </c>
      <c r="B12" s="7" t="n">
        <f aca="false">+B10-B8</f>
        <v>-26395</v>
      </c>
      <c r="C12" s="7" t="n">
        <f aca="false">+C10-C8</f>
        <v>-28122</v>
      </c>
      <c r="D12" s="7" t="n">
        <f aca="false">+D10-D8</f>
        <v>-11925</v>
      </c>
      <c r="E12" s="7"/>
    </row>
    <row r="13" customFormat="false" ht="12.75" hidden="false" customHeight="false" outlineLevel="0" collapsed="false">
      <c r="A13" s="0" t="s">
        <v>178</v>
      </c>
      <c r="B13" s="7" t="n">
        <f aca="false">+B10-B6</f>
        <v>3165.99999999999</v>
      </c>
      <c r="C13" s="7" t="n">
        <f aca="false">+C10-C6</f>
        <v>-3449</v>
      </c>
      <c r="D13" s="7" t="n">
        <f aca="false">+D10-D6</f>
        <v>-11268</v>
      </c>
      <c r="E13" s="7"/>
    </row>
    <row r="14" customFormat="false" ht="12.75" hidden="false" customHeight="false" outlineLevel="0" collapsed="false">
      <c r="B14" s="46"/>
    </row>
    <row r="15" customFormat="false" ht="12.75" hidden="false" customHeight="false" outlineLevel="0" collapsed="false">
      <c r="B15" s="46"/>
    </row>
    <row r="18" customFormat="false" ht="12.75" hidden="false" customHeight="false" outlineLevel="0" collapsed="false">
      <c r="A18" s="0" t="s">
        <v>179</v>
      </c>
    </row>
    <row r="24" customFormat="false" ht="12.75" hidden="false" customHeight="false" outlineLevel="0" collapsed="false">
      <c r="B24" s="45" t="s">
        <v>166</v>
      </c>
      <c r="C24" s="45" t="s">
        <v>167</v>
      </c>
      <c r="D24" s="45" t="s">
        <v>168</v>
      </c>
    </row>
    <row r="25" customFormat="false" ht="12.75" hidden="false" customHeight="false" outlineLevel="0" collapsed="false">
      <c r="B25" s="45"/>
      <c r="C25" s="45"/>
      <c r="D25" s="45"/>
    </row>
    <row r="26" customFormat="false" ht="12.75" hidden="false" customHeight="false" outlineLevel="0" collapsed="false">
      <c r="A26" s="0" t="s">
        <v>180</v>
      </c>
      <c r="B26" s="47" t="n">
        <f aca="false">+PGE!E13+PGE!E21</f>
        <v>28846</v>
      </c>
      <c r="C26" s="47" t="n">
        <f aca="false">+SCE!E11+SCE!E20</f>
        <v>25149</v>
      </c>
      <c r="D26" s="47" t="n">
        <f aca="false">+SDGE!E12+SDGE!E20</f>
        <v>6259</v>
      </c>
    </row>
    <row r="27" customFormat="false" ht="12.75" hidden="false" customHeight="false" outlineLevel="0" collapsed="false">
      <c r="A27" s="48" t="s">
        <v>181</v>
      </c>
      <c r="B27" s="49" t="n">
        <f aca="false">+PGE!I13+PGE!I21</f>
        <v>4023.5</v>
      </c>
      <c r="C27" s="49" t="n">
        <f aca="false">+SCE!I11+SCE!I20</f>
        <v>3773.8324</v>
      </c>
      <c r="D27" s="49" t="n">
        <f aca="false">+SDGE!I12+SDGE!I20</f>
        <v>1015.6</v>
      </c>
    </row>
    <row r="28" customFormat="false" ht="12.75" hidden="false" customHeight="false" outlineLevel="0" collapsed="false">
      <c r="A28" s="0" t="s">
        <v>182</v>
      </c>
      <c r="B28" s="50" t="n">
        <f aca="false">+B27/B26*100</f>
        <v>13.9482077237745</v>
      </c>
      <c r="C28" s="50" t="n">
        <f aca="false">+C27/C26*100</f>
        <v>15.005894468965</v>
      </c>
      <c r="D28" s="50" t="n">
        <f aca="false">+D27/D26*100</f>
        <v>16.2262342227193</v>
      </c>
    </row>
    <row r="29" customFormat="false" ht="12.75" hidden="false" customHeight="false" outlineLevel="0" collapsed="false">
      <c r="B29" s="47"/>
      <c r="C29" s="47"/>
      <c r="D29" s="47"/>
    </row>
    <row r="30" customFormat="false" ht="12.75" hidden="false" customHeight="false" outlineLevel="0" collapsed="false">
      <c r="A30" s="0" t="s">
        <v>183</v>
      </c>
      <c r="B30" s="47" t="n">
        <f aca="false">+B34-B26</f>
        <v>21928</v>
      </c>
      <c r="C30" s="47" t="n">
        <f aca="false">+C34-C26</f>
        <v>33080</v>
      </c>
      <c r="D30" s="47" t="n">
        <f aca="false">+D34-D26</f>
        <v>10289</v>
      </c>
    </row>
    <row r="31" customFormat="false" ht="12.75" hidden="false" customHeight="false" outlineLevel="0" collapsed="false">
      <c r="A31" s="48" t="s">
        <v>184</v>
      </c>
      <c r="B31" s="49" t="n">
        <f aca="false">+B35-B27</f>
        <v>2828.1</v>
      </c>
      <c r="C31" s="49" t="n">
        <f aca="false">+C35-C27</f>
        <v>4471.6088</v>
      </c>
      <c r="D31" s="49" t="n">
        <f aca="false">+D35-D27</f>
        <v>1619.4</v>
      </c>
    </row>
    <row r="32" customFormat="false" ht="12.75" hidden="false" customHeight="false" outlineLevel="0" collapsed="false">
      <c r="A32" s="0" t="s">
        <v>182</v>
      </c>
      <c r="B32" s="50" t="n">
        <f aca="false">+B31/B30*100</f>
        <v>12.8972090477928</v>
      </c>
      <c r="C32" s="50" t="n">
        <f aca="false">+C31/C30*100</f>
        <v>13.5175598548972</v>
      </c>
      <c r="D32" s="50" t="n">
        <f aca="false">+D31/D30*100</f>
        <v>15.7391388861891</v>
      </c>
    </row>
    <row r="34" customFormat="false" ht="12.75" hidden="false" customHeight="false" outlineLevel="0" collapsed="false">
      <c r="A34" s="0" t="s">
        <v>185</v>
      </c>
      <c r="B34" s="7" t="n">
        <f aca="false">+B6</f>
        <v>50774</v>
      </c>
      <c r="C34" s="7" t="n">
        <f aca="false">+C6</f>
        <v>58229</v>
      </c>
      <c r="D34" s="7" t="n">
        <f aca="false">+D6</f>
        <v>16548</v>
      </c>
    </row>
    <row r="35" customFormat="false" ht="12.75" hidden="false" customHeight="false" outlineLevel="0" collapsed="false">
      <c r="A35" s="48" t="s">
        <v>186</v>
      </c>
      <c r="B35" s="48" t="n">
        <f aca="false">+PGE!I142</f>
        <v>6851.6</v>
      </c>
      <c r="C35" s="48" t="n">
        <f aca="false">+SCE!I135</f>
        <v>8245.4412</v>
      </c>
      <c r="D35" s="48" t="n">
        <f aca="false">+SDGE!I104</f>
        <v>2635</v>
      </c>
    </row>
    <row r="36" customFormat="false" ht="12.75" hidden="false" customHeight="false" outlineLevel="0" collapsed="false">
      <c r="A36" s="0" t="s">
        <v>182</v>
      </c>
      <c r="B36" s="51" t="n">
        <f aca="false">+B35/B34*100</f>
        <v>13.4943081104502</v>
      </c>
      <c r="C36" s="51" t="n">
        <f aca="false">+C35/C34*100</f>
        <v>14.1603688883546</v>
      </c>
      <c r="D36" s="51" t="n">
        <f aca="false">+D35/D34*100</f>
        <v>15.9233744259125</v>
      </c>
    </row>
    <row r="38" customFormat="false" ht="12.75" hidden="false" customHeight="false" outlineLevel="0" collapsed="false">
      <c r="A38" s="0" t="s">
        <v>187</v>
      </c>
      <c r="B38" s="46" t="n">
        <f aca="false">+B7</f>
        <v>29561</v>
      </c>
      <c r="C38" s="46" t="n">
        <f aca="false">+C7</f>
        <v>24673</v>
      </c>
      <c r="D38" s="46" t="n">
        <f aca="false">+D7</f>
        <v>657</v>
      </c>
    </row>
    <row r="39" customFormat="false" ht="12.75" hidden="false" customHeight="false" outlineLevel="0" collapsed="false">
      <c r="A39" s="48" t="s">
        <v>188</v>
      </c>
      <c r="B39" s="48" t="n">
        <f aca="false">+PGE!I143</f>
        <v>3414.7</v>
      </c>
      <c r="C39" s="48" t="n">
        <f aca="false">+SCE!I136</f>
        <v>3009.1521</v>
      </c>
      <c r="D39" s="48" t="n">
        <f aca="false">+SDGE!I105</f>
        <v>78.8</v>
      </c>
    </row>
    <row r="40" customFormat="false" ht="12.75" hidden="false" customHeight="false" outlineLevel="0" collapsed="false">
      <c r="A40" s="0" t="s">
        <v>182</v>
      </c>
      <c r="B40" s="51" t="n">
        <f aca="false">+B39/B38*100</f>
        <v>11.5513683569568</v>
      </c>
      <c r="C40" s="51" t="n">
        <f aca="false">+C39/C38*100</f>
        <v>12.196133830503</v>
      </c>
      <c r="D40" s="51" t="n">
        <f aca="false">+D39/D38*100</f>
        <v>11.9939117199391</v>
      </c>
    </row>
    <row r="43" customFormat="false" ht="12.75" hidden="false" customHeight="false" outlineLevel="0" collapsed="false">
      <c r="B43" s="45" t="s">
        <v>166</v>
      </c>
      <c r="C43" s="45" t="s">
        <v>167</v>
      </c>
      <c r="D43" s="45" t="s">
        <v>168</v>
      </c>
    </row>
    <row r="45" customFormat="false" ht="12.75" hidden="false" customHeight="false" outlineLevel="0" collapsed="false">
      <c r="A45" s="0" t="s">
        <v>189</v>
      </c>
      <c r="B45" s="48" t="n">
        <f aca="false">83000*0.98*0.01</f>
        <v>813.4</v>
      </c>
      <c r="C45" s="48" t="n">
        <v>400</v>
      </c>
      <c r="D45" s="48" t="n">
        <f aca="false">16000*0.96*0.012</f>
        <v>184.32</v>
      </c>
    </row>
    <row r="46" customFormat="false" ht="12.75" hidden="false" customHeight="false" outlineLevel="0" collapsed="false">
      <c r="A46" s="0" t="s">
        <v>190</v>
      </c>
      <c r="B46" s="48" t="n">
        <f aca="false">83000*0.98*0.033</f>
        <v>2684.22</v>
      </c>
      <c r="C46" s="48" t="n">
        <v>2700</v>
      </c>
      <c r="D46" s="48" t="n">
        <f aca="false">16000*0.96*0.053</f>
        <v>814.08</v>
      </c>
    </row>
    <row r="47" customFormat="false" ht="12.75" hidden="false" customHeight="false" outlineLevel="0" collapsed="false">
      <c r="A47" s="0" t="s">
        <v>191</v>
      </c>
      <c r="B47" s="48" t="n">
        <f aca="false">83000*0.98*0.007</f>
        <v>569.38</v>
      </c>
      <c r="C47" s="48" t="n">
        <v>300</v>
      </c>
      <c r="D47" s="48" t="n">
        <f aca="false">16000*0.96*0.004</f>
        <v>61.44</v>
      </c>
    </row>
    <row r="48" customFormat="false" ht="12.75" hidden="false" customHeight="false" outlineLevel="0" collapsed="false">
      <c r="A48" s="0" t="s">
        <v>192</v>
      </c>
      <c r="B48" s="48" t="n">
        <f aca="false">83000*0.98*0.043</f>
        <v>3497.62</v>
      </c>
      <c r="C48" s="48" t="n">
        <v>3900</v>
      </c>
      <c r="D48" s="48" t="n">
        <f aca="false">16000*0.96*0.024</f>
        <v>368.64</v>
      </c>
    </row>
    <row r="49" customFormat="false" ht="12.75" hidden="false" customHeight="false" outlineLevel="0" collapsed="false">
      <c r="B49" s="48"/>
      <c r="C49" s="48"/>
      <c r="D49" s="48"/>
    </row>
    <row r="50" customFormat="false" ht="12.75" hidden="false" customHeight="false" outlineLevel="0" collapsed="false">
      <c r="A50" s="0" t="s">
        <v>193</v>
      </c>
      <c r="B50" s="48" t="n">
        <f aca="false">SUM(B45:B49)</f>
        <v>7564.62</v>
      </c>
      <c r="C50" s="48" t="n">
        <f aca="false">SUM(C45:C49)</f>
        <v>7300</v>
      </c>
      <c r="D50" s="48" t="n">
        <f aca="false">SUM(D45:D49)</f>
        <v>1428.48</v>
      </c>
    </row>
    <row r="51" customFormat="false" ht="12.75" hidden="false" customHeight="false" outlineLevel="0" collapsed="false">
      <c r="B51" s="48"/>
      <c r="C51" s="48"/>
      <c r="D51" s="48"/>
    </row>
    <row r="52" customFormat="false" ht="12.75" hidden="false" customHeight="false" outlineLevel="0" collapsed="false">
      <c r="A52" s="0" t="s">
        <v>194</v>
      </c>
      <c r="B52" s="48" t="n">
        <f aca="false">+B54-B50</f>
        <v>2701.68</v>
      </c>
      <c r="C52" s="48" t="n">
        <f aca="false">+C54-C50</f>
        <v>3954.5933</v>
      </c>
      <c r="D52" s="48" t="n">
        <f aca="false">+D54-D50</f>
        <v>1285.32</v>
      </c>
    </row>
    <row r="53" customFormat="false" ht="12.75" hidden="false" customHeight="false" outlineLevel="0" collapsed="false">
      <c r="B53" s="48"/>
      <c r="C53" s="48"/>
      <c r="D53" s="48"/>
    </row>
    <row r="54" customFormat="false" ht="12.75" hidden="false" customHeight="false" outlineLevel="0" collapsed="false">
      <c r="A54" s="0" t="s">
        <v>195</v>
      </c>
      <c r="B54" s="48" t="n">
        <f aca="false">+B35+B39</f>
        <v>10266.3</v>
      </c>
      <c r="C54" s="48" t="n">
        <f aca="false">+C35+C39</f>
        <v>11254.5933</v>
      </c>
      <c r="D54" s="48" t="n">
        <f aca="false">+D35+D39</f>
        <v>2713.8</v>
      </c>
    </row>
    <row r="56" customFormat="false" ht="12.75" hidden="false" customHeight="false" outlineLevel="0" collapsed="false">
      <c r="A56" s="0" t="s">
        <v>196</v>
      </c>
      <c r="B56" s="52" t="n">
        <f aca="false">+B52/B8*100</f>
        <v>3.36301736478496</v>
      </c>
      <c r="C56" s="52" t="n">
        <f aca="false">+C52/C8*100</f>
        <v>4.77020252828641</v>
      </c>
      <c r="D56" s="52" t="n">
        <f aca="false">+D52/D8*100</f>
        <v>7.47061900610288</v>
      </c>
    </row>
    <row r="59" customFormat="false" ht="12.75" hidden="false" customHeight="false" outlineLevel="0" collapsed="false">
      <c r="A59" s="53" t="s">
        <v>197</v>
      </c>
      <c r="B59" s="54"/>
      <c r="C59" s="54"/>
      <c r="D59" s="55"/>
    </row>
    <row r="60" customFormat="false" ht="12.75" hidden="false" customHeight="false" outlineLevel="0" collapsed="false">
      <c r="A60" s="56"/>
      <c r="B60" s="9"/>
      <c r="C60" s="57"/>
      <c r="D60" s="58"/>
    </row>
    <row r="61" customFormat="false" ht="12.75" hidden="false" customHeight="false" outlineLevel="0" collapsed="false">
      <c r="A61" s="56" t="s">
        <v>198</v>
      </c>
      <c r="B61" s="48" t="n">
        <f aca="false">+B47*(B34/B8)</f>
        <v>359.864319661418</v>
      </c>
      <c r="C61" s="48" t="n">
        <f aca="false">+C47*(C34/C8)</f>
        <v>210.715061156546</v>
      </c>
      <c r="D61" s="59" t="n">
        <f aca="false">+D47*(D34/D8)</f>
        <v>59.0938169136879</v>
      </c>
    </row>
    <row r="62" customFormat="false" ht="12.75" hidden="false" customHeight="false" outlineLevel="0" collapsed="false">
      <c r="A62" s="56" t="s">
        <v>192</v>
      </c>
      <c r="B62" s="48" t="n">
        <f aca="false">+B48</f>
        <v>3497.62</v>
      </c>
      <c r="C62" s="48" t="n">
        <f aca="false">+C48</f>
        <v>3900</v>
      </c>
      <c r="D62" s="59" t="n">
        <f aca="false">+D48</f>
        <v>368.64</v>
      </c>
    </row>
    <row r="63" customFormat="false" ht="12.75" hidden="false" customHeight="false" outlineLevel="0" collapsed="false">
      <c r="A63" s="56" t="s">
        <v>199</v>
      </c>
      <c r="B63" s="48" t="n">
        <f aca="false">+B45*(B34/B8)</f>
        <v>514.091885230597</v>
      </c>
      <c r="C63" s="48" t="n">
        <f aca="false">+C45*(C34/C8)</f>
        <v>280.953414875395</v>
      </c>
      <c r="D63" s="59" t="n">
        <f aca="false">+D45*(D34/D8)</f>
        <v>177.281450741064</v>
      </c>
    </row>
    <row r="64" customFormat="false" ht="12.75" hidden="false" customHeight="false" outlineLevel="0" collapsed="false">
      <c r="A64" s="56" t="s">
        <v>200</v>
      </c>
      <c r="B64" s="48" t="n">
        <f aca="false">((0.08*B8)*133)/1000</f>
        <v>854.7644</v>
      </c>
      <c r="C64" s="48" t="n">
        <f aca="false">((0.14*C8)*133)/1000</f>
        <v>1543.63524</v>
      </c>
      <c r="D64" s="59" t="n">
        <f aca="false">((0.3*D8)*133)/1000</f>
        <v>686.4795</v>
      </c>
    </row>
    <row r="65" customFormat="false" ht="12.75" hidden="false" customHeight="false" outlineLevel="0" collapsed="false">
      <c r="A65" s="56" t="s">
        <v>201</v>
      </c>
      <c r="B65" s="60" t="n">
        <f aca="false">+B52*(B34/B8)</f>
        <v>1707.53843679592</v>
      </c>
      <c r="C65" s="60" t="n">
        <f aca="false">+C52*(C34/C8)</f>
        <v>2777.64123019589</v>
      </c>
      <c r="D65" s="61" t="n">
        <f aca="false">+D52*(D34/D8)</f>
        <v>1236.2380331299</v>
      </c>
    </row>
    <row r="66" customFormat="false" ht="12.75" hidden="false" customHeight="false" outlineLevel="0" collapsed="false">
      <c r="A66" s="56"/>
      <c r="B66" s="48"/>
      <c r="C66" s="48"/>
      <c r="D66" s="59"/>
    </row>
    <row r="67" customFormat="false" ht="12.75" hidden="false" customHeight="false" outlineLevel="0" collapsed="false">
      <c r="A67" s="56" t="s">
        <v>80</v>
      </c>
      <c r="B67" s="48" t="n">
        <f aca="false">SUM(B61:B66)</f>
        <v>6933.87904168793</v>
      </c>
      <c r="C67" s="48" t="n">
        <f aca="false">SUM(C61:C66)</f>
        <v>8712.94494622784</v>
      </c>
      <c r="D67" s="59" t="n">
        <f aca="false">SUM(D61:D66)</f>
        <v>2527.73280078466</v>
      </c>
    </row>
    <row r="68" customFormat="false" ht="12.75" hidden="false" customHeight="false" outlineLevel="0" collapsed="false">
      <c r="A68" s="56"/>
      <c r="B68" s="9"/>
      <c r="C68" s="9"/>
      <c r="D68" s="62"/>
    </row>
    <row r="69" customFormat="false" ht="12.75" hidden="false" customHeight="false" outlineLevel="0" collapsed="false">
      <c r="A69" s="56" t="s">
        <v>202</v>
      </c>
      <c r="B69" s="7" t="n">
        <f aca="false">+B34</f>
        <v>50774</v>
      </c>
      <c r="C69" s="7" t="n">
        <f aca="false">+C34</f>
        <v>58229</v>
      </c>
      <c r="D69" s="63" t="n">
        <f aca="false">+D34</f>
        <v>16548</v>
      </c>
    </row>
    <row r="70" customFormat="false" ht="12.75" hidden="false" customHeight="false" outlineLevel="0" collapsed="false">
      <c r="A70" s="56"/>
      <c r="B70" s="9"/>
      <c r="C70" s="9"/>
      <c r="D70" s="62"/>
    </row>
    <row r="71" customFormat="false" ht="12.75" hidden="false" customHeight="false" outlineLevel="0" collapsed="false">
      <c r="A71" s="56" t="s">
        <v>203</v>
      </c>
      <c r="B71" s="8" t="n">
        <f aca="false">+B67/B69*100</f>
        <v>13.6563576666954</v>
      </c>
      <c r="C71" s="8" t="n">
        <f aca="false">+C67/C69*100</f>
        <v>14.9632398739938</v>
      </c>
      <c r="D71" s="64" t="n">
        <f aca="false">+D67/D69*100</f>
        <v>15.2751559148215</v>
      </c>
    </row>
    <row r="72" customFormat="false" ht="12.75" hidden="false" customHeight="false" outlineLevel="0" collapsed="false">
      <c r="A72" s="56"/>
      <c r="B72" s="9"/>
      <c r="C72" s="57"/>
      <c r="D72" s="58"/>
    </row>
    <row r="73" customFormat="false" ht="12.75" hidden="false" customHeight="false" outlineLevel="0" collapsed="false">
      <c r="A73" s="65" t="s">
        <v>204</v>
      </c>
      <c r="B73" s="66" t="n">
        <f aca="false">+B36</f>
        <v>13.4943081104502</v>
      </c>
      <c r="C73" s="66" t="n">
        <f aca="false">+C36</f>
        <v>14.1603688883546</v>
      </c>
      <c r="D73" s="67" t="n">
        <f aca="false">+D36</f>
        <v>15.9233744259125</v>
      </c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A75" s="0" t="s">
        <v>205</v>
      </c>
      <c r="B75" s="9"/>
    </row>
    <row r="76" customFormat="false" ht="12.75" hidden="false" customHeight="false" outlineLevel="0" collapsed="false">
      <c r="A76" s="68" t="s">
        <v>206</v>
      </c>
      <c r="B76" s="9"/>
    </row>
    <row r="77" customFormat="false" ht="12.75" hidden="false" customHeight="false" outlineLevel="0" collapsed="false">
      <c r="B77" s="9"/>
    </row>
    <row r="78" customFormat="false" ht="12.75" hidden="false" customHeight="false" outlineLevel="0" collapsed="false">
      <c r="B78" s="9"/>
    </row>
    <row r="79" customFormat="false" ht="12.75" hidden="false" customHeight="false" outlineLevel="0" collapsed="false">
      <c r="B7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7" activeCellId="0" sqref="M7:M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69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70" t="s">
        <v>207</v>
      </c>
      <c r="H3" s="70" t="s">
        <v>208</v>
      </c>
      <c r="L3" s="71" t="s">
        <v>209</v>
      </c>
    </row>
    <row r="5" customFormat="false" ht="12.75" hidden="false" customHeight="false" outlineLevel="0" collapsed="false">
      <c r="C5" s="2" t="s">
        <v>210</v>
      </c>
      <c r="D5" s="2" t="s">
        <v>211</v>
      </c>
      <c r="E5" s="2" t="s">
        <v>212</v>
      </c>
      <c r="G5" s="2" t="s">
        <v>210</v>
      </c>
      <c r="H5" s="2" t="s">
        <v>211</v>
      </c>
      <c r="I5" s="2" t="s">
        <v>212</v>
      </c>
      <c r="K5" s="69" t="s">
        <v>213</v>
      </c>
      <c r="L5" s="2" t="s">
        <v>214</v>
      </c>
      <c r="M5" s="1" t="s">
        <v>215</v>
      </c>
    </row>
    <row r="6" customFormat="false" ht="12.75" hidden="false" customHeight="false" outlineLevel="0" collapsed="false">
      <c r="A6" s="1" t="s">
        <v>216</v>
      </c>
      <c r="B6" s="72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217</v>
      </c>
      <c r="B7" s="72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69" t="n">
        <f aca="false">+E7-I7</f>
        <v>-210.939981286553</v>
      </c>
      <c r="L7" s="2" t="n">
        <f aca="false">+(C7*(E7-I7))/1000</f>
        <v>-1441781.10029303</v>
      </c>
      <c r="M7" s="73" t="n">
        <f aca="false">(M6*1.01625)+L7</f>
        <v>-1441781.10029303</v>
      </c>
      <c r="N7" s="46"/>
    </row>
    <row r="8" customFormat="false" ht="12.75" hidden="false" customHeight="false" outlineLevel="0" collapsed="false">
      <c r="A8" s="1" t="s">
        <v>218</v>
      </c>
      <c r="B8" s="72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69" t="n">
        <f aca="false">+E8-I8</f>
        <v>-56.4854491471431</v>
      </c>
      <c r="L8" s="2" t="n">
        <f aca="false">+(C8*(E8-I8))/1000</f>
        <v>-465506.810287902</v>
      </c>
      <c r="M8" s="73" t="n">
        <f aca="false">(M7*1.01625)+L8</f>
        <v>-1930716.85346069</v>
      </c>
    </row>
    <row r="9" customFormat="false" ht="12.75" hidden="false" customHeight="false" outlineLevel="0" collapsed="false">
      <c r="A9" s="1" t="s">
        <v>219</v>
      </c>
      <c r="B9" s="72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69" t="n">
        <f aca="false">+E9-I9</f>
        <v>-92.0522563704793</v>
      </c>
      <c r="L9" s="2" t="n">
        <f aca="false">+(C9*(E9-I9))/1000</f>
        <v>-698081.415962246</v>
      </c>
      <c r="M9" s="73" t="n">
        <f aca="false">(M8*1.01625)+L9</f>
        <v>-2660172.41829167</v>
      </c>
    </row>
    <row r="10" customFormat="false" ht="12.75" hidden="false" customHeight="false" outlineLevel="0" collapsed="false">
      <c r="A10" s="1" t="s">
        <v>216</v>
      </c>
      <c r="B10" s="72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69" t="n">
        <f aca="false">+E10-I10</f>
        <v>-100.296403160115</v>
      </c>
      <c r="L10" s="2" t="n">
        <f aca="false">+(C10*(E10-I10))/1000</f>
        <v>-890110.217876181</v>
      </c>
      <c r="M10" s="73" t="n">
        <f aca="false">(M9*1.01625)+L10</f>
        <v>-3593510.43796509</v>
      </c>
    </row>
    <row r="11" customFormat="false" ht="12.75" hidden="false" customHeight="false" outlineLevel="0" collapsed="false">
      <c r="A11" s="1" t="s">
        <v>217</v>
      </c>
      <c r="B11" s="72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69" t="n">
        <f aca="false">+E11-I11</f>
        <v>-59.3185435052836</v>
      </c>
      <c r="L11" s="2" t="n">
        <f aca="false">+(C11*(E11-I11))/1000</f>
        <v>-577580.32785727</v>
      </c>
      <c r="M11" s="73" t="n">
        <f aca="false">(M10*1.01625)+L11</f>
        <v>-4229485.3104393</v>
      </c>
    </row>
    <row r="12" customFormat="false" ht="12.75" hidden="false" customHeight="false" outlineLevel="0" collapsed="false">
      <c r="A12" s="1" t="s">
        <v>218</v>
      </c>
      <c r="B12" s="72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69" t="n">
        <f aca="false">+E12-I12</f>
        <v>-44.5015537983098</v>
      </c>
      <c r="L12" s="2" t="n">
        <f aca="false">+(C12*(E12-I12))/1000</f>
        <v>-554750.27293686</v>
      </c>
      <c r="M12" s="73" t="n">
        <f aca="false">(M11*1.01625)+L12</f>
        <v>-4852964.7196708</v>
      </c>
    </row>
    <row r="13" customFormat="false" ht="12.75" hidden="false" customHeight="false" outlineLevel="0" collapsed="false">
      <c r="A13" s="1" t="s">
        <v>219</v>
      </c>
      <c r="B13" s="72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69" t="n">
        <f aca="false">+E13-I13</f>
        <v>-75.4858736845513</v>
      </c>
      <c r="L13" s="2" t="n">
        <f aca="false">+(C13*(E13-I13))/1000</f>
        <v>-861240.223770414</v>
      </c>
      <c r="M13" s="73" t="n">
        <f aca="false">(M12*1.01625)+L13</f>
        <v>-5793065.62013586</v>
      </c>
    </row>
    <row r="14" customFormat="false" ht="12.75" hidden="false" customHeight="false" outlineLevel="0" collapsed="false">
      <c r="A14" s="1" t="s">
        <v>216</v>
      </c>
      <c r="B14" s="72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69" t="n">
        <f aca="false">+E14-I14</f>
        <v>-50.4668518013644</v>
      </c>
      <c r="L14" s="2" t="n">
        <f aca="false">+(C14*(E14-I14))/1000</f>
        <v>-632283.491028385</v>
      </c>
      <c r="M14" s="73" t="n">
        <f aca="false">(M13*1.01625)+L14</f>
        <v>-6519486.42749145</v>
      </c>
    </row>
    <row r="15" customFormat="false" ht="12.75" hidden="false" customHeight="false" outlineLevel="0" collapsed="false">
      <c r="A15" s="1" t="s">
        <v>217</v>
      </c>
      <c r="B15" s="72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69" t="n">
        <f aca="false">+E15-I15</f>
        <v>-30.0345198796757</v>
      </c>
      <c r="L15" s="2" t="n">
        <f aca="false">+(C15*(E15-I15))/1000</f>
        <v>-416968.60876462</v>
      </c>
      <c r="M15" s="73" t="n">
        <f aca="false">(M14*1.01625)+L15</f>
        <v>-7042396.69070281</v>
      </c>
    </row>
    <row r="16" customFormat="false" ht="12.75" hidden="false" customHeight="false" outlineLevel="0" collapsed="false">
      <c r="A16" s="1" t="s">
        <v>218</v>
      </c>
      <c r="B16" s="72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69" t="n">
        <f aca="false">+E16-I16</f>
        <v>-28.3001119261849</v>
      </c>
      <c r="L16" s="2" t="n">
        <f aca="false">+(C16*(E16-I16))/1000</f>
        <v>-518931.284959336</v>
      </c>
      <c r="M16" s="73" t="n">
        <f aca="false">(M15*1.01625)+L16</f>
        <v>-7675766.92188607</v>
      </c>
    </row>
    <row r="17" customFormat="false" ht="12.75" hidden="false" customHeight="false" outlineLevel="0" collapsed="false">
      <c r="A17" s="1" t="s">
        <v>219</v>
      </c>
      <c r="B17" s="72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69" t="n">
        <f aca="false">+E17-I17</f>
        <v>-22.1251276263367</v>
      </c>
      <c r="L17" s="2" t="n">
        <f aca="false">+(C17*(E17-I17))/1000</f>
        <v>-436695.989782222</v>
      </c>
      <c r="M17" s="73" t="n">
        <f aca="false">(M16*1.01625)+L17</f>
        <v>-8237194.12414894</v>
      </c>
    </row>
    <row r="18" customFormat="false" ht="12.75" hidden="false" customHeight="false" outlineLevel="0" collapsed="false">
      <c r="A18" s="1" t="s">
        <v>216</v>
      </c>
      <c r="B18" s="72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69" t="n">
        <f aca="false">+E18-I18</f>
        <v>-14.6615419428334</v>
      </c>
      <c r="L18" s="2" t="n">
        <f aca="false">+(C18*(E18-I18))/1000</f>
        <v>-313735.459771521</v>
      </c>
      <c r="M18" s="73" t="n">
        <f aca="false">(M17*1.01625)+L18</f>
        <v>-8684783.98843788</v>
      </c>
    </row>
    <row r="19" customFormat="false" ht="12.75" hidden="false" customHeight="false" outlineLevel="0" collapsed="false">
      <c r="A19" s="1" t="s">
        <v>217</v>
      </c>
      <c r="B19" s="72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69" t="n">
        <f aca="false">+E19-I19</f>
        <v>-14.3854992508845</v>
      </c>
      <c r="L19" s="2" t="n">
        <f aca="false">+(C19*(E19-I19))/1000</f>
        <v>-287996.961342245</v>
      </c>
      <c r="M19" s="73" t="n">
        <f aca="false">(M18*1.01625)+L19</f>
        <v>-9113908.68959224</v>
      </c>
    </row>
    <row r="20" customFormat="false" ht="12.75" hidden="false" customHeight="false" outlineLevel="0" collapsed="false">
      <c r="A20" s="1" t="s">
        <v>218</v>
      </c>
      <c r="B20" s="72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69" t="n">
        <f aca="false">+E20-I20</f>
        <v>-4.2932534689763</v>
      </c>
      <c r="L20" s="2" t="n">
        <f aca="false">+(C20*(E20-I20))/1000</f>
        <v>-91928.8434060943</v>
      </c>
      <c r="M20" s="73" t="n">
        <f aca="false">(M19*1.01625)+L20</f>
        <v>-9353938.54920421</v>
      </c>
    </row>
    <row r="21" customFormat="false" ht="12.75" hidden="false" customHeight="false" outlineLevel="0" collapsed="false">
      <c r="A21" s="1" t="s">
        <v>219</v>
      </c>
      <c r="B21" s="72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69" t="n">
        <f aca="false">+E21-I21</f>
        <v>6.69945853228177</v>
      </c>
      <c r="L21" s="2" t="n">
        <f aca="false">+(C21*(E21-I21))/1000</f>
        <v>155312.629328069</v>
      </c>
      <c r="M21" s="73" t="n">
        <f aca="false">(M20*1.01625)+L21</f>
        <v>-9350627.42130071</v>
      </c>
    </row>
    <row r="22" customFormat="false" ht="12.75" hidden="false" customHeight="false" outlineLevel="0" collapsed="false">
      <c r="A22" s="1" t="s">
        <v>216</v>
      </c>
      <c r="B22" s="72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69" t="n">
        <f aca="false">+E22-I22</f>
        <v>-14.0859919225806</v>
      </c>
      <c r="L22" s="2" t="n">
        <f aca="false">+(C22*(E22-I22))/1000</f>
        <v>-292286.980560029</v>
      </c>
      <c r="M22" s="73" t="n">
        <f aca="false">(M21*1.01625)+L22</f>
        <v>-9794862.09745688</v>
      </c>
    </row>
    <row r="23" customFormat="false" ht="12.75" hidden="false" customHeight="false" outlineLevel="0" collapsed="false">
      <c r="A23" s="1" t="s">
        <v>217</v>
      </c>
      <c r="B23" s="72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69" t="n">
        <f aca="false">+E23-I23</f>
        <v>-11.132712658007</v>
      </c>
      <c r="L23" s="2" t="n">
        <f aca="false">+(C23*(E23-I23))/1000</f>
        <v>-217559.957245973</v>
      </c>
      <c r="M23" s="73" t="n">
        <f aca="false">(M22*1.01625)+L23</f>
        <v>-10171588.5637865</v>
      </c>
    </row>
    <row r="24" customFormat="false" ht="12.75" hidden="false" customHeight="false" outlineLevel="0" collapsed="false">
      <c r="A24" s="1" t="s">
        <v>218</v>
      </c>
      <c r="B24" s="72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69" t="n">
        <f aca="false">+E24-I24</f>
        <v>2.99197558998742</v>
      </c>
      <c r="L24" s="2" t="n">
        <f aca="false">+(C24*(E24-I24))/1000</f>
        <v>61296.1192120267</v>
      </c>
      <c r="M24" s="73" t="n">
        <f aca="false">(M23*1.01625)+L24</f>
        <v>-10275580.758736</v>
      </c>
    </row>
    <row r="25" customFormat="false" ht="12.75" hidden="false" customHeight="false" outlineLevel="0" collapsed="false">
      <c r="A25" s="1" t="s">
        <v>219</v>
      </c>
      <c r="B25" s="72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69" t="n">
        <f aca="false">+E25-I25</f>
        <v>-2.62323316031052</v>
      </c>
      <c r="L25" s="2" t="n">
        <f aca="false">+(C25*(E25-I25))/1000</f>
        <v>-55245.641869383</v>
      </c>
      <c r="M25" s="73" t="n">
        <f aca="false">(M24*1.01625)+L25</f>
        <v>-10497804.5879349</v>
      </c>
    </row>
    <row r="26" customFormat="false" ht="12.75" hidden="false" customHeight="false" outlineLevel="0" collapsed="false">
      <c r="A26" s="1" t="s">
        <v>216</v>
      </c>
      <c r="B26" s="72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69" t="n">
        <f aca="false">+E26-I26</f>
        <v>-23.1074615674407</v>
      </c>
      <c r="L26" s="2" t="n">
        <f aca="false">+(C26*(E26-I26))/1000</f>
        <v>-488746.589729323</v>
      </c>
      <c r="M26" s="73" t="n">
        <f aca="false">(M25*1.01625)+L26</f>
        <v>-11157140.5022181</v>
      </c>
    </row>
    <row r="27" customFormat="false" ht="12.75" hidden="false" customHeight="false" outlineLevel="0" collapsed="false">
      <c r="A27" s="1" t="s">
        <v>217</v>
      </c>
      <c r="B27" s="72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69" t="n">
        <f aca="false">+E27-I27</f>
        <v>-18.6600923745729</v>
      </c>
      <c r="L27" s="2" t="n">
        <f aca="false">+(C27*(E27-I27))/1000</f>
        <v>-365273.715384182</v>
      </c>
      <c r="M27" s="73" t="n">
        <f aca="false">(M26*1.01625)+L27</f>
        <v>-11703717.7507634</v>
      </c>
    </row>
    <row r="28" customFormat="false" ht="12.75" hidden="false" customHeight="false" outlineLevel="0" collapsed="false">
      <c r="A28" s="1" t="s">
        <v>218</v>
      </c>
      <c r="B28" s="72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69" t="n">
        <f aca="false">+E28-I28</f>
        <v>-4.18967091016222</v>
      </c>
      <c r="L28" s="2" t="n">
        <f aca="false">+(C28*(E28-I28))/1000</f>
        <v>-82758.9298001326</v>
      </c>
      <c r="M28" s="73" t="n">
        <f aca="false">(M27*1.01625)+L28</f>
        <v>-11976662.0940134</v>
      </c>
    </row>
    <row r="29" customFormat="false" ht="12.75" hidden="false" customHeight="false" outlineLevel="0" collapsed="false">
      <c r="A29" s="1" t="s">
        <v>219</v>
      </c>
      <c r="B29" s="72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69" t="e">
        <f aca="false">+E29-I29</f>
        <v>#DIV/0!</v>
      </c>
      <c r="L29" s="2" t="e">
        <f aca="false">+(C29*(E29-I29))/1000</f>
        <v>#DIV/0!</v>
      </c>
      <c r="M29" s="73" t="e">
        <f aca="false">(M28*1.01625)+L29</f>
        <v>#DIV/0!</v>
      </c>
    </row>
    <row r="30" customFormat="false" ht="12.75" hidden="false" customHeight="false" outlineLevel="0" collapsed="false">
      <c r="A30" s="1" t="s">
        <v>216</v>
      </c>
      <c r="B30" s="72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69" t="e">
        <f aca="false">+E30-I30</f>
        <v>#DIV/0!</v>
      </c>
      <c r="L30" s="2" t="e">
        <f aca="false">+(C30*(E30-I30))/1000</f>
        <v>#DIV/0!</v>
      </c>
      <c r="M30" s="73" t="e">
        <f aca="false">(M29*1.01625)+L30</f>
        <v>#DIV/0!</v>
      </c>
    </row>
    <row r="31" customFormat="false" ht="12.75" hidden="false" customHeight="false" outlineLevel="0" collapsed="false">
      <c r="A31" s="1" t="s">
        <v>217</v>
      </c>
      <c r="B31" s="72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69" t="e">
        <f aca="false">+E31-I31</f>
        <v>#DIV/0!</v>
      </c>
      <c r="L31" s="2" t="e">
        <f aca="false">+(C31*(E31-I31))/1000</f>
        <v>#DIV/0!</v>
      </c>
      <c r="M31" s="73" t="e">
        <f aca="false">(M30*1.01625)+L31</f>
        <v>#DIV/0!</v>
      </c>
    </row>
    <row r="32" customFormat="false" ht="12.75" hidden="false" customHeight="false" outlineLevel="0" collapsed="false">
      <c r="A32" s="1" t="s">
        <v>218</v>
      </c>
      <c r="B32" s="72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69" t="e">
        <f aca="false">+E32-I32</f>
        <v>#DIV/0!</v>
      </c>
      <c r="L32" s="2" t="e">
        <f aca="false">+(C32*(E32-I32))/1000</f>
        <v>#DIV/0!</v>
      </c>
      <c r="M32" s="73" t="e">
        <f aca="false">(M31*1.01625)+L32</f>
        <v>#DIV/0!</v>
      </c>
    </row>
    <row r="33" customFormat="false" ht="12.75" hidden="false" customHeight="false" outlineLevel="0" collapsed="false">
      <c r="A33" s="1" t="s">
        <v>219</v>
      </c>
      <c r="B33" s="72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69" t="e">
        <f aca="false">+E33-I33</f>
        <v>#DIV/0!</v>
      </c>
      <c r="L33" s="2" t="e">
        <f aca="false">+(C33*(E33-I33))/1000</f>
        <v>#DIV/0!</v>
      </c>
      <c r="M33" s="73" t="e">
        <f aca="false">(M32*1.01625)+L33</f>
        <v>#DIV/0!</v>
      </c>
    </row>
    <row r="34" customFormat="false" ht="12.75" hidden="false" customHeight="false" outlineLevel="0" collapsed="false">
      <c r="A34" s="1" t="s">
        <v>216</v>
      </c>
      <c r="B34" s="72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69" t="e">
        <f aca="false">+E34-I34</f>
        <v>#DIV/0!</v>
      </c>
      <c r="L34" s="2" t="e">
        <f aca="false">+(C34*(E34-I34))/1000</f>
        <v>#DIV/0!</v>
      </c>
      <c r="M34" s="73" t="e">
        <f aca="false">(M33*1.01625)+L34</f>
        <v>#DIV/0!</v>
      </c>
    </row>
    <row r="35" customFormat="false" ht="12.75" hidden="false" customHeight="false" outlineLevel="0" collapsed="false">
      <c r="A35" s="1" t="s">
        <v>217</v>
      </c>
      <c r="B35" s="72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69" t="e">
        <f aca="false">+E35-I35</f>
        <v>#DIV/0!</v>
      </c>
      <c r="L35" s="2" t="e">
        <f aca="false">+(C35*(E35-I35))/1000</f>
        <v>#DIV/0!</v>
      </c>
      <c r="M35" s="73" t="e">
        <f aca="false">(M34*1.01625)+L35</f>
        <v>#DIV/0!</v>
      </c>
    </row>
    <row r="36" customFormat="false" ht="12.75" hidden="false" customHeight="false" outlineLevel="0" collapsed="false">
      <c r="A36" s="1" t="s">
        <v>218</v>
      </c>
      <c r="B36" s="72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69" t="e">
        <f aca="false">+E36-I36</f>
        <v>#DIV/0!</v>
      </c>
      <c r="L36" s="2" t="e">
        <f aca="false">+(C36*(E36-I36))/1000</f>
        <v>#DIV/0!</v>
      </c>
      <c r="M36" s="73" t="e">
        <f aca="false">(M35*1.01625)+L36</f>
        <v>#DIV/0!</v>
      </c>
    </row>
    <row r="37" customFormat="false" ht="12.75" hidden="false" customHeight="false" outlineLevel="0" collapsed="false">
      <c r="A37" s="1" t="s">
        <v>219</v>
      </c>
      <c r="B37" s="72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69" t="e">
        <f aca="false">+E37-I37</f>
        <v>#DIV/0!</v>
      </c>
      <c r="L37" s="2" t="e">
        <f aca="false">+(C37*(E37-I37))/1000</f>
        <v>#DIV/0!</v>
      </c>
      <c r="M37" s="73" t="e">
        <f aca="false">(M36*1.01625)+L37</f>
        <v>#DIV/0!</v>
      </c>
    </row>
    <row r="38" customFormat="false" ht="12.75" hidden="false" customHeight="false" outlineLevel="0" collapsed="false">
      <c r="A38" s="1" t="s">
        <v>216</v>
      </c>
      <c r="B38" s="72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69" t="e">
        <f aca="false">+E38-I38</f>
        <v>#DIV/0!</v>
      </c>
      <c r="L38" s="2" t="e">
        <f aca="false">+(C38*(E38-I38))/1000</f>
        <v>#DIV/0!</v>
      </c>
      <c r="M38" s="73" t="e">
        <f aca="false">(M37*1.01625)+L38</f>
        <v>#DIV/0!</v>
      </c>
    </row>
    <row r="39" customFormat="false" ht="12.75" hidden="false" customHeight="false" outlineLevel="0" collapsed="false">
      <c r="A39" s="1" t="s">
        <v>217</v>
      </c>
      <c r="B39" s="72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69" t="e">
        <f aca="false">+E39-I39</f>
        <v>#DIV/0!</v>
      </c>
      <c r="L39" s="2" t="e">
        <f aca="false">+(C39*(E39-I39))/1000</f>
        <v>#DIV/0!</v>
      </c>
      <c r="M39" s="73" t="e">
        <f aca="false">(M38*1.01625)+L39</f>
        <v>#DIV/0!</v>
      </c>
    </row>
    <row r="40" customFormat="false" ht="12.75" hidden="false" customHeight="false" outlineLevel="0" collapsed="false">
      <c r="A40" s="1" t="s">
        <v>218</v>
      </c>
      <c r="B40" s="72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69" t="e">
        <f aca="false">+E40-I40</f>
        <v>#DIV/0!</v>
      </c>
      <c r="L40" s="2" t="e">
        <f aca="false">+(C40*(E40-I40))/1000</f>
        <v>#DIV/0!</v>
      </c>
      <c r="M40" s="73" t="e">
        <f aca="false">(M39*1.01625)+L40</f>
        <v>#DIV/0!</v>
      </c>
    </row>
    <row r="41" customFormat="false" ht="12.75" hidden="false" customHeight="false" outlineLevel="0" collapsed="false">
      <c r="A41" s="1" t="s">
        <v>219</v>
      </c>
      <c r="B41" s="72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69" t="e">
        <f aca="false">+E41-I41</f>
        <v>#DIV/0!</v>
      </c>
      <c r="L41" s="2" t="e">
        <f aca="false">+(C41*(E41-I41))/1000</f>
        <v>#DIV/0!</v>
      </c>
      <c r="M41" s="73" t="e">
        <f aca="false">(M40*1.01625)+L41</f>
        <v>#DIV/0!</v>
      </c>
    </row>
    <row r="42" customFormat="false" ht="12.75" hidden="false" customHeight="false" outlineLevel="0" collapsed="false">
      <c r="A42" s="1" t="s">
        <v>216</v>
      </c>
      <c r="B42" s="72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69" t="e">
        <f aca="false">+E42-I42</f>
        <v>#DIV/0!</v>
      </c>
      <c r="L42" s="2" t="e">
        <f aca="false">+(C42*(E42-I42))/1000</f>
        <v>#DIV/0!</v>
      </c>
      <c r="M42" s="73" t="e">
        <f aca="false">(M41*1.01625)+L42</f>
        <v>#DIV/0!</v>
      </c>
    </row>
    <row r="43" customFormat="false" ht="12.75" hidden="false" customHeight="false" outlineLevel="0" collapsed="false">
      <c r="A43" s="1" t="s">
        <v>217</v>
      </c>
      <c r="B43" s="72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69" t="e">
        <f aca="false">+E43-I43</f>
        <v>#DIV/0!</v>
      </c>
      <c r="L43" s="2" t="e">
        <f aca="false">+(C43*(E43-I43))/1000</f>
        <v>#DIV/0!</v>
      </c>
      <c r="M43" s="73" t="e">
        <f aca="false">(M42*1.01625)+L43</f>
        <v>#DIV/0!</v>
      </c>
    </row>
    <row r="44" customFormat="false" ht="12.75" hidden="false" customHeight="false" outlineLevel="0" collapsed="false">
      <c r="A44" s="1" t="s">
        <v>218</v>
      </c>
      <c r="B44" s="72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69" t="e">
        <f aca="false">+E44-I44</f>
        <v>#DIV/0!</v>
      </c>
      <c r="L44" s="2" t="e">
        <f aca="false">+(C44*(E44-I44))/1000</f>
        <v>#DIV/0!</v>
      </c>
      <c r="M44" s="73" t="e">
        <f aca="false">(M43*1.01625)+L44</f>
        <v>#DIV/0!</v>
      </c>
    </row>
    <row r="45" customFormat="false" ht="12.75" hidden="false" customHeight="false" outlineLevel="0" collapsed="false">
      <c r="A45" s="1" t="s">
        <v>219</v>
      </c>
      <c r="B45" s="72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69" t="e">
        <f aca="false">+E45-I45</f>
        <v>#DIV/0!</v>
      </c>
      <c r="L45" s="2" t="e">
        <f aca="false">+(C45*(E45-I45))/1000</f>
        <v>#DIV/0!</v>
      </c>
      <c r="M45" s="73" t="e">
        <f aca="false">(M44*1.01625)+L45</f>
        <v>#DIV/0!</v>
      </c>
    </row>
    <row r="49" customFormat="false" ht="12.75" hidden="false" customHeight="false" outlineLevel="0" collapsed="false">
      <c r="C49" s="2" t="s">
        <v>220</v>
      </c>
    </row>
    <row r="51" customFormat="false" ht="12.75" hidden="false" customHeight="false" outlineLevel="0" collapsed="false">
      <c r="A51" s="1" t="s">
        <v>216</v>
      </c>
      <c r="B51" s="72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217</v>
      </c>
      <c r="B52" s="72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218</v>
      </c>
      <c r="B53" s="72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219</v>
      </c>
      <c r="B54" s="72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216</v>
      </c>
      <c r="B55" s="72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217</v>
      </c>
      <c r="B56" s="72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218</v>
      </c>
      <c r="B57" s="72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219</v>
      </c>
      <c r="B58" s="72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216</v>
      </c>
      <c r="B59" s="72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217</v>
      </c>
      <c r="B60" s="72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218</v>
      </c>
      <c r="B61" s="72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219</v>
      </c>
      <c r="B62" s="72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2001-05-15T14:49:45Z</cp:lastPrinted>
  <dcterms:modified xsi:type="dcterms:W3CDTF">2001-05-15T14:49:57Z</dcterms:modified>
  <cp:revision>0</cp:revision>
  <dc:subject/>
  <dc:title/>
</cp:coreProperties>
</file>