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Output" sheetId="1" state="visible" r:id="rId3"/>
    <sheet name="Assumptions" sheetId="2" state="visible" r:id="rId4"/>
    <sheet name="Power Price Assumption" sheetId="3" state="visible" r:id="rId5"/>
    <sheet name="IS" sheetId="4" state="visible" r:id="rId6"/>
    <sheet name="Debt" sheetId="5" state="visible" r:id="rId7"/>
    <sheet name="CF" sheetId="6" state="visible" r:id="rId8"/>
    <sheet name="Depreciation" sheetId="7" state="visible" r:id="rId9"/>
    <sheet name="Tax" sheetId="8" state="visible" r:id="rId10"/>
    <sheet name="Gleason" sheetId="9" state="visible" r:id="rId11"/>
    <sheet name="Wheatland" sheetId="10" state="visible" r:id="rId12"/>
    <sheet name="Wilton" sheetId="11" state="visible" r:id="rId13"/>
    <sheet name="Allocation" sheetId="12" state="visible" r:id="rId14"/>
  </sheets>
  <externalReferences>
    <externalReference r:id="rId15"/>
    <externalReference r:id="rId16"/>
    <externalReference r:id="rId17"/>
  </externalReferences>
  <definedNames>
    <definedName function="false" hidden="false" localSheetId="11" name="_xlnm.Print_Area" vbProcedure="false">Allocation!$A$1:$E$10</definedName>
    <definedName function="false" hidden="false" localSheetId="1" name="_xlnm.Print_Area" vbProcedure="false">Assumptions!$A$1:$G$42</definedName>
    <definedName function="false" hidden="false" localSheetId="5" name="_xlnm.Print_Area" vbProcedure="false">CF!$A$1:$V$33</definedName>
    <definedName function="false" hidden="false" localSheetId="4" name="_xlnm.Print_Area" vbProcedure="false">Debt!$A$1:$U$88</definedName>
    <definedName function="false" hidden="false" localSheetId="6" name="_xlnm.Print_Area" vbProcedure="false">Depreciation!$A$2:$V$65</definedName>
    <definedName function="false" hidden="false" localSheetId="8" name="_xlnm.Print_Area" vbProcedure="false">Gleason!$A$2:$U$97</definedName>
    <definedName function="false" hidden="false" localSheetId="3" name="_xlnm.Print_Area" vbProcedure="false">IS!$A$2:$U$40</definedName>
    <definedName function="false" hidden="false" localSheetId="7" name="_xlnm.Print_Area" vbProcedure="false">Tax!$A$2:$U$20</definedName>
    <definedName function="false" hidden="false" localSheetId="9" name="_xlnm.Print_Area" vbProcedure="false">Wheatland!$A$2:$U$98</definedName>
    <definedName function="false" hidden="false" localSheetId="10" name="_xlnm.Print_Area" vbProcedure="false">Wilton!$A$2:$U$91</definedName>
    <definedName function="false" hidden="false" name="a" vbProcedure="false">{"Income Statement",#N/A,FALSE,"CFMODEL";"Balance Sheet",#N/A,FALSE,"CFMODEL"}</definedName>
    <definedName function="false" hidden="false" name="b" vbProcedure="false">{"SourcesUses",#N/A,TRUE,"CFMODEL";"TransOverview",#N/A,TRUE,"CFMODEL"}</definedName>
    <definedName function="false" hidden="false" name="d" vbProcedure="false">{"SourcesUses",#N/A,TRUE,#N/A;"TransOverview",#N/A,TRUE,"CFMODEL"}</definedName>
    <definedName function="false" hidden="false" name="e" vbProcedure="false">{"SourcesUses",#N/A,TRUE,"FundsFlow";"TransOverview",#N/A,TRUE,"FundsFlow"}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4" name="solver_adj" vbProcedure="false">Debt!$B$14,Debt!$B$34,Debt!$B$54</definedName>
    <definedName function="false" hidden="false" localSheetId="4" name="solver_cvg" vbProcedure="false">0.001</definedName>
    <definedName function="false" hidden="false" localSheetId="4" name="solver_drv" vbProcedure="false">1</definedName>
    <definedName function="false" hidden="false" localSheetId="4" name="solver_est" vbProcedure="false">1</definedName>
    <definedName function="false" hidden="false" localSheetId="4" name="solver_itr" vbProcedure="false">100</definedName>
    <definedName function="false" hidden="false" localSheetId="4" name="solver_lin" vbProcedure="false">2</definedName>
    <definedName function="false" hidden="false" localSheetId="4" name="solver_neg" vbProcedure="false">2</definedName>
    <definedName function="false" hidden="false" localSheetId="4" name="solver_num" vbProcedure="false">0</definedName>
    <definedName function="false" hidden="false" localSheetId="4" name="solver_nwt" vbProcedure="false">1</definedName>
    <definedName function="false" hidden="false" localSheetId="4" name="solver_opt" vbProcedure="false">Debt!$B$2</definedName>
    <definedName function="false" hidden="false" localSheetId="4" name="solver_pre" vbProcedure="false">0.000001</definedName>
    <definedName function="false" hidden="false" localSheetId="4" name="solver_scl" vbProcedure="false">2</definedName>
    <definedName function="false" hidden="false" localSheetId="4" name="solver_sho" vbProcedure="false">2</definedName>
    <definedName function="false" hidden="false" localSheetId="4" name="solver_tim" vbProcedure="false">100</definedName>
    <definedName function="false" hidden="false" localSheetId="4" name="solver_tol" vbProcedure="false">0.05</definedName>
    <definedName function="false" hidden="false" localSheetId="4" name="solver_typ" vbProcedure="false">3</definedName>
    <definedName function="false" hidden="false" localSheetId="4" name="solver_val" vbProcedure="false">0</definedName>
    <definedName function="false" hidden="false" localSheetId="6" name="AnnualHours" vbProcedure="false">[3]Assumptions!$BG$73</definedName>
    <definedName function="false" hidden="false" localSheetId="6" name="Begin_Op" vbProcedure="false">'[1]Consol Summary'!$N$7</definedName>
    <definedName function="false" hidden="false" localSheetId="6" name="chillers" vbProcedure="false">'[1]Consol Summary'!$M$65</definedName>
    <definedName function="false" hidden="false" localSheetId="6" name="Maint_Accrual" vbProcedure="false">[3]Assumptions!$BG$73</definedName>
    <definedName function="false" hidden="false" localSheetId="6" name="Main_Table" vbProcedure="false">'[1]Consol Summary'!$D$22:$I$45</definedName>
    <definedName function="false" hidden="false" localSheetId="6" name="PERIOD1" vbProcedure="false">'[1]Consol Summary'!$BG$68</definedName>
    <definedName function="false" hidden="false" localSheetId="6" name="PERIOD2" vbProcedure="false">'[1]Consol Summary'!$BG$68</definedName>
    <definedName function="false" hidden="false" localSheetId="6" name="principal" vbProcedure="false">'[1]Consol Summary'!$BG$68</definedName>
    <definedName function="false" hidden="false" localSheetId="6" name="StartMWh" vbProcedure="false">'[1]Consol Summary'!$BG$68</definedName>
    <definedName function="false" hidden="false" localSheetId="6" name="Variable" vbProcedure="false">[3]Assumptions!$BG$73</definedName>
    <definedName function="false" hidden="false" localSheetId="6" name="WaterTreatmentVar" vbProcedure="false">[3]Assumptions!$BG$73</definedName>
    <definedName function="false" hidden="false" localSheetId="6" name="wrn_test1_" vbProcedure="false">{"Income Statement",#N/A,FALSE,"CFMODEL";"Balance Sheet",#N/A,FALSE,"CFMODEL"}</definedName>
    <definedName function="false" hidden="false" localSheetId="6" name="wrn_test2_" vbProcedure="false">{"SourcesUses",#N/A,TRUE,"CFMODEL";"TransOverview",#N/A,TRUE,"CFMODEL"}</definedName>
    <definedName function="false" hidden="false" localSheetId="6" name="wrn_test3_" vbProcedure="false">{"SourcesUses",#N/A,TRUE,#N/A;"TransOverview",#N/A,TRUE,"CFMODEL"}</definedName>
    <definedName function="false" hidden="false" localSheetId="6" name="wrn_test4_" vbProcedure="false">{"SourcesUses",#N/A,TRUE,"FundsFlow";"TransOverview",#N/A,TRUE,"FundsFlow"}</definedName>
    <definedName function="false" hidden="false" localSheetId="8" name="blm_share" vbProcedure="false">#REF!</definedName>
    <definedName function="false" hidden="false" localSheetId="8" name="coso" vbProcedure="false">#REF!</definedName>
    <definedName function="false" hidden="false" localSheetId="8" name="Coso_Distributable_Cash" vbProcedure="false">#REF!</definedName>
    <definedName function="false" hidden="false" localSheetId="8" name="Coso_Net_ATCash" vbProcedure="false">#REF!</definedName>
    <definedName function="false" hidden="false" localSheetId="8" name="Coso_Net_Income" vbProcedure="false">#REF!</definedName>
    <definedName function="false" hidden="false" localSheetId="8" name="Distributable_Cash" vbProcedure="false">#REF!</definedName>
    <definedName function="false" hidden="false" localSheetId="8" name="Energy_Credit_Coso" vbProcedure="false">#REF!</definedName>
    <definedName function="false" hidden="false" localSheetId="8" name="Energy_Credit_Imperial" vbProcedure="false">#REF!</definedName>
    <definedName function="false" hidden="false" localSheetId="8" name="FPOC_Distributable_Cash" vbProcedure="false">#REF!</definedName>
    <definedName function="false" hidden="false" localSheetId="8" name="FPOC_Net_ATCash" vbProcedure="false">#REF!</definedName>
    <definedName function="false" hidden="false" localSheetId="8" name="FPOC_Net_Income" vbProcedure="false">#REF!</definedName>
    <definedName function="false" hidden="false" localSheetId="8" name="FSGC_ATCash" vbProcedure="false">#REF!</definedName>
    <definedName function="false" hidden="false" localSheetId="8" name="FSGC_Distributable_Cash" vbProcedure="false">#REF!</definedName>
    <definedName function="false" hidden="false" localSheetId="8" name="FSGC_Net_Income" vbProcedure="false">#REF!</definedName>
    <definedName function="false" hidden="false" localSheetId="8" name="Imperial_Distributable_Cash" vbProcedure="false">#REF!</definedName>
    <definedName function="false" hidden="false" localSheetId="8" name="Imperial_Geothermal" vbProcedure="false">#REF!</definedName>
    <definedName function="false" hidden="false" localSheetId="8" name="Imperial_Net_ATCash" vbProcedure="false">#REF!</definedName>
    <definedName function="false" hidden="false" localSheetId="8" name="Imperial_Net_Income" vbProcedure="false">#REF!</definedName>
    <definedName function="false" hidden="false" localSheetId="8" name="Minerals" vbProcedure="false">#REF!</definedName>
    <definedName function="false" hidden="false" localSheetId="8" name="Minerals_Distributable_Cash" vbProcedure="false">#REF!</definedName>
    <definedName function="false" hidden="false" localSheetId="8" name="Minerals_Net_ATCash" vbProcedure="false">#REF!</definedName>
    <definedName function="false" hidden="false" localSheetId="8" name="Minerals_Net_Income" vbProcedure="false">#REF!</definedName>
    <definedName function="false" hidden="false" localSheetId="8" name="navyII_share" vbProcedure="false">#REF!</definedName>
    <definedName function="false" hidden="false" localSheetId="8" name="navyi_share" vbProcedure="false">#REF!</definedName>
    <definedName function="false" hidden="false" localSheetId="8" name="Net_ATCash" vbProcedure="false">#REF!</definedName>
    <definedName function="false" hidden="false" localSheetId="8" name="Net_Income_Unlevered" vbProcedure="false">#REF!</definedName>
    <definedName function="false" hidden="false" localSheetId="8" name="Norcon_Distributable_Cash" vbProcedure="false">#REF!</definedName>
    <definedName function="false" hidden="false" localSheetId="8" name="Norcon_Net_ATCash" vbProcedure="false">#REF!</definedName>
    <definedName function="false" hidden="false" localSheetId="8" name="Norcon_Net_Income" vbProcedure="false">#REF!</definedName>
    <definedName function="false" hidden="false" localSheetId="8" name="PRI_Cash_Taxes" vbProcedure="false">#REF!</definedName>
    <definedName function="false" hidden="false" localSheetId="8" name="PRI_Net_ATCash" vbProcedure="false">#REF!</definedName>
    <definedName function="false" hidden="false" localSheetId="8" name="PRI_Net_Income" vbProcedure="false">#REF!</definedName>
    <definedName function="false" hidden="false" localSheetId="8" name="Saranac_Distributable_Cash" vbProcedure="false">#REF!</definedName>
    <definedName function="false" hidden="false" localSheetId="8" name="Saranac_Net_ATCash" vbProcedure="false">#REF!</definedName>
    <definedName function="false" hidden="false" localSheetId="8" name="Saranac_Net_Income" vbProcedure="false">#REF!</definedName>
    <definedName function="false" hidden="false" localSheetId="8" name="Taxable_Income" vbProcedure="false">#REF!</definedName>
    <definedName function="false" hidden="false" localSheetId="8" name="Tax_Depreciation" vbProcedure="false">#REF!</definedName>
    <definedName function="false" hidden="false" localSheetId="8" name="Yuma_Distributable_Cash" vbProcedure="false">#REF!</definedName>
    <definedName function="false" hidden="false" localSheetId="8" name="Yuma_Net_ATCash" vbProcedure="false">#REF!</definedName>
    <definedName function="false" hidden="false" localSheetId="8" name="Yuma_Net_Income" vbProcedure="false">#REF!</definedName>
    <definedName function="false" hidden="false" localSheetId="8" name="zinc" vbProcedure="false">Gleason!$X$14</definedName>
    <definedName function="false" hidden="false" localSheetId="8" name="Zinc_Distributable_Cash" vbProcedure="false">#REF!</definedName>
    <definedName function="false" hidden="false" localSheetId="8" name="Zinc_Net_ATCash" vbProcedure="false">#REF!</definedName>
    <definedName function="false" hidden="false" localSheetId="8" name="Zinc_Net_Income" vbProcedure="false">#REF!</definedName>
    <definedName function="false" hidden="false" localSheetId="9" name="blm_share" vbProcedure="false">#REF!</definedName>
    <definedName function="false" hidden="false" localSheetId="9" name="coso" vbProcedure="false">#REF!</definedName>
    <definedName function="false" hidden="false" localSheetId="9" name="Coso_Distributable_Cash" vbProcedure="false">#REF!</definedName>
    <definedName function="false" hidden="false" localSheetId="9" name="Coso_Net_ATCash" vbProcedure="false">#REF!</definedName>
    <definedName function="false" hidden="false" localSheetId="9" name="Coso_Net_Income" vbProcedure="false">#REF!</definedName>
    <definedName function="false" hidden="false" localSheetId="9" name="Distributable_Cash" vbProcedure="false">#REF!</definedName>
    <definedName function="false" hidden="false" localSheetId="9" name="Energy_Credit_Coso" vbProcedure="false">#REF!</definedName>
    <definedName function="false" hidden="false" localSheetId="9" name="Energy_Credit_Imperial" vbProcedure="false">#REF!</definedName>
    <definedName function="false" hidden="false" localSheetId="9" name="FPOC_Distributable_Cash" vbProcedure="false">#REF!</definedName>
    <definedName function="false" hidden="false" localSheetId="9" name="FPOC_Net_ATCash" vbProcedure="false">#REF!</definedName>
    <definedName function="false" hidden="false" localSheetId="9" name="FPOC_Net_Income" vbProcedure="false">#REF!</definedName>
    <definedName function="false" hidden="false" localSheetId="9" name="FSGC_ATCash" vbProcedure="false">#REF!</definedName>
    <definedName function="false" hidden="false" localSheetId="9" name="FSGC_Distributable_Cash" vbProcedure="false">#REF!</definedName>
    <definedName function="false" hidden="false" localSheetId="9" name="FSGC_Net_Income" vbProcedure="false">#REF!</definedName>
    <definedName function="false" hidden="false" localSheetId="9" name="Imperial_Distributable_Cash" vbProcedure="false">#REF!</definedName>
    <definedName function="false" hidden="false" localSheetId="9" name="Imperial_Geothermal" vbProcedure="false">#REF!</definedName>
    <definedName function="false" hidden="false" localSheetId="9" name="Imperial_Net_ATCash" vbProcedure="false">#REF!</definedName>
    <definedName function="false" hidden="false" localSheetId="9" name="Imperial_Net_Income" vbProcedure="false">#REF!</definedName>
    <definedName function="false" hidden="false" localSheetId="9" name="Minerals" vbProcedure="false">#REF!</definedName>
    <definedName function="false" hidden="false" localSheetId="9" name="Minerals_Distributable_Cash" vbProcedure="false">#REF!</definedName>
    <definedName function="false" hidden="false" localSheetId="9" name="Minerals_Net_ATCash" vbProcedure="false">#REF!</definedName>
    <definedName function="false" hidden="false" localSheetId="9" name="Minerals_Net_Income" vbProcedure="false">#REF!</definedName>
    <definedName function="false" hidden="false" localSheetId="9" name="navyII_share" vbProcedure="false">#REF!</definedName>
    <definedName function="false" hidden="false" localSheetId="9" name="navyi_share" vbProcedure="false">#REF!</definedName>
    <definedName function="false" hidden="false" localSheetId="9" name="Net_ATCash" vbProcedure="false">#REF!</definedName>
    <definedName function="false" hidden="false" localSheetId="9" name="Net_Income_Unlevered" vbProcedure="false">#REF!</definedName>
    <definedName function="false" hidden="false" localSheetId="9" name="Norcon_Distributable_Cash" vbProcedure="false">#REF!</definedName>
    <definedName function="false" hidden="false" localSheetId="9" name="Norcon_Net_ATCash" vbProcedure="false">#REF!</definedName>
    <definedName function="false" hidden="false" localSheetId="9" name="Norcon_Net_Income" vbProcedure="false">#REF!</definedName>
    <definedName function="false" hidden="false" localSheetId="9" name="PRI_Cash_Taxes" vbProcedure="false">#REF!</definedName>
    <definedName function="false" hidden="false" localSheetId="9" name="PRI_Net_ATCash" vbProcedure="false">#REF!</definedName>
    <definedName function="false" hidden="false" localSheetId="9" name="PRI_Net_Income" vbProcedure="false">#REF!</definedName>
    <definedName function="false" hidden="false" localSheetId="9" name="Saranac_Distributable_Cash" vbProcedure="false">#REF!</definedName>
    <definedName function="false" hidden="false" localSheetId="9" name="Saranac_Net_ATCash" vbProcedure="false">#REF!</definedName>
    <definedName function="false" hidden="false" localSheetId="9" name="Saranac_Net_Income" vbProcedure="false">#REF!</definedName>
    <definedName function="false" hidden="false" localSheetId="9" name="Taxable_Income" vbProcedure="false">#REF!</definedName>
    <definedName function="false" hidden="false" localSheetId="9" name="Tax_Depreciation" vbProcedure="false">#REF!</definedName>
    <definedName function="false" hidden="false" localSheetId="9" name="Yuma_Distributable_Cash" vbProcedure="false">#REF!</definedName>
    <definedName function="false" hidden="false" localSheetId="9" name="Yuma_Net_ATCash" vbProcedure="false">#REF!</definedName>
    <definedName function="false" hidden="false" localSheetId="9" name="Yuma_Net_Income" vbProcedure="false">#REF!</definedName>
    <definedName function="false" hidden="false" localSheetId="9" name="zinc" vbProcedure="false">Wheatland!$X$11</definedName>
    <definedName function="false" hidden="false" localSheetId="9" name="Zinc_Distributable_Cash" vbProcedure="false">Wheatland!$D$99:$U$99</definedName>
    <definedName function="false" hidden="false" localSheetId="9" name="Zinc_Net_ATCash" vbProcedure="false">Wheatland!$D$100:$U$100</definedName>
    <definedName function="false" hidden="false" localSheetId="9" name="Zinc_Net_Income" vbProcedure="false">Wheatland!$D$98:$U$98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<sst xmlns="http://schemas.openxmlformats.org/spreadsheetml/2006/main" count="499" uniqueCount="236">
  <si>
    <t xml:space="preserve">SUMMARY OUTPUT</t>
  </si>
  <si>
    <t xml:space="preserve">SOURCES &amp; USES:</t>
  </si>
  <si>
    <t xml:space="preserve">Sources of Funds</t>
  </si>
  <si>
    <t xml:space="preserve">%</t>
  </si>
  <si>
    <t xml:space="preserve">000 $</t>
  </si>
  <si>
    <t xml:space="preserve">Uses of Funds</t>
  </si>
  <si>
    <t xml:space="preserve">Total Equity </t>
  </si>
  <si>
    <t xml:space="preserve">2000 Plants</t>
  </si>
  <si>
    <t xml:space="preserve">Bond Proceeds</t>
  </si>
  <si>
    <t xml:space="preserve">Total Sources</t>
  </si>
  <si>
    <t xml:space="preserve">Total Uses</t>
  </si>
  <si>
    <t xml:space="preserve">FINANCING ASSUMPTIONS:</t>
  </si>
  <si>
    <t xml:space="preserve">Tranche 1</t>
  </si>
  <si>
    <t xml:space="preserve">Tranche 2</t>
  </si>
  <si>
    <t xml:space="preserve">Tranche 3</t>
  </si>
  <si>
    <t xml:space="preserve">Total</t>
  </si>
  <si>
    <t xml:space="preserve">Debt Financing Summary:</t>
  </si>
  <si>
    <t xml:space="preserve">Debt Closing Date</t>
  </si>
  <si>
    <t xml:space="preserve">Amount ('000 $)</t>
  </si>
  <si>
    <t xml:space="preserve">Term (yrs)</t>
  </si>
  <si>
    <t xml:space="preserve">Final Maturity</t>
  </si>
  <si>
    <t xml:space="preserve">Average Life (yrs)</t>
  </si>
  <si>
    <t xml:space="preserve">Treasury Rate (%) </t>
  </si>
  <si>
    <t xml:space="preserve">Spread (%)</t>
  </si>
  <si>
    <t xml:space="preserve">All-in Coupon Rate (%)</t>
  </si>
  <si>
    <t xml:space="preserve">Interest Income Rate</t>
  </si>
  <si>
    <t xml:space="preserve">Equity Financing Summary:</t>
  </si>
  <si>
    <t xml:space="preserve">Equity Closing Date</t>
  </si>
  <si>
    <t xml:space="preserve">Required After-Tax Rate of Return (%)</t>
  </si>
  <si>
    <t xml:space="preserve">DEPRECIATION ASSUMPTIONS:</t>
  </si>
  <si>
    <t xml:space="preserve">Initial Basis (000 $)</t>
  </si>
  <si>
    <t xml:space="preserve">Year</t>
  </si>
  <si>
    <t xml:space="preserve">Method</t>
  </si>
  <si>
    <t xml:space="preserve">Residual (%)</t>
  </si>
  <si>
    <t xml:space="preserve">Federal &amp; State Tax Depreciation</t>
  </si>
  <si>
    <t xml:space="preserve">Total Project Cost</t>
  </si>
  <si>
    <t xml:space="preserve">MACRS</t>
  </si>
  <si>
    <t xml:space="preserve">Book Depreciation</t>
  </si>
  <si>
    <t xml:space="preserve">SL</t>
  </si>
  <si>
    <t xml:space="preserve">SUMMARY OUTPUT:</t>
  </si>
  <si>
    <t xml:space="preserve">DSCR</t>
  </si>
  <si>
    <t xml:space="preserve">Min</t>
  </si>
  <si>
    <t xml:space="preserve">Avg.</t>
  </si>
  <si>
    <t xml:space="preserve">Merchant Price Period</t>
  </si>
  <si>
    <t xml:space="preserve">Weighted Average Heat Rate (Btu/kWh)</t>
  </si>
  <si>
    <t xml:space="preserve">Summer Capacity (MW)</t>
  </si>
  <si>
    <t xml:space="preserve">Salvage Value (2 x EBITDA) at the end of 20 years ($/kW)</t>
  </si>
  <si>
    <t xml:space="preserve">Equity's After-Tax Returns with Salvage Value (20 yrs)</t>
  </si>
  <si>
    <t xml:space="preserve">GenCo EBITDA (000 $)</t>
  </si>
  <si>
    <t xml:space="preserve">GenCo Net Income (000 $)</t>
  </si>
  <si>
    <t xml:space="preserve">GenCo Pre-Tax Cashflow (000 $)</t>
  </si>
  <si>
    <t xml:space="preserve">GenCo After-Tax Cashflow (000 $)</t>
  </si>
  <si>
    <t xml:space="preserve">ASSUMPTIONS</t>
  </si>
  <si>
    <t xml:space="preserve">TECHNICAL ASSUMPTIONS:</t>
  </si>
  <si>
    <t xml:space="preserve">2000 PROJECTS</t>
  </si>
  <si>
    <t xml:space="preserve">Gleason</t>
  </si>
  <si>
    <t xml:space="preserve">Wheatland</t>
  </si>
  <si>
    <t xml:space="preserve">Wilton</t>
  </si>
  <si>
    <t xml:space="preserve">Number of Turbines</t>
  </si>
  <si>
    <t xml:space="preserve">Summer Heat Rate (HHV, Btu/kWh)</t>
  </si>
  <si>
    <t xml:space="preserve">Numbers of Starts</t>
  </si>
  <si>
    <t xml:space="preserve">PRICING ASSUMPTIONS:</t>
  </si>
  <si>
    <t xml:space="preserve">Fixed Price Demand Charge ($/kW-month)</t>
  </si>
  <si>
    <t xml:space="preserve">Energy Charge ($/MWh)</t>
  </si>
  <si>
    <t xml:space="preserve">Start Charge ($/Start/Turbine)</t>
  </si>
  <si>
    <t xml:space="preserve">Annual Generation (MWh)</t>
  </si>
  <si>
    <t xml:space="preserve">OPERATING COSTS ASSUMPTIONS:</t>
  </si>
  <si>
    <t xml:space="preserve">Variable O&amp;M ($/MWh)</t>
  </si>
  <si>
    <t xml:space="preserve">Major Maintenance ($/Start/Turbine)</t>
  </si>
  <si>
    <t xml:space="preserve">Annual Escalator</t>
  </si>
  <si>
    <t xml:space="preserve">Annual Cost (000$ in Year 2000)</t>
  </si>
  <si>
    <t xml:space="preserve">Fixed O&amp;M</t>
  </si>
  <si>
    <t xml:space="preserve">Variable O&amp;M</t>
  </si>
  <si>
    <t xml:space="preserve">Major Maintenance Per Plant</t>
  </si>
  <si>
    <t xml:space="preserve">Owner's Expense</t>
  </si>
  <si>
    <t xml:space="preserve">Property Tax Liability</t>
  </si>
  <si>
    <t xml:space="preserve">TAX ASSUMPTIONS:</t>
  </si>
  <si>
    <t xml:space="preserve">Federal Income Tax Rate</t>
  </si>
  <si>
    <t xml:space="preserve">State Income Tax Rate</t>
  </si>
  <si>
    <t xml:space="preserve">Adjusted Gross Income Tax</t>
  </si>
  <si>
    <t xml:space="preserve">N/A</t>
  </si>
  <si>
    <t xml:space="preserve">Gross Receipts Tax Rate</t>
  </si>
  <si>
    <t xml:space="preserve">Franchise Tax Rate (Year 1)</t>
  </si>
  <si>
    <t xml:space="preserve">Franchise Tax Rate (Year 2-20)</t>
  </si>
  <si>
    <t xml:space="preserve">POWER PRICE ASSUMPTION</t>
  </si>
  <si>
    <t xml:space="preserve">MERCHANT PRICE PERIOD</t>
  </si>
  <si>
    <t xml:space="preserve">ICF Capacity Price Escalator</t>
  </si>
  <si>
    <t xml:space="preserve">TVA Capacity Curves:</t>
  </si>
  <si>
    <t xml:space="preserve">(for Gleason)</t>
  </si>
  <si>
    <t xml:space="preserve">1998 $</t>
  </si>
  <si>
    <t xml:space="preserve">ICF Base ($/kW-year)</t>
  </si>
  <si>
    <t xml:space="preserve">Nominal $</t>
  </si>
  <si>
    <t xml:space="preserve">ICF Base ($/kW-year )</t>
  </si>
  <si>
    <t xml:space="preserve">Gleason Capacity Price Curve</t>
  </si>
  <si>
    <t xml:space="preserve">Southern ECAR Capacity Curves:</t>
  </si>
  <si>
    <t xml:space="preserve">(for Wheatland)</t>
  </si>
  <si>
    <t xml:space="preserve">Wheatland Capacity Price Curve</t>
  </si>
  <si>
    <t xml:space="preserve">Com Ed Capacity Curves:</t>
  </si>
  <si>
    <t xml:space="preserve">(for Wilton Center)</t>
  </si>
  <si>
    <t xml:space="preserve">Wilton Capacity Price Curve</t>
  </si>
  <si>
    <t xml:space="preserve">GENCO INCOME STATEMENT</t>
  </si>
  <si>
    <t xml:space="preserve">('000 $)</t>
  </si>
  <si>
    <t xml:space="preserve">Revenue</t>
  </si>
  <si>
    <t xml:space="preserve">Merchant Period:</t>
  </si>
  <si>
    <t xml:space="preserve">Demand Payment</t>
  </si>
  <si>
    <t xml:space="preserve">Variable Revenue </t>
  </si>
  <si>
    <t xml:space="preserve">Interest Income</t>
  </si>
  <si>
    <t xml:space="preserve">Total Revenue</t>
  </si>
  <si>
    <t xml:space="preserve">Expense</t>
  </si>
  <si>
    <t xml:space="preserve">Major Maintenance</t>
  </si>
  <si>
    <t xml:space="preserve">Property Taxes</t>
  </si>
  <si>
    <t xml:space="preserve">Franchise Tax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</si>
  <si>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</si>
  <si>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</si>
  <si>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</si>
  <si>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</si>
  <si>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</si>
  <si>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</si>
  <si>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</si>
  <si>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</si>
  <si>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</si>
  <si>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DEBT ISSUANCE</t>
  </si>
  <si>
    <t xml:space="preserve">Principal</t>
  </si>
  <si>
    <t xml:space="preserve">Check</t>
  </si>
  <si>
    <t xml:space="preserve">Beginning Balance</t>
  </si>
  <si>
    <t xml:space="preserve">Interest Payment </t>
  </si>
  <si>
    <t xml:space="preserve">Ending Balance</t>
  </si>
  <si>
    <t xml:space="preserve">Amortization %</t>
  </si>
  <si>
    <t xml:space="preserve">Principal Payment </t>
  </si>
  <si>
    <t xml:space="preserve">Total Debt</t>
  </si>
  <si>
    <t xml:space="preserve">Principal Payments</t>
  </si>
  <si>
    <t xml:space="preserve">Net Debt Service</t>
  </si>
  <si>
    <t xml:space="preserve">ACTUAL DSCR</t>
  </si>
  <si>
    <t xml:space="preserve">Merchant Price Period:</t>
  </si>
  <si>
    <t xml:space="preserve">Minimum</t>
  </si>
  <si>
    <t xml:space="preserve">Average</t>
  </si>
  <si>
    <t xml:space="preserve">Accrued Interest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</si>
  <si>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</si>
  <si>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</si>
  <si>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</si>
  <si>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</si>
  <si>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</si>
  <si>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Time Factor</t>
  </si>
  <si>
    <t xml:space="preserve">Average Life</t>
  </si>
  <si>
    <t xml:space="preserve">ANNUAL CASH FLOW AND IRR</t>
  </si>
  <si>
    <t xml:space="preserve">GENCO CASH FLOW</t>
  </si>
  <si>
    <t xml:space="preserve">Close</t>
  </si>
  <si>
    <t xml:space="preserve">Plus Property Tax Liability</t>
  </si>
  <si>
    <t xml:space="preserve">Less Property Tax Expense</t>
  </si>
  <si>
    <t xml:space="preserve">Less Principal Payments</t>
  </si>
  <si>
    <t xml:space="preserve">Less Interest Payments</t>
  </si>
  <si>
    <t xml:space="preserve">Pre-Tax Cash Flow</t>
  </si>
  <si>
    <t xml:space="preserve">  GenCo's State Tax Benefit/(Expense)</t>
  </si>
  <si>
    <t xml:space="preserve">  GenCo's Federal Tax Benefit/(Expense)</t>
  </si>
  <si>
    <t xml:space="preserve">After-Tax Cash Flow</t>
  </si>
  <si>
    <t xml:space="preserve">IRR Calculation</t>
  </si>
  <si>
    <t xml:space="preserve">Equity's Contribution</t>
  </si>
  <si>
    <t xml:space="preserve">Equity's After-Tax Cashflow</t>
  </si>
  <si>
    <t xml:space="preserve">Salvage Value</t>
  </si>
  <si>
    <t xml:space="preserve">Equity's Net Cashflow</t>
  </si>
  <si>
    <t xml:space="preserve">   IRR</t>
  </si>
  <si>
    <t xml:space="preserve">GENCO DEPRECIATION</t>
  </si>
  <si>
    <t xml:space="preserve">Initial Book Value</t>
  </si>
  <si>
    <t xml:space="preserve">No. of Months in Operation</t>
  </si>
  <si>
    <t xml:space="preserve">% Depreciated</t>
  </si>
  <si>
    <t xml:space="preserve">Beginning Book Value</t>
  </si>
  <si>
    <t xml:space="preserve">Depreciation</t>
  </si>
  <si>
    <t xml:space="preserve">Ending Book Value</t>
  </si>
  <si>
    <t xml:space="preserve">15 Year MACRS Table</t>
  </si>
  <si>
    <t xml:space="preserve">GenCo</t>
  </si>
  <si>
    <t xml:space="preserve">Tax Depreciation</t>
  </si>
  <si>
    <t xml:space="preserve">Project Cost</t>
  </si>
  <si>
    <t xml:space="preserve">Beginning Value</t>
  </si>
  <si>
    <t xml:space="preserve">Ending Value</t>
  </si>
  <si>
    <t xml:space="preserve">Tax Depreciation From Above</t>
  </si>
  <si>
    <t xml:space="preserve">Tax Depreciation From 6 Plants</t>
  </si>
  <si>
    <t xml:space="preserve">Difference</t>
  </si>
  <si>
    <t xml:space="preserve">GENCO FEDERAL TAXES</t>
  </si>
  <si>
    <t xml:space="preserve">STATE TAXES</t>
  </si>
  <si>
    <t xml:space="preserve">Total State Taxes Utilizing NOLs</t>
  </si>
  <si>
    <t xml:space="preserve">FEDERAL TAXES</t>
  </si>
  <si>
    <t xml:space="preserve">Pretax Book Income</t>
  </si>
  <si>
    <t xml:space="preserve">Plus Book Depreciation &amp; Amortization</t>
  </si>
  <si>
    <t xml:space="preserve">Less: Tax Depreciation</t>
  </si>
  <si>
    <t xml:space="preserve">Less: State Taxes</t>
  </si>
  <si>
    <t xml:space="preserve">Federal Taxable Income</t>
  </si>
  <si>
    <t xml:space="preserve">Federal Tax Rate</t>
  </si>
  <si>
    <t xml:space="preserve">Federal Tax Expense/ (Benefit)</t>
  </si>
  <si>
    <t xml:space="preserve">NOL Carryforward</t>
  </si>
  <si>
    <t xml:space="preserve">NOL Utilization</t>
  </si>
  <si>
    <t xml:space="preserve">Total Federal Cash Taxes Payable/(Benefit)</t>
  </si>
  <si>
    <t xml:space="preserve">INCOME STATEMENT - GLEASON</t>
  </si>
  <si>
    <t xml:space="preserve">Property Taxes Liability</t>
  </si>
  <si>
    <t xml:space="preserve">Franchise Tax</t>
  </si>
  <si>
    <t xml:space="preserve">After Tax Book Income</t>
  </si>
  <si>
    <t xml:space="preserve">CASH FLOW - GLEASON</t>
  </si>
  <si>
    <t xml:space="preserve">Debt Service</t>
  </si>
  <si>
    <t xml:space="preserve">Pre Tax Cash Flow</t>
  </si>
  <si>
    <t xml:space="preserve"> State Cash Taxes Benefit (Expense)</t>
  </si>
  <si>
    <t xml:space="preserve"> Federal Cash Taxes Benefit (Expense)</t>
  </si>
  <si>
    <t xml:space="preserve">After Tax Cash Flow</t>
  </si>
  <si>
    <t xml:space="preserve">STATE TAX &amp; FRANCHISE TAX - GLEASON</t>
  </si>
  <si>
    <t xml:space="preserve">FRANCHISE TAX</t>
  </si>
  <si>
    <t xml:space="preserve">Book Value of Assets</t>
  </si>
  <si>
    <t xml:space="preserve">Paid-In-Capital</t>
  </si>
  <si>
    <t xml:space="preserve">Retained Earnings</t>
  </si>
  <si>
    <t xml:space="preserve">Outstanding Debt</t>
  </si>
  <si>
    <t xml:space="preserve">Total Capitalization</t>
  </si>
  <si>
    <t xml:space="preserve">Greater of Book Value and Capitalization</t>
  </si>
  <si>
    <t xml:space="preserve">State Franchise Tax Rate</t>
  </si>
  <si>
    <t xml:space="preserve">State Franchise Tax Liability</t>
  </si>
  <si>
    <t xml:space="preserve">Less Tax Depreciation</t>
  </si>
  <si>
    <t xml:space="preserve">State Taxable Income</t>
  </si>
  <si>
    <t xml:space="preserve">Current State Income Tax Expense (Benefit)</t>
  </si>
  <si>
    <t xml:space="preserve">Beginning NOL's</t>
  </si>
  <si>
    <t xml:space="preserve">New NOL's</t>
  </si>
  <si>
    <t xml:space="preserve">Expired NOL's</t>
  </si>
  <si>
    <t xml:space="preserve">Ending NOL's</t>
  </si>
  <si>
    <t xml:space="preserve">INCOME STATEMENT - WHEATLAND</t>
  </si>
  <si>
    <t xml:space="preserve">CASH FLOW - WHEATLAND</t>
  </si>
  <si>
    <t xml:space="preserve">STATE TAX &amp; SUPPLEMENTAL TAX - WHEATLAND</t>
  </si>
  <si>
    <t xml:space="preserve">SUPPLEMENTAL TAXES</t>
  </si>
  <si>
    <t xml:space="preserve">Adjusted Gross Income Rate</t>
  </si>
  <si>
    <t xml:space="preserve">State Adjusted Gross Income Tax</t>
  </si>
  <si>
    <t xml:space="preserve">State Gross Receipts Taxes</t>
  </si>
  <si>
    <t xml:space="preserve">Gross Receipts</t>
  </si>
  <si>
    <t xml:space="preserve">Gross Receipts Tax Liability</t>
  </si>
  <si>
    <t xml:space="preserve">Greater of Adjusted or Gross Receipts</t>
  </si>
  <si>
    <t xml:space="preserve">Total State &amp; Misc. Taxes</t>
  </si>
  <si>
    <t xml:space="preserve">INCOME STATEMENT - WILTON</t>
  </si>
  <si>
    <t xml:space="preserve">CASH FLOW - WILTON</t>
  </si>
  <si>
    <t xml:space="preserve">STATE TAX &amp; FRANCHISE TAX - WILTON</t>
  </si>
  <si>
    <t xml:space="preserve">ALLOCATION</t>
  </si>
  <si>
    <t xml:space="preserve">Project</t>
  </si>
  <si>
    <t xml:space="preserve">By Project Cost</t>
  </si>
  <si>
    <t xml:space="preserve">By Cashflow</t>
  </si>
</sst>
</file>

<file path=xl/styles.xml><?xml version="1.0" encoding="utf-8"?>
<styleSheet xmlns="http://schemas.openxmlformats.org/spreadsheetml/2006/main">
  <numFmts count="9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[$-409]m/d/yyyy"/>
    <numFmt numFmtId="169" formatCode="mm/dd/yy"/>
    <numFmt numFmtId="170" formatCode="[$-409]#,##0_);[RED]\(#,##0\)"/>
    <numFmt numFmtId="171" formatCode="\$#,##0_);[RED]&quot;($&quot;#,##0\)"/>
    <numFmt numFmtId="172" formatCode="_(* #,##0.000000_);_(* \(#,##0.000000\);_(* \-??_);_(@_)"/>
    <numFmt numFmtId="173" formatCode="0.000000000_)"/>
    <numFmt numFmtId="174" formatCode="0.000E+00_)"/>
    <numFmt numFmtId="175" formatCode="\$#,##0;[RED]\$#,##0"/>
    <numFmt numFmtId="176" formatCode="\$#,##0.0000000_);[RED]&quot;($&quot;#,##0.0000000\)"/>
    <numFmt numFmtId="177" formatCode="0.000000\x_);\(0.000000&quot;x)&quot;"/>
    <numFmt numFmtId="178" formatCode="0.0000000%"/>
    <numFmt numFmtId="179" formatCode="0.000000%"/>
    <numFmt numFmtId="180" formatCode="[$-409]#,##0.00_);[RED]\(#,##0.00\)"/>
    <numFmt numFmtId="181" formatCode="\$#,##0.00_);[RED]&quot;($&quot;#,##0.00\)"/>
    <numFmt numFmtId="182" formatCode="_(\$* #,##0.000_);_(\$* \(#,##0.000\);_(\$* \-??_);_(@_)"/>
    <numFmt numFmtId="183" formatCode="0.0000000000"/>
    <numFmt numFmtId="184" formatCode="m/yy"/>
    <numFmt numFmtId="185" formatCode="_(* #,##0.0000_);_(* \(#,##0.0000\);_(* \-????_);_(@_)"/>
    <numFmt numFmtId="186" formatCode="_(* #,##0_);_(* \(#,##0\);_(* \-_);_(@_)"/>
    <numFmt numFmtId="187" formatCode="\$#,##0.0000000_);&quot;($&quot;#,##0.0000000\)"/>
    <numFmt numFmtId="188" formatCode="0.000000000000000%"/>
    <numFmt numFmtId="189" formatCode="_ &quot;$ &quot;* #,##0_ ;_ &quot;$ &quot;* \-#,##0_ ;_ &quot;$ &quot;* \-_ ;_ @_ "/>
    <numFmt numFmtId="190" formatCode="\$#,##0;&quot;($&quot;#,##0\)"/>
    <numFmt numFmtId="191" formatCode="#,##0.0000000000_);[RED]\(#,##0.0000000000\)"/>
    <numFmt numFmtId="192" formatCode="0.000"/>
    <numFmt numFmtId="193" formatCode="_ * #,##0_ ;_ * \-#,##0_ ;_ * \-_ ;_ @_ "/>
    <numFmt numFmtId="194" formatCode="_(* #,##0.0_);_(* \(#,##0.0\);_(* \-?_);_(@_)"/>
    <numFmt numFmtId="195" formatCode="_(* #,##0.00_);_(* \(#,##0.00\);_(* \-??_);_(@_)"/>
    <numFmt numFmtId="196" formatCode="#,##0.00"/>
    <numFmt numFmtId="197" formatCode="#,##0.00000000_);[RED]\(#,##0.00000000\)"/>
    <numFmt numFmtId="198" formatCode="0_);[RED]\(0\)"/>
    <numFmt numFmtId="199" formatCode="0E+00"/>
    <numFmt numFmtId="200" formatCode="_ * #,##0.00_ ;_ * \-#,##0.00_ ;_ * \-??_ ;_ @_ "/>
    <numFmt numFmtId="201" formatCode="0.000000%;\-0.000000%;&quot; -&quot;_%;@_%"/>
    <numFmt numFmtId="202" formatCode="_(\$* #,##0_);_(\$* \(#,##0\);_(\$* \-_);_(@_)"/>
    <numFmt numFmtId="203" formatCode="mmm\-dd"/>
    <numFmt numFmtId="204" formatCode="_(* #,##0.0000000000_);_(* \(#,##0.0000000000\);_(* \-_);_(@_)"/>
    <numFmt numFmtId="205" formatCode="0.00000000000000000%"/>
    <numFmt numFmtId="206" formatCode="0.0000_)"/>
    <numFmt numFmtId="207" formatCode="#,##0.000_);\(#,##0.000\)"/>
    <numFmt numFmtId="208" formatCode="_(\$* #,##0.00000_);_(\$* \(#,##0.00000\);_(\$* \-??_);_(@_)"/>
    <numFmt numFmtId="209" formatCode="#,##0.000000_);[RED]\(#,##0.000000\)"/>
    <numFmt numFmtId="210" formatCode="#,##0;\(#,##0\)"/>
    <numFmt numFmtId="211" formatCode="\$#,##0.000000000_);&quot;($&quot;#,##0.000000000\)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[$-409]#,##0.00_);\(#,##0.00\)"/>
    <numFmt numFmtId="244" formatCode="0.000%"/>
    <numFmt numFmtId="245" formatCode="0.00\x"/>
    <numFmt numFmtId="246" formatCode="_(* #,##0_);_(* \(#,##0\);_(* \-??_);_(@_)"/>
    <numFmt numFmtId="247" formatCode="\$#,##0.00_);&quot;($&quot;#,##0.00\)"/>
    <numFmt numFmtId="248" formatCode="0.0"/>
    <numFmt numFmtId="249" formatCode="0.00\x_);\(0.00&quot;x)&quot;"/>
    <numFmt numFmtId="250" formatCode="_(* #,##0.0_);_(* \(#,##0.0\);_(* \-??_);_(@_)"/>
    <numFmt numFmtId="251" formatCode="0.0000"/>
    <numFmt numFmtId="252" formatCode="_(\$* #,##0_);_(\$* \(#,##0\);_(\$* \-??_);_(@_)"/>
    <numFmt numFmtId="253" formatCode="[$-409]mmm\-yy"/>
  </numFmts>
  <fonts count="8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00"/>
      <name val="Arial"/>
      <family val="2"/>
    </font>
    <font>
      <i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0000"/>
      <name val="Arial"/>
      <family val="2"/>
    </font>
    <font>
      <i val="true"/>
      <sz val="10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u val="single"/>
      <sz val="10"/>
      <color rgb="FF800080"/>
      <name val="Arial"/>
      <family val="2"/>
    </font>
    <font>
      <sz val="10"/>
      <color rgb="FFFF0000"/>
      <name val="Arial"/>
      <family val="2"/>
    </font>
    <font>
      <b val="true"/>
      <sz val="14"/>
      <color rgb="FF000000"/>
      <name val="Arial"/>
      <family val="2"/>
    </font>
    <font>
      <sz val="10"/>
      <color rgb="FFFFFFFF"/>
      <name val="Arial"/>
      <family val="2"/>
    </font>
    <font>
      <b val="true"/>
      <sz val="8"/>
      <name val="Arial"/>
      <family val="2"/>
    </font>
    <font>
      <u val="single"/>
      <sz val="8"/>
      <name val="Arial"/>
      <family val="2"/>
    </font>
    <font>
      <u val="single"/>
      <sz val="10"/>
      <color rgb="FF000000"/>
      <name val="Arial"/>
      <family val="2"/>
    </font>
    <font>
      <b val="true"/>
      <sz val="11"/>
      <name val="Arial"/>
      <family val="2"/>
    </font>
    <font>
      <b val="true"/>
      <u val="single"/>
      <sz val="8"/>
      <name val="Arial"/>
      <family val="2"/>
    </font>
    <font>
      <i val="true"/>
      <u val="single"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9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4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6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6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6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6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5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6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6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1" fontId="59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9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3" fontId="9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9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9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3" fillId="0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6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8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5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6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6" fontId="7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63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9" fontId="6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6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6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6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5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5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4" fontId="6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3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5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7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9" fillId="1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9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9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1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2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9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4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2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2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1" fontId="12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79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79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1" fontId="12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5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5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5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3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4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7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???_demand analysisrevised_BasePowerModel-2-7-00" xfId="27"/>
    <cellStyle name="?? [0]_?????_demand analysisrevised" xfId="28"/>
    <cellStyle name="?? [0]_?????_demand analysisrevised_BasePowerModel-2-7-00" xfId="29"/>
    <cellStyle name="?? [0]_???_demand analysisrevised" xfId="30"/>
    <cellStyle name="?? [0]_???_demand analysisrevised_BasePowerModel-2-7-00" xfId="31"/>
    <cellStyle name="?? [0]_??_demand analysisrevised" xfId="32"/>
    <cellStyle name="?? [0]_??_demand analysisrevised_BasePowerModel-2-7-00" xfId="33"/>
    <cellStyle name="?? [0]_dimon" xfId="34"/>
    <cellStyle name="?? [0]_dimon_BasePowerModel-2-7-00" xfId="35"/>
    <cellStyle name="?? [0]_form" xfId="36"/>
    <cellStyle name="?? [0]_form_demand analysisrevised" xfId="37"/>
    <cellStyle name="?? [0]_form_demand analysisrevised_BasePowerModel-2-7-00" xfId="38"/>
    <cellStyle name="?? [0]_laroux" xfId="39"/>
    <cellStyle name="?? [0]_laroux_1" xfId="40"/>
    <cellStyle name="?? [0]_laroux_1_demand analysisrevised" xfId="41"/>
    <cellStyle name="?? [0]_laroux_2" xfId="42"/>
    <cellStyle name="?? [0]_laroux_demand analysisrevised" xfId="43"/>
    <cellStyle name="?? [0]_laroux_demand analysisrevised_BasePowerModel-2-7-00" xfId="44"/>
    <cellStyle name="?? [0]_PERSONAL" xfId="45"/>
    <cellStyle name="?? [0]_PERSONAL_1" xfId="46"/>
    <cellStyle name="?? [0]_PERSONAL_1_demand analysisrevised" xfId="47"/>
    <cellStyle name="?? [0]_PERSONAL_2" xfId="48"/>
    <cellStyle name="?? [0]_PERSONAL_2_demand analysisrevised" xfId="49"/>
    <cellStyle name="?? [0]_PERSONAL_3" xfId="50"/>
    <cellStyle name="?? [0]_PERSONAL_3_BasePowerModel-2-7-00" xfId="51"/>
    <cellStyle name="?? [0]_PERSONAL_demand analysisrevised" xfId="52"/>
    <cellStyle name="?? [0]_Sheet2" xfId="53"/>
    <cellStyle name="??_94???" xfId="54"/>
    <cellStyle name="??_94???_demand analysisrevised" xfId="55"/>
    <cellStyle name="??_970120" xfId="56"/>
    <cellStyle name="??_97???" xfId="57"/>
    <cellStyle name="??_?.????" xfId="58"/>
    <cellStyle name="??_??" xfId="59"/>
    <cellStyle name="??_???" xfId="60"/>
    <cellStyle name="??_????" xfId="61"/>
    <cellStyle name="??_?????" xfId="62"/>
    <cellStyle name="??_?????_1" xfId="63"/>
    <cellStyle name="??_?????_2" xfId="64"/>
    <cellStyle name="??_?????_???" xfId="65"/>
    <cellStyle name="??_?????_???_demand analysisrevised" xfId="66"/>
    <cellStyle name="??_?????_???_demand analysisrevised_1" xfId="67"/>
    <cellStyle name="??_?????_demand analysisrevised" xfId="68"/>
    <cellStyle name="??_?????_demand analysisrevised_1" xfId="69"/>
    <cellStyle name="??_????_1" xfId="70"/>
    <cellStyle name="??_???_demand analysisrevised" xfId="71"/>
    <cellStyle name="??_???_demand analysisrevised_1" xfId="72"/>
    <cellStyle name="??_??_1" xfId="73"/>
    <cellStyle name="??_??_????" xfId="74"/>
    <cellStyle name="??_??_????_demand analysisrevised" xfId="75"/>
    <cellStyle name="??_??_demand analysisrevised" xfId="76"/>
    <cellStyle name="??_??_demand analysisrevised_1" xfId="77"/>
    <cellStyle name="??_??_demand analysisrevised_2" xfId="78"/>
    <cellStyle name="??_BEBU_GI" xfId="79"/>
    <cellStyle name="??_dimon" xfId="80"/>
    <cellStyle name="??_dimon_demand analysisrevised" xfId="81"/>
    <cellStyle name="??_form" xfId="82"/>
    <cellStyle name="??_form_demand analysisrevised" xfId="83"/>
    <cellStyle name="??_form_demand analysisrevised_1" xfId="84"/>
    <cellStyle name="??_ga_PB" xfId="85"/>
    <cellStyle name="??_laroux" xfId="86"/>
    <cellStyle name="??_laroux_1" xfId="87"/>
    <cellStyle name="??_laroux_1_demand analysisrevised" xfId="88"/>
    <cellStyle name="??_laroux_1_demand analysisrevised_1" xfId="89"/>
    <cellStyle name="??_laroux_2" xfId="90"/>
    <cellStyle name="??_laroux_2_demand analysisrevised" xfId="91"/>
    <cellStyle name="??_laroux_3" xfId="92"/>
    <cellStyle name="??_laroux_4" xfId="93"/>
    <cellStyle name="??_laroux_5" xfId="94"/>
    <cellStyle name="??_laroux_6" xfId="95"/>
    <cellStyle name="??_laroux_7" xfId="96"/>
    <cellStyle name="??_laroux_8" xfId="97"/>
    <cellStyle name="??_laroux_demand analysisrevised" xfId="98"/>
    <cellStyle name="??_laroux_demand analysisrevised_1" xfId="99"/>
    <cellStyle name="??_PERSONAL" xfId="100"/>
    <cellStyle name="??_PERSONAL_1" xfId="101"/>
    <cellStyle name="??_PERSONAL_1_demand analysisrevised" xfId="102"/>
    <cellStyle name="??_PERSONAL_1_demand analysisrevised_1" xfId="103"/>
    <cellStyle name="??_PERSONAL_2" xfId="104"/>
    <cellStyle name="??_PERSONAL_2_demand analysisrevised" xfId="105"/>
    <cellStyle name="??_PERSONAL_2_demand analysisrevised_1" xfId="106"/>
    <cellStyle name="??_PERSONAL_3" xfId="107"/>
    <cellStyle name="??_PERSONAL_3_demand analysisrevised" xfId="108"/>
    <cellStyle name="??_PERSONAL_4" xfId="109"/>
    <cellStyle name="??_PERSONAL_demand analysisrevised" xfId="110"/>
    <cellStyle name="??_PERSONAL_demand analysisrevised_1" xfId="111"/>
    <cellStyle name="??_Query11" xfId="112"/>
    <cellStyle name="??_Sheet1" xfId="113"/>
    <cellStyle name="??_Sheet1 (2)" xfId="114"/>
    <cellStyle name="??_Sheet2" xfId="115"/>
    <cellStyle name="??_Sheet2_demand analysisrevised" xfId="116"/>
    <cellStyle name="Actual Date" xfId="117"/>
    <cellStyle name="Comma [0]_12matrix" xfId="118"/>
    <cellStyle name="Comma [0]_1995" xfId="119"/>
    <cellStyle name="Comma [0]_A" xfId="120"/>
    <cellStyle name="Comma [0]_A_dimon" xfId="121"/>
    <cellStyle name="Comma [0]_A_dimon_1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Assumptions_dimon" xfId="133"/>
    <cellStyle name="Comma [0]_Assumptions_summary" xfId="134"/>
    <cellStyle name="Comma [0]_B" xfId="135"/>
    <cellStyle name="Comma [0]_bahiadefault" xfId="136"/>
    <cellStyle name="Comma [0]_Book3" xfId="137"/>
    <cellStyle name="Comma [0]_BOP" xfId="138"/>
    <cellStyle name="Comma [0]_BOPBAL1" xfId="139"/>
    <cellStyle name="Comma [0]_BOPCBU" xfId="140"/>
    <cellStyle name="Comma [0]_BOPCBU (2)" xfId="141"/>
    <cellStyle name="Comma [0]_BOPCBU96" xfId="142"/>
    <cellStyle name="Comma [0]_BSAPPE.XLS" xfId="143"/>
    <cellStyle name="Comma [0]_Calculations" xfId="144"/>
    <cellStyle name="Comma [0]_Calculations (2)" xfId="145"/>
    <cellStyle name="Comma [0]_Calculations II" xfId="146"/>
    <cellStyle name="Comma [0]_Calculations III" xfId="147"/>
    <cellStyle name="Comma [0]_Calculations_1" xfId="148"/>
    <cellStyle name="Comma [0]_CAPEX" xfId="149"/>
    <cellStyle name="Comma [0]_CAPEX94" xfId="150"/>
    <cellStyle name="Comma [0]_CapInt" xfId="151"/>
    <cellStyle name="Comma [0]_Cashflow" xfId="152"/>
    <cellStyle name="Comma [0]_CBU BOX CHART V PLAN" xfId="153"/>
    <cellStyle name="Comma [0]_CCA" xfId="154"/>
    <cellStyle name="Comma [0]_CCOCPX" xfId="155"/>
    <cellStyle name="Comma [0]_CFMODEL" xfId="156"/>
    <cellStyle name="Comma [0]_CFTEST49" xfId="157"/>
    <cellStyle name="Comma [0]_CHANGES.XLS" xfId="158"/>
    <cellStyle name="Comma [0]_Charts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Curve_Economics" xfId="165"/>
    <cellStyle name="Comma [0]_DEFAULT" xfId="166"/>
    <cellStyle name="Comma [0]_DeskCurves" xfId="167"/>
    <cellStyle name="Comma [0]_dimon" xfId="168"/>
    <cellStyle name="Comma [0]_Dowell C1b" xfId="169"/>
    <cellStyle name="Comma [0]_Dowell-C1a" xfId="170"/>
    <cellStyle name="Comma [0]_E&amp;ONW1" xfId="171"/>
    <cellStyle name="Comma [0]_E&amp;ONW2" xfId="172"/>
    <cellStyle name="Comma [0]_E&amp;OOCPX" xfId="173"/>
    <cellStyle name="Comma [0]_emserdefault" xfId="174"/>
    <cellStyle name="Comma [0]_EVER1" xfId="175"/>
    <cellStyle name="Comma [0]_F&amp;COCPX" xfId="176"/>
    <cellStyle name="Comma [0]_FEBRUARY" xfId="177"/>
    <cellStyle name="Comma [0]_FF" xfId="178"/>
    <cellStyle name="Comma [0]_FP 20 A (1)" xfId="179"/>
    <cellStyle name="Comma [0]_FP 20 A (2)" xfId="180"/>
    <cellStyle name="Comma [0]_FP-20 (App. E)" xfId="181"/>
    <cellStyle name="Comma [0]_FP-20 (App.A) " xfId="182"/>
    <cellStyle name="Comma [0]_FP-20 (App.D)" xfId="183"/>
    <cellStyle name="Comma [0]_FP-20(App.B)" xfId="184"/>
    <cellStyle name="Comma [0]_FP-20(C1) (a)" xfId="185"/>
    <cellStyle name="Comma [0]_FP-20(C1) (a) (2)" xfId="186"/>
    <cellStyle name="Comma [0]_FP-20(C1) (b)" xfId="187"/>
    <cellStyle name="Comma [0]_FP-20(C1) (b) " xfId="188"/>
    <cellStyle name="Comma [0]_FP-20(C1) (b) (2)" xfId="189"/>
    <cellStyle name="Comma [0]_GASDATA1" xfId="190"/>
    <cellStyle name="Comma [0]_GASDATA1 (2)" xfId="191"/>
    <cellStyle name="Comma [0]_GCM" xfId="192"/>
    <cellStyle name="Comma [0]_GenAssum" xfId="193"/>
    <cellStyle name="Comma [0]_GenMod" xfId="194"/>
    <cellStyle name="Comma [0]_GP C1a" xfId="195"/>
    <cellStyle name="Comma [0]_GP C1b" xfId="196"/>
    <cellStyle name="Comma [0]_GP_EI_3" xfId="197"/>
    <cellStyle name="Comma [0]_GQ C1A" xfId="198"/>
    <cellStyle name="Comma [0]_GQ C1B" xfId="199"/>
    <cellStyle name="Comma [0]_H" xfId="200"/>
    <cellStyle name="Comma [0]_Inputs" xfId="201"/>
    <cellStyle name="Comma [0]_Int. Data Table" xfId="202"/>
    <cellStyle name="Comma [0]_IPM C1b" xfId="203"/>
    <cellStyle name="Comma [0]_IPMC1a" xfId="204"/>
    <cellStyle name="Comma [0]_IPP" xfId="205"/>
    <cellStyle name="Comma [0]_IS-Hold" xfId="206"/>
    <cellStyle name="Comma [0]_ITOCPX" xfId="207"/>
    <cellStyle name="Comma [0]_jancf" xfId="208"/>
    <cellStyle name="Comma [0]_JUNMTH55" xfId="209"/>
    <cellStyle name="Comma [0]_JUNMTH57" xfId="210"/>
    <cellStyle name="Comma [0]_JUNYTD55" xfId="211"/>
    <cellStyle name="Comma [0]_JUNYTD57" xfId="212"/>
    <cellStyle name="Comma [0]_laroux" xfId="213"/>
    <cellStyle name="Comma [0]_laroux_1" xfId="214"/>
    <cellStyle name="Comma [0]_laroux_1995" xfId="215"/>
    <cellStyle name="Comma [0]_laroux_1_dimon" xfId="216"/>
    <cellStyle name="Comma [0]_laroux_1_dimon_1" xfId="217"/>
    <cellStyle name="Comma [0]_laroux_1_laroux" xfId="218"/>
    <cellStyle name="Comma [0]_laroux_1_pldt" xfId="219"/>
    <cellStyle name="Comma [0]_laroux_1_PLDT_dimon" xfId="220"/>
    <cellStyle name="Comma [0]_laroux_1_VERA" xfId="221"/>
    <cellStyle name="Comma [0]_laroux_1_VIRUS-EDY" xfId="222"/>
    <cellStyle name="Comma [0]_laroux_2" xfId="223"/>
    <cellStyle name="Comma [0]_laroux_2_dimon" xfId="224"/>
    <cellStyle name="Comma [0]_laroux_2_dimon_1" xfId="225"/>
    <cellStyle name="Comma [0]_laroux_2_dimon_2" xfId="226"/>
    <cellStyle name="Comma [0]_laroux_2_laroux" xfId="227"/>
    <cellStyle name="Comma [0]_laroux_2_laroux_dimon" xfId="228"/>
    <cellStyle name="Comma [0]_laroux_2_pldt" xfId="229"/>
    <cellStyle name="Comma [0]_laroux_2_VERA" xfId="230"/>
    <cellStyle name="Comma [0]_laroux_3" xfId="231"/>
    <cellStyle name="Comma [0]_laroux_3_dimon" xfId="232"/>
    <cellStyle name="Comma [0]_laroux_dimon" xfId="233"/>
    <cellStyle name="Comma [0]_laroux_dimon_1" xfId="234"/>
    <cellStyle name="Comma [0]_laroux_laroux" xfId="235"/>
    <cellStyle name="Comma [0]_laroux_laroux_1" xfId="236"/>
    <cellStyle name="Comma [0]_laroux_laroux_dimon" xfId="237"/>
    <cellStyle name="Comma [0]_laroux_MATERAL2" xfId="238"/>
    <cellStyle name="Comma [0]_laroux_MATERAL2_dimon" xfId="239"/>
    <cellStyle name="Comma [0]_laroux_MATERAL2_laroux" xfId="240"/>
    <cellStyle name="Comma [0]_laroux_MATERAL2_laroux_dimon" xfId="241"/>
    <cellStyle name="Comma [0]_laroux_MATERAL2_pldt" xfId="242"/>
    <cellStyle name="Comma [0]_laroux_MATERAL2_VERA" xfId="243"/>
    <cellStyle name="Comma [0]_laroux_MATERAL2_VIRUS-EDY" xfId="244"/>
    <cellStyle name="Comma [0]_laroux_mud plant bolted" xfId="245"/>
    <cellStyle name="Comma [0]_laroux_mud plant bolted_dimon" xfId="246"/>
    <cellStyle name="Comma [0]_laroux_mud plant bolted_dimon_1" xfId="247"/>
    <cellStyle name="Comma [0]_laroux_pldt" xfId="248"/>
    <cellStyle name="Comma [0]_laroux_VERA" xfId="249"/>
    <cellStyle name="Comma [0]_laroux_VERA_1" xfId="250"/>
    <cellStyle name="Comma [0]_laroux_VIRUS-EDY" xfId="251"/>
    <cellStyle name="Comma [0]_MATERAL2" xfId="252"/>
    <cellStyle name="Comma [0]_MATERAL2_dimon" xfId="253"/>
    <cellStyle name="Comma [0]_MATERAL2_dimon_1" xfId="254"/>
    <cellStyle name="Comma [0]_MKGOCPX" xfId="255"/>
    <cellStyle name="Comma [0]_MOBCPX" xfId="256"/>
    <cellStyle name="Comma [0]_Module1" xfId="257"/>
    <cellStyle name="Comma [0]_mud plant bolted" xfId="258"/>
    <cellStyle name="Comma [0]_mud plant bolted_dimon" xfId="259"/>
    <cellStyle name="Comma [0]_mud plant bolted_laroux" xfId="260"/>
    <cellStyle name="Comma [0]_mud plant bolted_laroux_dimon" xfId="261"/>
    <cellStyle name="Comma [0]_mud plant bolted_pldt" xfId="262"/>
    <cellStyle name="Comma [0]_mud plant bolted_VERA" xfId="263"/>
    <cellStyle name="Comma [0]_mud plant bolted_VIRUS-EDY" xfId="264"/>
    <cellStyle name="Comma [0]_NA WITHOUT GOV'T &amp; PNX" xfId="265"/>
    <cellStyle name="Comma [0]_NAOBU10" xfId="266"/>
    <cellStyle name="Comma [0]_NAT ACCT" xfId="267"/>
    <cellStyle name="Comma [0]_NSACTUAL.XLS" xfId="268"/>
    <cellStyle name="Comma [0]_NX00" xfId="269"/>
    <cellStyle name="Comma [0]_Odner" xfId="270"/>
    <cellStyle name="Comma [0]_Odner (2)" xfId="271"/>
    <cellStyle name="Comma [0]_Odner (3)" xfId="272"/>
    <cellStyle name="Comma [0]_OFFDATA1" xfId="273"/>
    <cellStyle name="Comma [0]_OFFDATA1 (2)" xfId="274"/>
    <cellStyle name="Comma [0]_Operations" xfId="275"/>
    <cellStyle name="Comma [0]_opsmacro" xfId="276"/>
    <cellStyle name="Comma [0]_OSMOCPX" xfId="277"/>
    <cellStyle name="Comma [0]_Other Months" xfId="278"/>
    <cellStyle name="Comma [0]_Outlook" xfId="279"/>
    <cellStyle name="Comma [0]_pbdefault" xfId="280"/>
    <cellStyle name="Comma [0]_percentages" xfId="281"/>
    <cellStyle name="Comma [0]_PERSONAL" xfId="282"/>
    <cellStyle name="Comma [0]_PGMKOCPX" xfId="283"/>
    <cellStyle name="Comma [0]_PGNW1" xfId="284"/>
    <cellStyle name="Comma [0]_PGNW2" xfId="285"/>
    <cellStyle name="Comma [0]_PGNWOCPX" xfId="286"/>
    <cellStyle name="Comma [0]_Pink" xfId="287"/>
    <cellStyle name="Comma [0]_PKDATA1" xfId="288"/>
    <cellStyle name="Comma [0]_PKDATA1 (2)" xfId="289"/>
    <cellStyle name="Comma [0]_Plan" xfId="290"/>
    <cellStyle name="Comma [0]_PLANT" xfId="291"/>
    <cellStyle name="Comma [0]_PLDT" xfId="292"/>
    <cellStyle name="Comma [0]_pldt_1" xfId="293"/>
    <cellStyle name="Comma [0]_PLDT_1_dimon" xfId="294"/>
    <cellStyle name="Comma [0]_pldt_Calculations" xfId="295"/>
    <cellStyle name="Comma [0]_PLDT_dimon" xfId="296"/>
    <cellStyle name="Comma [0]_priccurv" xfId="297"/>
    <cellStyle name="Comma [0]_PriceCurve" xfId="298"/>
    <cellStyle name="Comma [0]_PriceCurve_1" xfId="299"/>
    <cellStyle name="Comma [0]_PROCDS&amp;G" xfId="300"/>
    <cellStyle name="Comma [0]_PROFILE4" xfId="301"/>
    <cellStyle name="Comma [0]_Projects" xfId="302"/>
    <cellStyle name="Comma [0]_Quarter End Months" xfId="303"/>
    <cellStyle name="Comma [0]_r1" xfId="304"/>
    <cellStyle name="Comma [0]_RFI" xfId="305"/>
    <cellStyle name="Comma [0]_RFI_1" xfId="306"/>
    <cellStyle name="Comma [0]_Sales Order" xfId="307"/>
    <cellStyle name="Comma [0]_SATOCPX" xfId="308"/>
    <cellStyle name="Comma [0]_ScreeningModel" xfId="309"/>
    <cellStyle name="Comma [0]_SELECT" xfId="310"/>
    <cellStyle name="Comma [0]_SHEET" xfId="311"/>
    <cellStyle name="Comma [0]_Sheet1" xfId="312"/>
    <cellStyle name="Comma [0]_Sheet1_dimon" xfId="313"/>
    <cellStyle name="Comma [0]_SHENREPT" xfId="314"/>
    <cellStyle name="Comma [0]_Snr. CO" xfId="315"/>
    <cellStyle name="Comma [0]_sprint contr" xfId="316"/>
    <cellStyle name="Comma [0]_Subcont File" xfId="317"/>
    <cellStyle name="Comma [0]_SUMMARY" xfId="318"/>
    <cellStyle name="Comma [0]_Summary Info" xfId="319"/>
    <cellStyle name="Comma [0]_SUMPAGE" xfId="320"/>
    <cellStyle name="Comma [0]_Template" xfId="321"/>
    <cellStyle name="Comma [0]_TMSNW1" xfId="322"/>
    <cellStyle name="Comma [0]_TMSNW2" xfId="323"/>
    <cellStyle name="Comma [0]_TMSOCPX" xfId="324"/>
    <cellStyle name="Comma [0]_TOTAL MTH" xfId="325"/>
    <cellStyle name="Comma [0]_TOTAL YTD" xfId="326"/>
    <cellStyle name="Comma [0]_TRANSDSC.XLS" xfId="327"/>
    <cellStyle name="Comma [0]_TRANSFXA.XLS" xfId="328"/>
    <cellStyle name="Comma [0]_TRANSFXA.XLS_1" xfId="329"/>
    <cellStyle name="Comma [0]_TRANSIME.XLS" xfId="330"/>
    <cellStyle name="Comma [0]_TRANSIME.XLS_TRANSDSC.XLS" xfId="331"/>
    <cellStyle name="Comma [0]_TRANSIME.XLS_TRANSFXA.XLS" xfId="332"/>
    <cellStyle name="Comma [0]_VIRUS-EDY" xfId="333"/>
    <cellStyle name="Comma [0]_White" xfId="334"/>
    <cellStyle name="Comma [0]_WO Var. &amp; Tot. Exp." xfId="335"/>
    <cellStyle name="Comma [0]_WSP" xfId="336"/>
    <cellStyle name="Comma [0]_yrcao" xfId="337"/>
    <cellStyle name="Comma [0]_YREND55" xfId="338"/>
    <cellStyle name="Comma [0]_YREND57" xfId="339"/>
    <cellStyle name="Comma [0]_YTDCUR" xfId="340"/>
    <cellStyle name="Comma_12matrix" xfId="341"/>
    <cellStyle name="Comma_1995" xfId="342"/>
    <cellStyle name="Comma_A" xfId="343"/>
    <cellStyle name="Comma_A_dimon" xfId="344"/>
    <cellStyle name="Comma_A_dimon_1" xfId="345"/>
    <cellStyle name="Comma_ACTUAL" xfId="346"/>
    <cellStyle name="Comma_ACTUAL NA -OBU" xfId="347"/>
    <cellStyle name="Comma_Actual vs." xfId="348"/>
    <cellStyle name="Comma_algasdefault" xfId="349"/>
    <cellStyle name="Comma_algasdefault_1" xfId="350"/>
    <cellStyle name="Comma_Alternative1" xfId="351"/>
    <cellStyle name="Comma_Alternative1_1" xfId="352"/>
    <cellStyle name="Comma_App E" xfId="353"/>
    <cellStyle name="Comma_Apr" xfId="354"/>
    <cellStyle name="Comma_Arapahoe" xfId="355"/>
    <cellStyle name="Comma_Assumptions" xfId="356"/>
    <cellStyle name="Comma_Assumptions_dimon" xfId="357"/>
    <cellStyle name="Comma_Assumptions_summary" xfId="358"/>
    <cellStyle name="Comma_B" xfId="359"/>
    <cellStyle name="Comma_bahiadefault" xfId="360"/>
    <cellStyle name="Comma_bahiadefault_1" xfId="361"/>
    <cellStyle name="Comma_Book3" xfId="362"/>
    <cellStyle name="Comma_BOP" xfId="363"/>
    <cellStyle name="Comma_BOPBAL1" xfId="364"/>
    <cellStyle name="Comma_BOPCBU" xfId="365"/>
    <cellStyle name="Comma_BOPCBU (2)" xfId="366"/>
    <cellStyle name="Comma_BOPCBU96" xfId="367"/>
    <cellStyle name="Comma_BSAPPE.XLS" xfId="368"/>
    <cellStyle name="Comma_C-Cap intensity" xfId="369"/>
    <cellStyle name="Comma_C-Capex%rev" xfId="370"/>
    <cellStyle name="Comma_C-Line per Staff" xfId="371"/>
    <cellStyle name="Comma_C-lines distribution" xfId="372"/>
    <cellStyle name="Comma_C-Orig PLDT lines" xfId="373"/>
    <cellStyle name="Comma_C-Ret on Rev" xfId="374"/>
    <cellStyle name="Comma_C-ROACE" xfId="375"/>
    <cellStyle name="Comma_Calculations" xfId="376"/>
    <cellStyle name="Comma_Calculations (2)" xfId="377"/>
    <cellStyle name="Comma_Calculations II" xfId="378"/>
    <cellStyle name="Comma_Calculations III" xfId="379"/>
    <cellStyle name="Comma_Calculations_1" xfId="380"/>
    <cellStyle name="Comma_Capex" xfId="381"/>
    <cellStyle name="Comma_Capex per line" xfId="382"/>
    <cellStyle name="Comma_Capex%rev" xfId="383"/>
    <cellStyle name="Comma_CAPEX94" xfId="384"/>
    <cellStyle name="Comma_CAPEX_dimon" xfId="385"/>
    <cellStyle name="Comma_CapInt" xfId="386"/>
    <cellStyle name="Comma_Cashflow" xfId="387"/>
    <cellStyle name="Comma_CBU BOX CHART V PLAN" xfId="388"/>
    <cellStyle name="Comma_CCA" xfId="389"/>
    <cellStyle name="Comma_CCOCPX" xfId="390"/>
    <cellStyle name="Comma_CFMODEL" xfId="391"/>
    <cellStyle name="Comma_CFMODEL_summary" xfId="392"/>
    <cellStyle name="Comma_CFtest3" xfId="393"/>
    <cellStyle name="Comma_CFTEST49" xfId="394"/>
    <cellStyle name="Comma_CHANGES.XLS" xfId="395"/>
    <cellStyle name="Comma_Charts" xfId="396"/>
    <cellStyle name="Comma_Cht-Capex per line" xfId="397"/>
    <cellStyle name="Comma_Cht-Cum Real Opr Cf" xfId="398"/>
    <cellStyle name="Comma_Cht-Dep%Rev" xfId="399"/>
    <cellStyle name="Comma_Cht-Real Opr Cf" xfId="400"/>
    <cellStyle name="Comma_Cht-Rev dist" xfId="401"/>
    <cellStyle name="Comma_Cht-Rev p line" xfId="402"/>
    <cellStyle name="Comma_Cht-Rev per Staff" xfId="403"/>
    <cellStyle name="Comma_Cht-Staff cost%revenue" xfId="404"/>
    <cellStyle name="Comma_Comm File" xfId="405"/>
    <cellStyle name="Comma_coperdefault" xfId="406"/>
    <cellStyle name="Comma_coperdefault_1" xfId="407"/>
    <cellStyle name="Comma_Corp method" xfId="408"/>
    <cellStyle name="Comma_CROCF" xfId="409"/>
    <cellStyle name="Comma_CTCUR" xfId="410"/>
    <cellStyle name="Comma_Cum Real Opr Cf" xfId="411"/>
    <cellStyle name="Comma_CUMPLTCH" xfId="412"/>
    <cellStyle name="Comma_Curve_Economics" xfId="413"/>
    <cellStyle name="Comma_DEFAULT" xfId="414"/>
    <cellStyle name="Comma_Demand Fcst." xfId="415"/>
    <cellStyle name="Comma_Dep%Rev" xfId="416"/>
    <cellStyle name="Comma_DeskCurves" xfId="417"/>
    <cellStyle name="Comma_dimon" xfId="418"/>
    <cellStyle name="Comma_dimon_1" xfId="419"/>
    <cellStyle name="Comma_Dowell C1b" xfId="420"/>
    <cellStyle name="Comma_Dowell-C1a" xfId="421"/>
    <cellStyle name="Comma_E&amp;ONW1" xfId="422"/>
    <cellStyle name="Comma_E&amp;ONW2" xfId="423"/>
    <cellStyle name="Comma_E&amp;OOCPX" xfId="424"/>
    <cellStyle name="Comma_emserdefault" xfId="425"/>
    <cellStyle name="Comma_emserdefault_1" xfId="426"/>
    <cellStyle name="Comma_EPS" xfId="427"/>
    <cellStyle name="Comma_EVER1" xfId="428"/>
    <cellStyle name="Comma_F&amp;COCPX" xfId="429"/>
    <cellStyle name="Comma_FEBRUARY" xfId="430"/>
    <cellStyle name="Comma_FF" xfId="431"/>
    <cellStyle name="Comma_FP 20 A (1)" xfId="432"/>
    <cellStyle name="Comma_FP 20 A (2)" xfId="433"/>
    <cellStyle name="Comma_FP-20 (App. E)" xfId="434"/>
    <cellStyle name="Comma_FP-20 (App.A) " xfId="435"/>
    <cellStyle name="Comma_FP-20 (App.D)" xfId="436"/>
    <cellStyle name="Comma_FP-20(App.B)" xfId="437"/>
    <cellStyle name="Comma_FP-20(C1) (a)" xfId="438"/>
    <cellStyle name="Comma_FP-20(C1) (a) (2)" xfId="439"/>
    <cellStyle name="Comma_FP-20(C1) (b)" xfId="440"/>
    <cellStyle name="Comma_FP-20(C1) (b) " xfId="441"/>
    <cellStyle name="Comma_FP-20(C1) (b) (2)" xfId="442"/>
    <cellStyle name="Comma_GASDATA1" xfId="443"/>
    <cellStyle name="Comma_GASDATA1 (2)" xfId="444"/>
    <cellStyle name="Comma_GASDATA1_1" xfId="445"/>
    <cellStyle name="Comma_GCM" xfId="446"/>
    <cellStyle name="Comma_GenAssum" xfId="447"/>
    <cellStyle name="Comma_GenMod" xfId="448"/>
    <cellStyle name="Comma_GP C1a" xfId="449"/>
    <cellStyle name="Comma_GP C1b" xfId="450"/>
    <cellStyle name="Comma_GP_EI_3" xfId="451"/>
    <cellStyle name="Comma_GQ C1A" xfId="452"/>
    <cellStyle name="Comma_GQ C1B" xfId="453"/>
    <cellStyle name="Comma_H" xfId="454"/>
    <cellStyle name="Comma_Inputs" xfId="455"/>
    <cellStyle name="Comma_Int. Data Table" xfId="456"/>
    <cellStyle name="Comma_IPM C1b" xfId="457"/>
    <cellStyle name="Comma_IPMC1a" xfId="458"/>
    <cellStyle name="Comma_IPP" xfId="459"/>
    <cellStyle name="Comma_IRR" xfId="460"/>
    <cellStyle name="Comma_IS-Hold" xfId="461"/>
    <cellStyle name="Comma_ITOCPX" xfId="462"/>
    <cellStyle name="Comma_jancf" xfId="463"/>
    <cellStyle name="Comma_JUNMTH55" xfId="464"/>
    <cellStyle name="Comma_JUNMTH57" xfId="465"/>
    <cellStyle name="Comma_JUNYTD55" xfId="466"/>
    <cellStyle name="Comma_JUNYTD57" xfId="467"/>
    <cellStyle name="Comma_laroux" xfId="468"/>
    <cellStyle name="Comma_laroux_1" xfId="469"/>
    <cellStyle name="Comma_laroux_1995" xfId="470"/>
    <cellStyle name="Comma_laroux_1_dimon" xfId="471"/>
    <cellStyle name="Comma_laroux_1_dimon_1" xfId="472"/>
    <cellStyle name="Comma_laroux_1_laroux" xfId="473"/>
    <cellStyle name="Comma_laroux_1_pldt" xfId="474"/>
    <cellStyle name="Comma_laroux_1_pldt_1" xfId="475"/>
    <cellStyle name="Comma_laroux_1_PLDT_dimon" xfId="476"/>
    <cellStyle name="Comma_laroux_1_VERA" xfId="477"/>
    <cellStyle name="Comma_laroux_1_VERA_1" xfId="478"/>
    <cellStyle name="Comma_laroux_1_VIRUS-EDY" xfId="479"/>
    <cellStyle name="Comma_laroux_2" xfId="480"/>
    <cellStyle name="Comma_laroux_2_dimon" xfId="481"/>
    <cellStyle name="Comma_laroux_2_dimon_1" xfId="482"/>
    <cellStyle name="Comma_laroux_2_dimon_2" xfId="483"/>
    <cellStyle name="Comma_laroux_2_laroux" xfId="484"/>
    <cellStyle name="Comma_laroux_2_laroux_dimon" xfId="485"/>
    <cellStyle name="Comma_laroux_2_pldt" xfId="486"/>
    <cellStyle name="Comma_laroux_2_pldt_1" xfId="487"/>
    <cellStyle name="Comma_laroux_2_PLDT_dimon" xfId="488"/>
    <cellStyle name="Comma_laroux_2_VERA" xfId="489"/>
    <cellStyle name="Comma_laroux_2_VERA_1" xfId="490"/>
    <cellStyle name="Comma_laroux_3" xfId="491"/>
    <cellStyle name="Comma_laroux_3_dimon" xfId="492"/>
    <cellStyle name="Comma_laroux_3_dimon_1" xfId="493"/>
    <cellStyle name="Comma_laroux_3_dimon_2" xfId="494"/>
    <cellStyle name="Comma_laroux_dimon" xfId="495"/>
    <cellStyle name="Comma_laroux_dimon_1" xfId="496"/>
    <cellStyle name="Comma_laroux_laroux" xfId="497"/>
    <cellStyle name="Comma_laroux_laroux_1" xfId="498"/>
    <cellStyle name="Comma_laroux_laroux_dimon" xfId="499"/>
    <cellStyle name="Comma_laroux_pldt" xfId="500"/>
    <cellStyle name="Comma_laroux_pldt_1" xfId="501"/>
    <cellStyle name="Comma_laroux_VERA" xfId="502"/>
    <cellStyle name="Comma_laroux_VERA_1" xfId="503"/>
    <cellStyle name="Comma_laroux_VIRUS-EDY" xfId="504"/>
    <cellStyle name="Comma_Line Inst." xfId="505"/>
    <cellStyle name="Comma_MATERAL2" xfId="506"/>
    <cellStyle name="Comma_MATERAL2_dimon" xfId="507"/>
    <cellStyle name="Comma_MATERAL2_dimon_1" xfId="508"/>
    <cellStyle name="Comma_MKGOCPX" xfId="509"/>
    <cellStyle name="Comma_Mkt Shr" xfId="510"/>
    <cellStyle name="Comma_MOBCPX" xfId="511"/>
    <cellStyle name="Comma_Module1" xfId="512"/>
    <cellStyle name="Comma_mud plant bolted" xfId="513"/>
    <cellStyle name="Comma_NA WITHOUT GOV'T &amp; PNX" xfId="514"/>
    <cellStyle name="Comma_NAOBU10" xfId="515"/>
    <cellStyle name="Comma_NAT ACCT" xfId="516"/>
    <cellStyle name="Comma_NCR-C&amp;W Val" xfId="517"/>
    <cellStyle name="Comma_NCR-Cap intensity" xfId="518"/>
    <cellStyle name="Comma_NCR-Line per Staff" xfId="519"/>
    <cellStyle name="Comma_NCR-Rev dist" xfId="520"/>
    <cellStyle name="Comma_NSACTUAL.XLS" xfId="521"/>
    <cellStyle name="Comma_NX00" xfId="522"/>
    <cellStyle name="Comma_Odner" xfId="523"/>
    <cellStyle name="Comma_Odner (2)" xfId="524"/>
    <cellStyle name="Comma_Odner (3)" xfId="525"/>
    <cellStyle name="Comma_OFFDATA1" xfId="526"/>
    <cellStyle name="Comma_OFFDATA1 (2)" xfId="527"/>
    <cellStyle name="Comma_OFFDATA1_1" xfId="528"/>
    <cellStyle name="Comma_Op Cost Break" xfId="529"/>
    <cellStyle name="Comma_Operations" xfId="530"/>
    <cellStyle name="Comma_opsmacro" xfId="531"/>
    <cellStyle name="Comma_OSMOCPX" xfId="532"/>
    <cellStyle name="Comma_Other Months" xfId="533"/>
    <cellStyle name="Comma_Outlook" xfId="534"/>
    <cellStyle name="Comma_pbdefault" xfId="535"/>
    <cellStyle name="Comma_pbdefault_1" xfId="536"/>
    <cellStyle name="Comma_percentages" xfId="537"/>
    <cellStyle name="Comma_PERSONAL" xfId="538"/>
    <cellStyle name="Comma_PGMKOCPX" xfId="539"/>
    <cellStyle name="Comma_PGNW1" xfId="540"/>
    <cellStyle name="Comma_PGNW2" xfId="541"/>
    <cellStyle name="Comma_PGNWOCPX" xfId="542"/>
    <cellStyle name="Comma_Pink" xfId="543"/>
    <cellStyle name="Comma_PKDATA1" xfId="544"/>
    <cellStyle name="Comma_PKDATA1 (2)" xfId="545"/>
    <cellStyle name="Comma_PKDATA1_1" xfId="546"/>
    <cellStyle name="Comma_Plan" xfId="547"/>
    <cellStyle name="Comma_PLANT" xfId="548"/>
    <cellStyle name="Comma_PLDT" xfId="549"/>
    <cellStyle name="Comma_pldt_1" xfId="550"/>
    <cellStyle name="Comma_PLDT_1_dimon" xfId="551"/>
    <cellStyle name="Comma_pldt_2" xfId="552"/>
    <cellStyle name="Comma_pldt_Calculations" xfId="553"/>
    <cellStyle name="Comma_PLDT_dimon" xfId="554"/>
    <cellStyle name="Comma_priccurv" xfId="555"/>
    <cellStyle name="Comma_PriceCurve" xfId="556"/>
    <cellStyle name="Comma_PriceCurve_1" xfId="557"/>
    <cellStyle name="Comma_PROCDS&amp;G" xfId="558"/>
    <cellStyle name="Comma_PROFILE4" xfId="559"/>
    <cellStyle name="Comma_Projects" xfId="560"/>
    <cellStyle name="Comma_Quarter End Months" xfId="561"/>
    <cellStyle name="Comma_r1" xfId="562"/>
    <cellStyle name="Comma_Real Opr Cf" xfId="563"/>
    <cellStyle name="Comma_Real Rev per Staff (1)" xfId="564"/>
    <cellStyle name="Comma_Real Rev per Staff (2)" xfId="565"/>
    <cellStyle name="Comma_Region 2-C&amp;W" xfId="566"/>
    <cellStyle name="Comma_Return on Rev" xfId="567"/>
    <cellStyle name="Comma_Rev p line" xfId="568"/>
    <cellStyle name="Comma_RFI" xfId="569"/>
    <cellStyle name="Comma_RFI_1" xfId="570"/>
    <cellStyle name="Comma_ROACE" xfId="571"/>
    <cellStyle name="Comma_ROCF (Tot)" xfId="572"/>
    <cellStyle name="Comma_Sales Order" xfId="573"/>
    <cellStyle name="Comma_Salton Sea 4" xfId="574"/>
    <cellStyle name="Comma_SATOCPX" xfId="575"/>
    <cellStyle name="Comma_ScreeningModel" xfId="576"/>
    <cellStyle name="Comma_SELECT" xfId="577"/>
    <cellStyle name="Comma_SHEET" xfId="578"/>
    <cellStyle name="Comma_Sheet1" xfId="579"/>
    <cellStyle name="Comma_Sheet1_dimon" xfId="580"/>
    <cellStyle name="Comma_SHENREPT" xfId="581"/>
    <cellStyle name="Comma_Snr. CO" xfId="582"/>
    <cellStyle name="Comma_SPC99-03" xfId="583"/>
    <cellStyle name="Comma_sprint contr" xfId="584"/>
    <cellStyle name="Comma_Staff cost%rev" xfId="585"/>
    <cellStyle name="Comma_Subcont File" xfId="586"/>
    <cellStyle name="Comma_SUMMARY" xfId="587"/>
    <cellStyle name="Comma_Summary Info" xfId="588"/>
    <cellStyle name="Comma_SUMPAGE" xfId="589"/>
    <cellStyle name="Comma_Template" xfId="590"/>
    <cellStyle name="Comma_TESTDATA" xfId="591"/>
    <cellStyle name="Comma_TMSNW1" xfId="592"/>
    <cellStyle name="Comma_TMSNW2" xfId="593"/>
    <cellStyle name="Comma_TMSOCPX" xfId="594"/>
    <cellStyle name="Comma_TOTAL MTH" xfId="595"/>
    <cellStyle name="Comma_TOTAL YTD" xfId="596"/>
    <cellStyle name="Comma_Total-Rev dist." xfId="597"/>
    <cellStyle name="Comma_TRANSDSC.XLS" xfId="598"/>
    <cellStyle name="Comma_TRANSFXA.XLS" xfId="599"/>
    <cellStyle name="Comma_TRANSFXA.XLS_1" xfId="600"/>
    <cellStyle name="Comma_TRANSIME.XLS" xfId="601"/>
    <cellStyle name="Comma_TRANSIME.XLS_TRANSDSC.XLS" xfId="602"/>
    <cellStyle name="Comma_TRANSIME.XLS_TRANSFXA.XLS" xfId="603"/>
    <cellStyle name="Comma_VIRUS-EDY" xfId="604"/>
    <cellStyle name="Comma_White" xfId="605"/>
    <cellStyle name="Comma_WO Var. &amp; Tot. Exp." xfId="606"/>
    <cellStyle name="Comma_WSP" xfId="607"/>
    <cellStyle name="Comma_yrcao" xfId="608"/>
    <cellStyle name="Comma_YREND55" xfId="609"/>
    <cellStyle name="Comma_YREND57" xfId="610"/>
    <cellStyle name="Comma_YTDCUR" xfId="611"/>
    <cellStyle name="Comma_Yuma CE Strategic" xfId="612"/>
    <cellStyle name="Currency [0]_12matrix" xfId="613"/>
    <cellStyle name="Currency [0]_1995" xfId="614"/>
    <cellStyle name="Currency [0]_A" xfId="615"/>
    <cellStyle name="Currency [0]_A_dimon" xfId="616"/>
    <cellStyle name="Currency [0]_A_dimon_1" xfId="617"/>
    <cellStyle name="Currency [0]_A_dimon_1_BasePowerModel-2-7-00" xfId="618"/>
    <cellStyle name="Currency [0]_ACTUAL" xfId="619"/>
    <cellStyle name="Currency [0]_ACTUAL NA -OBU" xfId="620"/>
    <cellStyle name="Currency [0]_Actual vs." xfId="621"/>
    <cellStyle name="Currency [0]_algasdefault" xfId="622"/>
    <cellStyle name="Currency [0]_Alternative1" xfId="623"/>
    <cellStyle name="Currency [0]_Alternative1_1" xfId="624"/>
    <cellStyle name="Currency [0]_App E" xfId="625"/>
    <cellStyle name="Currency [0]_Apr" xfId="626"/>
    <cellStyle name="Currency [0]_Arapahoe" xfId="627"/>
    <cellStyle name="Currency [0]_Assumptions" xfId="628"/>
    <cellStyle name="Currency [0]_Assumptions_dimon" xfId="629"/>
    <cellStyle name="Currency [0]_Assumptions_summary" xfId="630"/>
    <cellStyle name="Currency [0]_B" xfId="631"/>
    <cellStyle name="Currency [0]_bahiadefault" xfId="632"/>
    <cellStyle name="Currency [0]_Book3" xfId="633"/>
    <cellStyle name="Currency [0]_BOP" xfId="634"/>
    <cellStyle name="Currency [0]_BOPBAL1" xfId="635"/>
    <cellStyle name="Currency [0]_BOPCBU" xfId="636"/>
    <cellStyle name="Currency [0]_BOPCBU (2)" xfId="637"/>
    <cellStyle name="Currency [0]_BOPCBU96" xfId="638"/>
    <cellStyle name="Currency [0]_BSAPPE.XLS" xfId="639"/>
    <cellStyle name="Currency [0]_Calculations" xfId="640"/>
    <cellStyle name="Currency [0]_Calculations (2)" xfId="641"/>
    <cellStyle name="Currency [0]_Calculations II" xfId="642"/>
    <cellStyle name="Currency [0]_Calculations III" xfId="643"/>
    <cellStyle name="Currency [0]_Calculations_1" xfId="644"/>
    <cellStyle name="Currency [0]_CAPEX" xfId="645"/>
    <cellStyle name="Currency [0]_CAPEX94" xfId="646"/>
    <cellStyle name="Currency [0]_CapInt" xfId="647"/>
    <cellStyle name="Currency [0]_Cardig GHS" xfId="648"/>
    <cellStyle name="Currency [0]_Cardig GHS_BasePowerModel-2-7-00" xfId="649"/>
    <cellStyle name="Currency [0]_Cash Flows" xfId="650"/>
    <cellStyle name="Currency [0]_Cashflow" xfId="651"/>
    <cellStyle name="Currency [0]_CBU BOX CHART V PLAN" xfId="652"/>
    <cellStyle name="Currency [0]_CCA" xfId="653"/>
    <cellStyle name="Currency [0]_CCOCPX" xfId="654"/>
    <cellStyle name="Currency [0]_CFMODEL" xfId="655"/>
    <cellStyle name="Currency [0]_CFTEST49" xfId="656"/>
    <cellStyle name="Currency [0]_CHANGES.XLS" xfId="657"/>
    <cellStyle name="Currency [0]_Charts" xfId="658"/>
    <cellStyle name="Currency [0]_Comm File" xfId="659"/>
    <cellStyle name="Currency [0]_coperdefault" xfId="660"/>
    <cellStyle name="Currency [0]_Corp method" xfId="661"/>
    <cellStyle name="Currency [0]_Cost Code" xfId="662"/>
    <cellStyle name="Currency [0]_CTCUR" xfId="663"/>
    <cellStyle name="Currency [0]_CUMPLTCH" xfId="664"/>
    <cellStyle name="Currency [0]_Curve_Economics" xfId="665"/>
    <cellStyle name="Currency [0]_DEFAULT" xfId="666"/>
    <cellStyle name="Currency [0]_DeskCurves" xfId="667"/>
    <cellStyle name="Currency [0]_dimon" xfId="668"/>
    <cellStyle name="Currency [0]_dimon_1" xfId="669"/>
    <cellStyle name="Currency [0]_dimon_2" xfId="670"/>
    <cellStyle name="Currency [0]_Dowell C1b" xfId="671"/>
    <cellStyle name="Currency [0]_Dowell-C1a" xfId="672"/>
    <cellStyle name="Currency [0]_E&amp;ONW1" xfId="673"/>
    <cellStyle name="Currency [0]_E&amp;ONW2" xfId="674"/>
    <cellStyle name="Currency [0]_E&amp;OOCPX" xfId="675"/>
    <cellStyle name="Currency [0]_emserdefault" xfId="676"/>
    <cellStyle name="Currency [0]_EVER1" xfId="677"/>
    <cellStyle name="Currency [0]_F&amp;COCPX" xfId="678"/>
    <cellStyle name="Currency [0]_FEBRUARY" xfId="679"/>
    <cellStyle name="Currency [0]_FF" xfId="680"/>
    <cellStyle name="Currency [0]_FP 20 A (1)" xfId="681"/>
    <cellStyle name="Currency [0]_FP 20 A (2)" xfId="682"/>
    <cellStyle name="Currency [0]_FP-20 (App. E)" xfId="683"/>
    <cellStyle name="Currency [0]_FP-20 (App.A) " xfId="684"/>
    <cellStyle name="Currency [0]_FP-20 (App.D)" xfId="685"/>
    <cellStyle name="Currency [0]_FP-20(App.B)" xfId="686"/>
    <cellStyle name="Currency [0]_FP-20(C1) (a)" xfId="687"/>
    <cellStyle name="Currency [0]_FP-20(C1) (a) (2)" xfId="688"/>
    <cellStyle name="Currency [0]_FP-20(C1) (b)" xfId="689"/>
    <cellStyle name="Currency [0]_FP-20(C1) (b) " xfId="690"/>
    <cellStyle name="Currency [0]_FP-20(C1) (b) (2)" xfId="691"/>
    <cellStyle name="Currency [0]_GASDATA1" xfId="692"/>
    <cellStyle name="Currency [0]_GASDATA1 (2)" xfId="693"/>
    <cellStyle name="Currency [0]_GCM" xfId="694"/>
    <cellStyle name="Currency [0]_GenAssum" xfId="695"/>
    <cellStyle name="Currency [0]_GenMod" xfId="696"/>
    <cellStyle name="Currency [0]_GP C1a" xfId="697"/>
    <cellStyle name="Currency [0]_GP C1b" xfId="698"/>
    <cellStyle name="Currency [0]_GP_EI_3" xfId="699"/>
    <cellStyle name="Currency [0]_GQ C1A" xfId="700"/>
    <cellStyle name="Currency [0]_GQ C1B" xfId="701"/>
    <cellStyle name="Currency [0]_H" xfId="702"/>
    <cellStyle name="Currency [0]_Inputs" xfId="703"/>
    <cellStyle name="Currency [0]_Int. Data Table" xfId="704"/>
    <cellStyle name="Currency [0]_IPM C1b" xfId="705"/>
    <cellStyle name="Currency [0]_IPMC1a" xfId="706"/>
    <cellStyle name="Currency [0]_IPP" xfId="707"/>
    <cellStyle name="Currency [0]_IS-Hold" xfId="708"/>
    <cellStyle name="Currency [0]_ITOCPX" xfId="709"/>
    <cellStyle name="Currency [0]_jancf" xfId="710"/>
    <cellStyle name="Currency [0]_JUNMTH55" xfId="711"/>
    <cellStyle name="Currency [0]_JUNMTH57" xfId="712"/>
    <cellStyle name="Currency [0]_JUNYTD55" xfId="713"/>
    <cellStyle name="Currency [0]_JUNYTD57" xfId="714"/>
    <cellStyle name="Currency [0]_laroux" xfId="715"/>
    <cellStyle name="Currency [0]_laroux_1" xfId="716"/>
    <cellStyle name="Currency [0]_laroux_1995" xfId="717"/>
    <cellStyle name="Currency [0]_laroux_1_dimon" xfId="718"/>
    <cellStyle name="Currency [0]_laroux_1_dimon_1" xfId="719"/>
    <cellStyle name="Currency [0]_laroux_1_dimon_2" xfId="720"/>
    <cellStyle name="Currency [0]_laroux_1_dimon_3" xfId="721"/>
    <cellStyle name="Currency [0]_laroux_1_dimon_3_BasePowerModel-2-7-00" xfId="722"/>
    <cellStyle name="Currency [0]_laroux_1_laroux" xfId="723"/>
    <cellStyle name="Currency [0]_laroux_1_laroux_1" xfId="724"/>
    <cellStyle name="Currency [0]_laroux_1_laroux_dimon" xfId="725"/>
    <cellStyle name="Currency [0]_laroux_1_Locas" xfId="726"/>
    <cellStyle name="Currency [0]_laroux_1_pldt" xfId="727"/>
    <cellStyle name="Currency [0]_laroux_1_PLDT_dimon" xfId="728"/>
    <cellStyle name="Currency [0]_laroux_1_VERA" xfId="729"/>
    <cellStyle name="Currency [0]_laroux_1_VERA_1" xfId="730"/>
    <cellStyle name="Currency [0]_laroux_1_VIRUS-EDY" xfId="731"/>
    <cellStyle name="Currency [0]_laroux_2" xfId="732"/>
    <cellStyle name="Currency [0]_laroux_2_dimon" xfId="733"/>
    <cellStyle name="Currency [0]_laroux_2_dimon_1" xfId="734"/>
    <cellStyle name="Currency [0]_laroux_2_dimon_1_BasePowerModel-2-7-00" xfId="735"/>
    <cellStyle name="Currency [0]_laroux_2_dimon_2" xfId="736"/>
    <cellStyle name="Currency [0]_laroux_2_dimon_3" xfId="737"/>
    <cellStyle name="Currency [0]_laroux_2_laroux" xfId="738"/>
    <cellStyle name="Currency [0]_laroux_2_laroux_BasePowerModel-2-7-00" xfId="739"/>
    <cellStyle name="Currency [0]_laroux_2_laroux_dimon" xfId="740"/>
    <cellStyle name="Currency [0]_laroux_2_laroux_dimon_BasePowerModel-2-7-00" xfId="741"/>
    <cellStyle name="Currency [0]_laroux_2_Locas" xfId="742"/>
    <cellStyle name="Currency [0]_laroux_2_Locas_BasePowerModel-2-7-00" xfId="743"/>
    <cellStyle name="Currency [0]_laroux_2_pldt" xfId="744"/>
    <cellStyle name="Currency [0]_laroux_2_PLDT_dimon" xfId="745"/>
    <cellStyle name="Currency [0]_laroux_2_PLDT_dimon_BasePowerModel-2-7-00" xfId="746"/>
    <cellStyle name="Currency [0]_laroux_2_VIRUS-EDY" xfId="747"/>
    <cellStyle name="Currency [0]_laroux_2_VIRUS-EDY_BasePowerModel-2-7-00" xfId="748"/>
    <cellStyle name="Currency [0]_laroux_3" xfId="749"/>
    <cellStyle name="Currency [0]_laroux_3_dimon" xfId="750"/>
    <cellStyle name="Currency [0]_laroux_3_dimon_1" xfId="751"/>
    <cellStyle name="Currency [0]_laroux_3_dimon_2" xfId="752"/>
    <cellStyle name="Currency [0]_laroux_3_dimon_3" xfId="753"/>
    <cellStyle name="Currency [0]_laroux_3_dimon_3_BasePowerModel-2-7-00" xfId="754"/>
    <cellStyle name="Currency [0]_laroux_4" xfId="755"/>
    <cellStyle name="Currency [0]_laroux_4_dimon" xfId="756"/>
    <cellStyle name="Currency [0]_laroux_4_dimon_1" xfId="757"/>
    <cellStyle name="Currency [0]_laroux_4_dimon_1_BasePowerModel-2-7-00" xfId="758"/>
    <cellStyle name="Currency [0]_laroux_5" xfId="759"/>
    <cellStyle name="Currency [0]_laroux_6" xfId="760"/>
    <cellStyle name="Currency [0]_laroux_7" xfId="761"/>
    <cellStyle name="Currency [0]_laroux_dimon" xfId="762"/>
    <cellStyle name="Currency [0]_laroux_dimon_1" xfId="763"/>
    <cellStyle name="Currency [0]_laroux_dimon_2" xfId="764"/>
    <cellStyle name="Currency [0]_laroux_dimon_2_BasePowerModel-2-7-00" xfId="765"/>
    <cellStyle name="Currency [0]_laroux_dimon_3" xfId="766"/>
    <cellStyle name="Currency [0]_laroux_laroux" xfId="767"/>
    <cellStyle name="Currency [0]_laroux_laroux_1" xfId="768"/>
    <cellStyle name="Currency [0]_laroux_laroux_1_dimon" xfId="769"/>
    <cellStyle name="Currency [0]_laroux_laroux_BasePowerModel-2-7-00" xfId="770"/>
    <cellStyle name="Currency [0]_laroux_laroux_dimon" xfId="771"/>
    <cellStyle name="Currency [0]_laroux_laroux_dimon_BasePowerModel-2-7-00" xfId="772"/>
    <cellStyle name="Currency [0]_laroux_Locas" xfId="773"/>
    <cellStyle name="Currency [0]_laroux_MATERAL2" xfId="774"/>
    <cellStyle name="Currency [0]_laroux_MATERAL2_dimon" xfId="775"/>
    <cellStyle name="Currency [0]_laroux_MATERAL2_dimon_1" xfId="776"/>
    <cellStyle name="Currency [0]_laroux_MATERAL2_dimon_1_BasePowerModel-2-7-00" xfId="777"/>
    <cellStyle name="Currency [0]_laroux_MATERAL2_laroux" xfId="778"/>
    <cellStyle name="Currency [0]_laroux_MATERAL2_laroux_BasePowerModel-2-7-00" xfId="779"/>
    <cellStyle name="Currency [0]_laroux_MATERAL2_laroux_dimon" xfId="780"/>
    <cellStyle name="Currency [0]_laroux_MATERAL2_laroux_dimon_BasePowerModel-2-7-00" xfId="781"/>
    <cellStyle name="Currency [0]_laroux_MATERAL2_pldt" xfId="782"/>
    <cellStyle name="Currency [0]_laroux_MATERAL2_VERA" xfId="783"/>
    <cellStyle name="Currency [0]_laroux_MATERAL2_VERA_BasePowerModel-2-7-00" xfId="784"/>
    <cellStyle name="Currency [0]_laroux_MATERAL2_VIRUS-EDY" xfId="785"/>
    <cellStyle name="Currency [0]_laroux_MATERAL2_VIRUS-EDY_BasePowerModel-2-7-00" xfId="786"/>
    <cellStyle name="Currency [0]_laroux_mud plant bolted" xfId="787"/>
    <cellStyle name="Currency [0]_laroux_mud plant bolted_dimon" xfId="788"/>
    <cellStyle name="Currency [0]_laroux_mud plant bolted_dimon_1" xfId="789"/>
    <cellStyle name="Currency [0]_laroux_pldt" xfId="790"/>
    <cellStyle name="Currency [0]_laroux_pldt_1" xfId="791"/>
    <cellStyle name="Currency [0]_laroux_VERA" xfId="792"/>
    <cellStyle name="Currency [0]_laroux_VERA_1" xfId="793"/>
    <cellStyle name="Currency [0]_laroux_VIRUS-EDY" xfId="794"/>
    <cellStyle name="Currency [0]_List" xfId="795"/>
    <cellStyle name="Currency [0]_MATERAL2" xfId="796"/>
    <cellStyle name="Currency [0]_MATERAL2_dimon" xfId="797"/>
    <cellStyle name="Currency [0]_MATERAL2_dimon_1" xfId="798"/>
    <cellStyle name="Currency [0]_MKGOCPX" xfId="799"/>
    <cellStyle name="Currency [0]_MOBCPX" xfId="800"/>
    <cellStyle name="Currency [0]_Module1" xfId="801"/>
    <cellStyle name="Currency [0]_mud plant bolted" xfId="802"/>
    <cellStyle name="Currency [0]_mud plant bolted_dimon" xfId="803"/>
    <cellStyle name="Currency [0]_mud plant bolted_dimon_1" xfId="804"/>
    <cellStyle name="Currency [0]_mud plant bolted_dimon_1_BasePowerModel-2-7-00" xfId="805"/>
    <cellStyle name="Currency [0]_mud plant bolted_laroux" xfId="806"/>
    <cellStyle name="Currency [0]_mud plant bolted_laroux_BasePowerModel-2-7-00" xfId="807"/>
    <cellStyle name="Currency [0]_mud plant bolted_laroux_dimon" xfId="808"/>
    <cellStyle name="Currency [0]_mud plant bolted_laroux_dimon_BasePowerModel-2-7-00" xfId="809"/>
    <cellStyle name="Currency [0]_mud plant bolted_pldt" xfId="810"/>
    <cellStyle name="Currency [0]_mud plant bolted_VERA" xfId="811"/>
    <cellStyle name="Currency [0]_mud plant bolted_VERA_BasePowerModel-2-7-00" xfId="812"/>
    <cellStyle name="Currency [0]_mud plant bolted_VIRUS-EDY" xfId="813"/>
    <cellStyle name="Currency [0]_mud plant bolted_VIRUS-EDY_BasePowerModel-2-7-00" xfId="814"/>
    <cellStyle name="Currency [0]_NA WITHOUT GOV'T &amp; PNX" xfId="815"/>
    <cellStyle name="Currency [0]_NAOBU10" xfId="816"/>
    <cellStyle name="Currency [0]_NAT ACCT" xfId="817"/>
    <cellStyle name="Currency [0]_NSACTUAL.XLS" xfId="818"/>
    <cellStyle name="Currency [0]_NX00" xfId="819"/>
    <cellStyle name="Currency [0]_Odner" xfId="820"/>
    <cellStyle name="Currency [0]_Odner (2)" xfId="821"/>
    <cellStyle name="Currency [0]_Odner (3)" xfId="822"/>
    <cellStyle name="Currency [0]_OFFDATA1" xfId="823"/>
    <cellStyle name="Currency [0]_OFFDATA1 (2)" xfId="824"/>
    <cellStyle name="Currency [0]_Operations" xfId="825"/>
    <cellStyle name="Currency [0]_opsmacro" xfId="826"/>
    <cellStyle name="Currency [0]_OSMOCPX" xfId="827"/>
    <cellStyle name="Currency [0]_Other Months" xfId="828"/>
    <cellStyle name="Currency [0]_Other Months_BasePowerModel-2-7-00" xfId="829"/>
    <cellStyle name="Currency [0]_Outlook" xfId="830"/>
    <cellStyle name="Currency [0]_pbdefault" xfId="831"/>
    <cellStyle name="Currency [0]_percentages" xfId="832"/>
    <cellStyle name="Currency [0]_PERSONAL" xfId="833"/>
    <cellStyle name="Currency [0]_PERSONAL_BasePowerModel-2-7-00" xfId="834"/>
    <cellStyle name="Currency [0]_PGMKOCPX" xfId="835"/>
    <cellStyle name="Currency [0]_PGNW1" xfId="836"/>
    <cellStyle name="Currency [0]_PGNW2" xfId="837"/>
    <cellStyle name="Currency [0]_PGNWOCPX" xfId="838"/>
    <cellStyle name="Currency [0]_Pink" xfId="839"/>
    <cellStyle name="Currency [0]_Pink_BasePowerModel-2-7-00" xfId="840"/>
    <cellStyle name="Currency [0]_PKDATA1" xfId="841"/>
    <cellStyle name="Currency [0]_PKDATA1 (2)" xfId="842"/>
    <cellStyle name="Currency [0]_Plan" xfId="843"/>
    <cellStyle name="Currency [0]_PLANT" xfId="844"/>
    <cellStyle name="Currency [0]_PLDT" xfId="845"/>
    <cellStyle name="Currency [0]_pldt_1" xfId="846"/>
    <cellStyle name="Currency [0]_PLDT_1_dimon" xfId="847"/>
    <cellStyle name="Currency [0]_pldt_1_dimon_1" xfId="848"/>
    <cellStyle name="Currency [0]_pldt_1_dimon_1_BasePowerModel-2-7-00" xfId="849"/>
    <cellStyle name="Currency [0]_pldt_2" xfId="850"/>
    <cellStyle name="Currency [0]_pldt_Calculations" xfId="851"/>
    <cellStyle name="Currency [0]_PLDT_dimon" xfId="852"/>
    <cellStyle name="Currency [0]_pldt_dimon_1" xfId="853"/>
    <cellStyle name="Currency [0]_priccurv" xfId="854"/>
    <cellStyle name="Currency [0]_PriceCurve" xfId="855"/>
    <cellStyle name="Currency [0]_PriceCurve_1" xfId="856"/>
    <cellStyle name="Currency [0]_PROCDS&amp;G" xfId="857"/>
    <cellStyle name="Currency [0]_PROFILE4" xfId="858"/>
    <cellStyle name="Currency [0]_Projects" xfId="859"/>
    <cellStyle name="Currency [0]_Quarter End Months" xfId="860"/>
    <cellStyle name="Currency [0]_Quarter End Months_BasePowerModel-2-7-00" xfId="861"/>
    <cellStyle name="Currency [0]_r1" xfId="862"/>
    <cellStyle name="Currency [0]_RFI" xfId="863"/>
    <cellStyle name="Currency [0]_RFI_1" xfId="864"/>
    <cellStyle name="Currency [0]_RFI_BasePowerModel-2-7-00" xfId="865"/>
    <cellStyle name="Currency [0]_Sales Order" xfId="866"/>
    <cellStyle name="Currency [0]_SATOCPX" xfId="867"/>
    <cellStyle name="Currency [0]_ScreeningModel" xfId="868"/>
    <cellStyle name="Currency [0]_SELECT" xfId="869"/>
    <cellStyle name="Currency [0]_SHEET" xfId="870"/>
    <cellStyle name="Currency [0]_Sheet1" xfId="871"/>
    <cellStyle name="Currency [0]_Sheet1 (2)" xfId="872"/>
    <cellStyle name="Currency [0]_Sheet1 (2)_BasePowerModel-2-7-00" xfId="873"/>
    <cellStyle name="Currency [0]_Sheet1_dimon" xfId="874"/>
    <cellStyle name="Currency [0]_Sheet1_dimon_BasePowerModel-2-7-00" xfId="875"/>
    <cellStyle name="Currency [0]_SHENREPT" xfId="876"/>
    <cellStyle name="Currency [0]_Snr. CO" xfId="877"/>
    <cellStyle name="Currency [0]_sprint contr" xfId="878"/>
    <cellStyle name="Currency [0]_Subcont File" xfId="879"/>
    <cellStyle name="Currency [0]_SUMMARY" xfId="880"/>
    <cellStyle name="Currency [0]_Summary Info" xfId="881"/>
    <cellStyle name="Currency [0]_SUMPAGE" xfId="882"/>
    <cellStyle name="Currency [0]_Template" xfId="883"/>
    <cellStyle name="Currency [0]_TMSNW1" xfId="884"/>
    <cellStyle name="Currency [0]_TMSNW2" xfId="885"/>
    <cellStyle name="Currency [0]_TMSOCPX" xfId="886"/>
    <cellStyle name="Currency [0]_TOTAL MTH" xfId="887"/>
    <cellStyle name="Currency [0]_TOTAL YTD" xfId="888"/>
    <cellStyle name="Currency [0]_TRANSDSC.XLS" xfId="889"/>
    <cellStyle name="Currency [0]_TRANSFXA.XLS" xfId="890"/>
    <cellStyle name="Currency [0]_TRANSFXA.XLS_1" xfId="891"/>
    <cellStyle name="Currency [0]_TRANSIME.XLS" xfId="892"/>
    <cellStyle name="Currency [0]_TRANSIME.XLS_TRANSDSC.XLS" xfId="893"/>
    <cellStyle name="Currency [0]_TRANSIME.XLS_TRANSFXA.XLS" xfId="894"/>
    <cellStyle name="Currency [0]_VERA" xfId="895"/>
    <cellStyle name="Currency [0]_VIRUS-EDY" xfId="896"/>
    <cellStyle name="Currency [0]_VIRUS-EDY_1" xfId="897"/>
    <cellStyle name="Currency [0]_VIRUS-EDY_BasePowerModel-2-7-00" xfId="898"/>
    <cellStyle name="Currency [0]_White" xfId="899"/>
    <cellStyle name="Currency [0]_White_BasePowerModel-2-7-00" xfId="900"/>
    <cellStyle name="Currency [0]_WO Var. &amp; Tot. Exp." xfId="901"/>
    <cellStyle name="Currency [0]_WSP" xfId="902"/>
    <cellStyle name="Currency [0]_yrcao" xfId="903"/>
    <cellStyle name="Currency [0]_YREND55" xfId="904"/>
    <cellStyle name="Currency [0]_YREND57" xfId="905"/>
    <cellStyle name="Currency [0]_YTDCUR" xfId="906"/>
    <cellStyle name="Currency_12matrix" xfId="907"/>
    <cellStyle name="Currency_1995" xfId="908"/>
    <cellStyle name="Currency_A" xfId="909"/>
    <cellStyle name="Currency_A_dimon" xfId="910"/>
    <cellStyle name="Currency_A_dimon_1" xfId="911"/>
    <cellStyle name="Currency_ACTUAL" xfId="912"/>
    <cellStyle name="Currency_ACTUAL NA -OBU" xfId="913"/>
    <cellStyle name="Currency_Actual vs." xfId="914"/>
    <cellStyle name="Currency_algasdefault" xfId="915"/>
    <cellStyle name="Currency_algasdefault_1" xfId="916"/>
    <cellStyle name="Currency_Alternative1" xfId="917"/>
    <cellStyle name="Currency_Alternative1_1" xfId="918"/>
    <cellStyle name="Currency_App E" xfId="919"/>
    <cellStyle name="Currency_Apr" xfId="920"/>
    <cellStyle name="Currency_Arapahoe" xfId="921"/>
    <cellStyle name="Currency_Assumptions" xfId="922"/>
    <cellStyle name="Currency_Assumptions_dimon" xfId="923"/>
    <cellStyle name="Currency_Assumptions_summary" xfId="924"/>
    <cellStyle name="Currency_B" xfId="925"/>
    <cellStyle name="Currency_bahiadefault" xfId="926"/>
    <cellStyle name="Currency_bahiadefault_1" xfId="927"/>
    <cellStyle name="Currency_BIGOUT" xfId="928"/>
    <cellStyle name="Currency_Book3" xfId="929"/>
    <cellStyle name="Currency_BOP" xfId="930"/>
    <cellStyle name="Currency_BOPBAL1" xfId="931"/>
    <cellStyle name="Currency_BOPCBU" xfId="932"/>
    <cellStyle name="Currency_BOPCBU (2)" xfId="933"/>
    <cellStyle name="Currency_BOPCBU96" xfId="934"/>
    <cellStyle name="Currency_BSAPPE.XLS" xfId="935"/>
    <cellStyle name="Currency_Calculations" xfId="936"/>
    <cellStyle name="Currency_Calculations (2)" xfId="937"/>
    <cellStyle name="Currency_Calculations II" xfId="938"/>
    <cellStyle name="Currency_Calculations III" xfId="939"/>
    <cellStyle name="Currency_Calculations_1" xfId="940"/>
    <cellStyle name="Currency_CAPEX" xfId="941"/>
    <cellStyle name="Currency_CAPEX94" xfId="942"/>
    <cellStyle name="Currency_CapInt" xfId="943"/>
    <cellStyle name="Currency_Cardig GHS" xfId="944"/>
    <cellStyle name="Currency_Cash Flows" xfId="945"/>
    <cellStyle name="Currency_Cashflow" xfId="946"/>
    <cellStyle name="Currency_CBU BOX CHART V PLAN" xfId="947"/>
    <cellStyle name="Currency_CCA" xfId="948"/>
    <cellStyle name="Currency_CCOCPX" xfId="949"/>
    <cellStyle name="Currency_CFMODEL" xfId="950"/>
    <cellStyle name="Currency_CFtest3" xfId="951"/>
    <cellStyle name="Currency_CFTEST49" xfId="952"/>
    <cellStyle name="Currency_CHANGES.XLS" xfId="953"/>
    <cellStyle name="Currency_Charts" xfId="954"/>
    <cellStyle name="Currency_chase1026" xfId="955"/>
    <cellStyle name="Currency_Comm File" xfId="956"/>
    <cellStyle name="Currency_coperdefault" xfId="957"/>
    <cellStyle name="Currency_coperdefault_1" xfId="958"/>
    <cellStyle name="Currency_Corp method" xfId="959"/>
    <cellStyle name="Currency_Cost Code" xfId="960"/>
    <cellStyle name="Currency_CTCUR" xfId="961"/>
    <cellStyle name="Currency_CUMPLTCH" xfId="962"/>
    <cellStyle name="Currency_Curve_Economics" xfId="963"/>
    <cellStyle name="Currency_DEFAULT" xfId="964"/>
    <cellStyle name="Currency_DeskCurves" xfId="965"/>
    <cellStyle name="Currency_dimon" xfId="966"/>
    <cellStyle name="Currency_dimon_1" xfId="967"/>
    <cellStyle name="Currency_dimon_2" xfId="968"/>
    <cellStyle name="Currency_Dowell C1b" xfId="969"/>
    <cellStyle name="Currency_Dowell-C1a" xfId="970"/>
    <cellStyle name="Currency_E&amp;ONW1" xfId="971"/>
    <cellStyle name="Currency_E&amp;ONW2" xfId="972"/>
    <cellStyle name="Currency_E&amp;OOCPX" xfId="973"/>
    <cellStyle name="Currency_emserdefault" xfId="974"/>
    <cellStyle name="Currency_emserdefault_1" xfId="975"/>
    <cellStyle name="Currency_EVER1" xfId="976"/>
    <cellStyle name="Currency_F&amp;COCPX" xfId="977"/>
    <cellStyle name="Currency_FEBRUARY" xfId="978"/>
    <cellStyle name="Currency_FF" xfId="979"/>
    <cellStyle name="Currency_FP 20 A (1)" xfId="980"/>
    <cellStyle name="Currency_FP 20 A (2)" xfId="981"/>
    <cellStyle name="Currency_FP-20 (App. E)" xfId="982"/>
    <cellStyle name="Currency_FP-20 (App.A) " xfId="983"/>
    <cellStyle name="Currency_FP-20 (App.D)" xfId="984"/>
    <cellStyle name="Currency_FP-20(App.B)" xfId="985"/>
    <cellStyle name="Currency_FP-20(C1) (a)" xfId="986"/>
    <cellStyle name="Currency_FP-20(C1) (a) (2)" xfId="987"/>
    <cellStyle name="Currency_FP-20(C1) (b)" xfId="988"/>
    <cellStyle name="Currency_FP-20(C1) (b) " xfId="989"/>
    <cellStyle name="Currency_FP-20(C1) (b) (2)" xfId="990"/>
    <cellStyle name="Currency_GASDATA1" xfId="991"/>
    <cellStyle name="Currency_GASDATA1 (2)" xfId="992"/>
    <cellStyle name="Currency_GCM" xfId="993"/>
    <cellStyle name="Currency_GenAssum" xfId="994"/>
    <cellStyle name="Currency_GenMod" xfId="995"/>
    <cellStyle name="Currency_GP C1a" xfId="996"/>
    <cellStyle name="Currency_GP C1b" xfId="997"/>
    <cellStyle name="Currency_GP_EI_3" xfId="998"/>
    <cellStyle name="Currency_GQ C1A" xfId="999"/>
    <cellStyle name="Currency_GQ C1B" xfId="1000"/>
    <cellStyle name="Currency_H" xfId="1001"/>
    <cellStyle name="Currency_Inputs" xfId="1002"/>
    <cellStyle name="Currency_Int. Data Table" xfId="1003"/>
    <cellStyle name="Currency_IPM C1b" xfId="1004"/>
    <cellStyle name="Currency_IPMC1a" xfId="1005"/>
    <cellStyle name="Currency_IPP" xfId="1006"/>
    <cellStyle name="Currency_IS-Hold" xfId="1007"/>
    <cellStyle name="Currency_ITOCPX" xfId="1008"/>
    <cellStyle name="Currency_jancf" xfId="1009"/>
    <cellStyle name="Currency_JUNMTH55" xfId="1010"/>
    <cellStyle name="Currency_JUNMTH57" xfId="1011"/>
    <cellStyle name="Currency_JUNYTD55" xfId="1012"/>
    <cellStyle name="Currency_JUNYTD57" xfId="1013"/>
    <cellStyle name="Currency_laroux" xfId="1014"/>
    <cellStyle name="Currency_laroux_1" xfId="1015"/>
    <cellStyle name="Currency_laroux_1995" xfId="1016"/>
    <cellStyle name="Currency_laroux_1_dimon" xfId="1017"/>
    <cellStyle name="Currency_laroux_1_dimon_1" xfId="1018"/>
    <cellStyle name="Currency_laroux_1_dimon_2" xfId="1019"/>
    <cellStyle name="Currency_laroux_1_dimon_3" xfId="1020"/>
    <cellStyle name="Currency_laroux_1_laroux" xfId="1021"/>
    <cellStyle name="Currency_laroux_1_laroux_1" xfId="1022"/>
    <cellStyle name="Currency_laroux_1_laroux_dimon" xfId="1023"/>
    <cellStyle name="Currency_laroux_1_Locas" xfId="1024"/>
    <cellStyle name="Currency_laroux_1_pldt" xfId="1025"/>
    <cellStyle name="Currency_laroux_1_PLDT_dimon" xfId="1026"/>
    <cellStyle name="Currency_laroux_1_VERA" xfId="1027"/>
    <cellStyle name="Currency_laroux_1_VERA_1" xfId="1028"/>
    <cellStyle name="Currency_laroux_1_VIRUS-EDY" xfId="1029"/>
    <cellStyle name="Currency_laroux_2" xfId="1030"/>
    <cellStyle name="Currency_laroux_2_dimon" xfId="1031"/>
    <cellStyle name="Currency_laroux_2_dimon_1" xfId="1032"/>
    <cellStyle name="Currency_laroux_2_dimon_2" xfId="1033"/>
    <cellStyle name="Currency_laroux_2_dimon_3" xfId="1034"/>
    <cellStyle name="Currency_laroux_2_laroux" xfId="1035"/>
    <cellStyle name="Currency_laroux_2_laroux_dimon" xfId="1036"/>
    <cellStyle name="Currency_laroux_2_Locas" xfId="1037"/>
    <cellStyle name="Currency_laroux_2_pldt" xfId="1038"/>
    <cellStyle name="Currency_laroux_2_PLDT_dimon" xfId="1039"/>
    <cellStyle name="Currency_laroux_2_VIRUS-EDY" xfId="1040"/>
    <cellStyle name="Currency_laroux_3" xfId="1041"/>
    <cellStyle name="Currency_laroux_3_dimon" xfId="1042"/>
    <cellStyle name="Currency_laroux_3_dimon_1" xfId="1043"/>
    <cellStyle name="Currency_laroux_3_dimon_2" xfId="1044"/>
    <cellStyle name="Currency_laroux_3_dimon_3" xfId="1045"/>
    <cellStyle name="Currency_laroux_4" xfId="1046"/>
    <cellStyle name="Currency_laroux_4_dimon" xfId="1047"/>
    <cellStyle name="Currency_laroux_4_dimon_1" xfId="1048"/>
    <cellStyle name="Currency_laroux_5" xfId="1049"/>
    <cellStyle name="Currency_laroux_6" xfId="1050"/>
    <cellStyle name="Currency_laroux_7" xfId="1051"/>
    <cellStyle name="Currency_laroux_8" xfId="1052"/>
    <cellStyle name="Currency_laroux_dimon" xfId="1053"/>
    <cellStyle name="Currency_laroux_dimon_1" xfId="1054"/>
    <cellStyle name="Currency_laroux_dimon_2" xfId="1055"/>
    <cellStyle name="Currency_laroux_dimon_3" xfId="1056"/>
    <cellStyle name="Currency_laroux_laroux" xfId="1057"/>
    <cellStyle name="Currency_laroux_laroux_1" xfId="1058"/>
    <cellStyle name="Currency_laroux_laroux_1_dimon" xfId="1059"/>
    <cellStyle name="Currency_laroux_laroux_dimon" xfId="1060"/>
    <cellStyle name="Currency_laroux_Locas" xfId="1061"/>
    <cellStyle name="Currency_laroux_pldt" xfId="1062"/>
    <cellStyle name="Currency_laroux_pldt_1" xfId="1063"/>
    <cellStyle name="Currency_laroux_VERA" xfId="1064"/>
    <cellStyle name="Currency_laroux_VERA_1" xfId="1065"/>
    <cellStyle name="Currency_laroux_VIRUS-EDY" xfId="1066"/>
    <cellStyle name="Currency_List" xfId="1067"/>
    <cellStyle name="Currency_MATERAL2" xfId="1068"/>
    <cellStyle name="Currency_MATERAL2_dimon" xfId="1069"/>
    <cellStyle name="Currency_MATERAL2_dimon_1" xfId="1070"/>
    <cellStyle name="Currency_MKGOCPX" xfId="1071"/>
    <cellStyle name="Currency_MOBCPX" xfId="1072"/>
    <cellStyle name="Currency_Module1" xfId="1073"/>
    <cellStyle name="Currency_mud plant bolted" xfId="1074"/>
    <cellStyle name="Currency_mud plant bolted_dimon" xfId="1075"/>
    <cellStyle name="Currency_mud plant bolted_dimon_1" xfId="1076"/>
    <cellStyle name="Currency_mud plant bolted_PLDT" xfId="1077"/>
    <cellStyle name="Currency_mud plant bolted_VERA" xfId="1078"/>
    <cellStyle name="Currency_mud plant bolted_VERA_1" xfId="1079"/>
    <cellStyle name="Currency_NA WITHOUT GOV'T &amp; PNX" xfId="1080"/>
    <cellStyle name="Currency_NAOBU10" xfId="1081"/>
    <cellStyle name="Currency_NAT ACCT" xfId="1082"/>
    <cellStyle name="Currency_NSACTUAL.XLS" xfId="1083"/>
    <cellStyle name="Currency_NX00" xfId="1084"/>
    <cellStyle name="Currency_Odner" xfId="1085"/>
    <cellStyle name="Currency_Odner (2)" xfId="1086"/>
    <cellStyle name="Currency_Odner (3)" xfId="1087"/>
    <cellStyle name="Currency_OFFDATA1" xfId="1088"/>
    <cellStyle name="Currency_OFFDATA1 (2)" xfId="1089"/>
    <cellStyle name="Currency_Operations" xfId="1090"/>
    <cellStyle name="Currency_opsmacro" xfId="1091"/>
    <cellStyle name="Currency_OSMOCPX" xfId="1092"/>
    <cellStyle name="Currency_Other Months" xfId="1093"/>
    <cellStyle name="Currency_Outlook" xfId="1094"/>
    <cellStyle name="Currency_pbdefault" xfId="1095"/>
    <cellStyle name="Currency_pbdefault_1" xfId="1096"/>
    <cellStyle name="Currency_percentages" xfId="1097"/>
    <cellStyle name="Currency_PERSONAL" xfId="1098"/>
    <cellStyle name="Currency_PGMKOCPX" xfId="1099"/>
    <cellStyle name="Currency_PGNW1" xfId="1100"/>
    <cellStyle name="Currency_PGNW2" xfId="1101"/>
    <cellStyle name="Currency_PGNWOCPX" xfId="1102"/>
    <cellStyle name="Currency_Pink" xfId="1103"/>
    <cellStyle name="Currency_PKDATA1" xfId="1104"/>
    <cellStyle name="Currency_PKDATA1 (2)" xfId="1105"/>
    <cellStyle name="Currency_Plan" xfId="1106"/>
    <cellStyle name="Currency_PLANT" xfId="1107"/>
    <cellStyle name="Currency_PLDT" xfId="1108"/>
    <cellStyle name="Currency_pldt_1" xfId="1109"/>
    <cellStyle name="Currency_PLDT_1_dimon" xfId="1110"/>
    <cellStyle name="Currency_pldt_1_dimon_1" xfId="1111"/>
    <cellStyle name="Currency_pldt_2" xfId="1112"/>
    <cellStyle name="Currency_pldt_Calculations" xfId="1113"/>
    <cellStyle name="Currency_PLDT_dimon" xfId="1114"/>
    <cellStyle name="Currency_pldt_dimon_1" xfId="1115"/>
    <cellStyle name="Currency_priccurv" xfId="1116"/>
    <cellStyle name="Currency_PriceCurve" xfId="1117"/>
    <cellStyle name="Currency_PriceCurve_1" xfId="1118"/>
    <cellStyle name="Currency_PROCDS&amp;G" xfId="1119"/>
    <cellStyle name="Currency_PROFILE4" xfId="1120"/>
    <cellStyle name="Currency_Projects" xfId="1121"/>
    <cellStyle name="Currency_Quarter End Months" xfId="1122"/>
    <cellStyle name="Currency_r1" xfId="1123"/>
    <cellStyle name="Currency_RFI" xfId="1124"/>
    <cellStyle name="Currency_RFI_1" xfId="1125"/>
    <cellStyle name="Currency_Sales Order" xfId="1126"/>
    <cellStyle name="Currency_Salton Sea 4" xfId="1127"/>
    <cellStyle name="Currency_SATOCPX" xfId="1128"/>
    <cellStyle name="Currency_ScreeningModel" xfId="1129"/>
    <cellStyle name="Currency_SELECT" xfId="1130"/>
    <cellStyle name="Currency_SHEET" xfId="1131"/>
    <cellStyle name="Currency_Sheet1" xfId="1132"/>
    <cellStyle name="Currency_Sheet1 (2)" xfId="1133"/>
    <cellStyle name="Currency_Sheet1_dimon" xfId="1134"/>
    <cellStyle name="Currency_SHENREPT" xfId="1135"/>
    <cellStyle name="Currency_Snr. CO" xfId="1136"/>
    <cellStyle name="Currency_sprint contr" xfId="1137"/>
    <cellStyle name="Currency_Subcont File" xfId="1138"/>
    <cellStyle name="Currency_SUMMARY" xfId="1139"/>
    <cellStyle name="Currency_Summary Info" xfId="1140"/>
    <cellStyle name="Currency_SUMPAGE" xfId="1141"/>
    <cellStyle name="Currency_Template" xfId="1142"/>
    <cellStyle name="Currency_TMSNW1" xfId="1143"/>
    <cellStyle name="Currency_TMSNW2" xfId="1144"/>
    <cellStyle name="Currency_TMSOCPX" xfId="1145"/>
    <cellStyle name="Currency_TOTAL MTH" xfId="1146"/>
    <cellStyle name="Currency_TOTAL YTD" xfId="1147"/>
    <cellStyle name="Currency_TRANSDSC.XLS" xfId="1148"/>
    <cellStyle name="Currency_TRANSFXA.XLS" xfId="1149"/>
    <cellStyle name="Currency_TRANSFXA.XLS_1" xfId="1150"/>
    <cellStyle name="Currency_TRANSIME.XLS" xfId="1151"/>
    <cellStyle name="Currency_TRANSIME.XLS_TRANSDSC.XLS" xfId="1152"/>
    <cellStyle name="Currency_TRANSIME.XLS_TRANSFXA.XLS" xfId="1153"/>
    <cellStyle name="Currency_VERA" xfId="1154"/>
    <cellStyle name="Currency_VIRUS-EDY" xfId="1155"/>
    <cellStyle name="Currency_VIRUS-EDY_1" xfId="1156"/>
    <cellStyle name="Currency_White" xfId="1157"/>
    <cellStyle name="Currency_WO Var. &amp; Tot. Exp." xfId="1158"/>
    <cellStyle name="Currency_WSP" xfId="1159"/>
    <cellStyle name="Currency_yrcao" xfId="1160"/>
    <cellStyle name="Currency_YREND55" xfId="1161"/>
    <cellStyle name="Currency_YREND57" xfId="1162"/>
    <cellStyle name="Currency_YTDCUR" xfId="1163"/>
    <cellStyle name="Currency_Yuma CE Strategic" xfId="1164"/>
    <cellStyle name="Date" xfId="1165"/>
    <cellStyle name="Dezimal [0]_Compiling Utility Macros" xfId="1166"/>
    <cellStyle name="Dezimal [0]_FixerSetupDlg" xfId="1167"/>
    <cellStyle name="Dezimal [0]_TemplateInformation" xfId="1168"/>
    <cellStyle name="Dezimal_Compiling Utility Macros" xfId="1169"/>
    <cellStyle name="Dezimal_FixerSetupDlg" xfId="1170"/>
    <cellStyle name="Dezimal_TemplateInformation" xfId="1171"/>
    <cellStyle name="Fixed" xfId="1172"/>
    <cellStyle name="Grey" xfId="1173"/>
    <cellStyle name="HEADER" xfId="1174"/>
    <cellStyle name="Heading 1" xfId="1175"/>
    <cellStyle name="Heading2" xfId="1176"/>
    <cellStyle name="HIGHLIGHT" xfId="1177"/>
    <cellStyle name="Hyperlink_dimon" xfId="1178"/>
    <cellStyle name="Input [yellow]" xfId="1179"/>
    <cellStyle name="no dec" xfId="1180"/>
    <cellStyle name="Normal - Style1" xfId="1181"/>
    <cellStyle name="Normal - Style1_dimon" xfId="1182"/>
    <cellStyle name="Normal_03_06_98 list _ecm deals 030998 excel95" xfId="1183"/>
    <cellStyle name="Normal_12matrix" xfId="1184"/>
    <cellStyle name="Normal_20196" xfId="1185"/>
    <cellStyle name="Normal_4018fin" xfId="1186"/>
    <cellStyle name="Normal_4021fin" xfId="1187"/>
    <cellStyle name="Normal_95CHART" xfId="1188"/>
    <cellStyle name="Normal_A" xfId="1189"/>
    <cellStyle name="Normal_A (2)" xfId="1190"/>
    <cellStyle name="Normal_A_dimon" xfId="1191"/>
    <cellStyle name="Normal_A_dimon_1" xfId="1192"/>
    <cellStyle name="Normal_A_PriceCurve" xfId="1193"/>
    <cellStyle name="Normal_A_VERA" xfId="1194"/>
    <cellStyle name="Normal_ACTUAL" xfId="1195"/>
    <cellStyle name="Normal_ACTUAL NA -OBU" xfId="1196"/>
    <cellStyle name="Normal_Actual vs." xfId="1197"/>
    <cellStyle name="Normal_ACTUAL_1" xfId="1198"/>
    <cellStyle name="Normal_ACTUAL_NA WITHOUT GOV'T &amp; PNX" xfId="1199"/>
    <cellStyle name="Normal_algasdefault" xfId="1200"/>
    <cellStyle name="Normal_algasdefault_1" xfId="1201"/>
    <cellStyle name="Normal_Alternative1" xfId="1202"/>
    <cellStyle name="Normal_Alternative1_1" xfId="1203"/>
    <cellStyle name="Normal_AOPS" xfId="1204"/>
    <cellStyle name="Normal_App E" xfId="1205"/>
    <cellStyle name="Normal_APR" xfId="1206"/>
    <cellStyle name="Normal_APR_laroux" xfId="1207"/>
    <cellStyle name="Normal_Apr_pldt" xfId="1208"/>
    <cellStyle name="Normal_Arapahoe" xfId="1209"/>
    <cellStyle name="Normal_Assumptions" xfId="1210"/>
    <cellStyle name="Normal_Assumptions_dimon" xfId="1211"/>
    <cellStyle name="Normal_Assumptions_summary" xfId="1212"/>
    <cellStyle name="Normal_B" xfId="1213"/>
    <cellStyle name="Normal_bahiadefault" xfId="1214"/>
    <cellStyle name="Normal_bahiadefault_1" xfId="1215"/>
    <cellStyle name="Normal_BIGOUT" xfId="1216"/>
    <cellStyle name="Normal_Book Depr" xfId="1217"/>
    <cellStyle name="Normal_Book3" xfId="1218"/>
    <cellStyle name="Normal_Book3_dimon" xfId="1219"/>
    <cellStyle name="Normal_BOP" xfId="1220"/>
    <cellStyle name="Normal_BOPBAL1" xfId="1221"/>
    <cellStyle name="Normal_BOPCBU" xfId="1222"/>
    <cellStyle name="Normal_BOPCBU (2)" xfId="1223"/>
    <cellStyle name="Normal_BOPCBU96" xfId="1224"/>
    <cellStyle name="Normal_BREPAIR" xfId="1225"/>
    <cellStyle name="Normal_BSAPPE.XLS" xfId="1226"/>
    <cellStyle name="Normal_BUDGET" xfId="1227"/>
    <cellStyle name="Normal_C-Cap intensity" xfId="1228"/>
    <cellStyle name="Normal_C-Capex%rev" xfId="1229"/>
    <cellStyle name="Normal_C-Line per Staff" xfId="1230"/>
    <cellStyle name="Normal_C-lines distribution" xfId="1231"/>
    <cellStyle name="Normal_C-Orig PLDT lines" xfId="1232"/>
    <cellStyle name="Normal_C-Ret on Rev" xfId="1233"/>
    <cellStyle name="Normal_C-ROACE" xfId="1234"/>
    <cellStyle name="Normal_Calculations" xfId="1235"/>
    <cellStyle name="Normal_Calculations (2)" xfId="1236"/>
    <cellStyle name="Normal_Calculations II" xfId="1237"/>
    <cellStyle name="Normal_Calculations II_1" xfId="1238"/>
    <cellStyle name="Normal_Calculations III" xfId="1239"/>
    <cellStyle name="Normal_Calculations_1" xfId="1240"/>
    <cellStyle name="Normal_Calculations_2" xfId="1241"/>
    <cellStyle name="Normal_Capex" xfId="1242"/>
    <cellStyle name="Normal_Capex per line" xfId="1243"/>
    <cellStyle name="Normal_Capex%rev" xfId="1244"/>
    <cellStyle name="Normal_CAPEX2" xfId="1245"/>
    <cellStyle name="Normal_CAPEX94" xfId="1246"/>
    <cellStyle name="Normal_CAPEX_dimon" xfId="1247"/>
    <cellStyle name="Normal_CAPEX_VERA" xfId="1248"/>
    <cellStyle name="Normal_CAPEXPWI.XLS" xfId="1249"/>
    <cellStyle name="Normal_CAPEXPWO.XLS" xfId="1250"/>
    <cellStyle name="Normal_CapInt" xfId="1251"/>
    <cellStyle name="Normal_Cardig GHS" xfId="1252"/>
    <cellStyle name="Normal_Cash Flows" xfId="1253"/>
    <cellStyle name="Normal_Cashflow" xfId="1254"/>
    <cellStyle name="Normal_CBU BOX CHART V PLAN" xfId="1255"/>
    <cellStyle name="Normal_CBU BOX CHART V PLAN_1" xfId="1256"/>
    <cellStyle name="Normal_CCOCPX" xfId="1257"/>
    <cellStyle name="Normal_CEL-C-CO.XLS" xfId="1258"/>
    <cellStyle name="Normal_Certs Q2" xfId="1259"/>
    <cellStyle name="Normal_Certs Q2 (2)" xfId="1260"/>
    <cellStyle name="Normal_cf0402_ndf" xfId="1261"/>
    <cellStyle name="Normal_CFMACROS.XLM" xfId="1262"/>
    <cellStyle name="Normal_CFMODEL" xfId="1263"/>
    <cellStyle name="Normal_CFMODEL.XLS" xfId="1264"/>
    <cellStyle name="Normal_CFTEST49" xfId="1265"/>
    <cellStyle name="Normal_CHANGES.XLS" xfId="1266"/>
    <cellStyle name="Normal_CHANGES.XLS_1" xfId="1267"/>
    <cellStyle name="Normal_chase1026" xfId="1268"/>
    <cellStyle name="Normal_ChgLoan" xfId="1269"/>
    <cellStyle name="Normal_Cht-Capex per line" xfId="1270"/>
    <cellStyle name="Normal_Cht-Cum Real Opr Cf" xfId="1271"/>
    <cellStyle name="Normal_Cht-Dep%Rev" xfId="1272"/>
    <cellStyle name="Normal_Cht-Real Opr Cf" xfId="1273"/>
    <cellStyle name="Normal_Cht-Rev dist" xfId="1274"/>
    <cellStyle name="Normal_Cht-Rev p line" xfId="1275"/>
    <cellStyle name="Normal_Cht-Rev per Staff" xfId="1276"/>
    <cellStyle name="Normal_Cht-Staff cost%revenue" xfId="1277"/>
    <cellStyle name="Normal_Co-wide Monthly" xfId="1278"/>
    <cellStyle name="Normal_Co-wide Monthly_dimon" xfId="1279"/>
    <cellStyle name="Normal_Code" xfId="1280"/>
    <cellStyle name="Normal_COMOTH" xfId="1281"/>
    <cellStyle name="Normal_coperdefault" xfId="1282"/>
    <cellStyle name="Normal_coperdefault_1" xfId="1283"/>
    <cellStyle name="Normal_Corp method" xfId="1284"/>
    <cellStyle name="Normal_COSO Capex" xfId="1285"/>
    <cellStyle name="Normal_Cost Code" xfId="1286"/>
    <cellStyle name="Normal_CROCF" xfId="1287"/>
    <cellStyle name="Normal_CTCUR" xfId="1288"/>
    <cellStyle name="Normal_Cum Real Opr Cf" xfId="1289"/>
    <cellStyle name="Normal_CUMPLTCH" xfId="1290"/>
    <cellStyle name="Normal_CurrencySKorea" xfId="1291"/>
    <cellStyle name="Normal_Curve_Economics" xfId="1292"/>
    <cellStyle name="Normal_Curve_Economics_1" xfId="1293"/>
    <cellStyle name="Normal_DAS Imperial 12-24-98 5PM" xfId="1294"/>
    <cellStyle name="Normal_DEFAULT" xfId="1295"/>
    <cellStyle name="Normal_Demand Fcst." xfId="1296"/>
    <cellStyle name="Normal_Dep%Rev" xfId="1297"/>
    <cellStyle name="Normal_Depletion" xfId="1298"/>
    <cellStyle name="Normal_DeskCurves" xfId="1299"/>
    <cellStyle name="Normal_dimon" xfId="1300"/>
    <cellStyle name="Normal_dimon_1" xfId="1301"/>
    <cellStyle name="Normal_dimon_2" xfId="1302"/>
    <cellStyle name="Normal_dimon_3" xfId="1303"/>
    <cellStyle name="Normal_dimon_4" xfId="1304"/>
    <cellStyle name="Normal_DIV" xfId="1305"/>
    <cellStyle name="Normal_Dowell C1b" xfId="1306"/>
    <cellStyle name="Normal_Dowell-C1a" xfId="1307"/>
    <cellStyle name="Normal_DRAFT Order Summary" xfId="1308"/>
    <cellStyle name="Normal_Dummy1" xfId="1309"/>
    <cellStyle name="Normal_E&amp;ONW1" xfId="1310"/>
    <cellStyle name="Normal_E&amp;ONW2" xfId="1311"/>
    <cellStyle name="Normal_E&amp;OOCPX" xfId="1312"/>
    <cellStyle name="Normal_Effective Tax Rate" xfId="1313"/>
    <cellStyle name="Normal_emserdefault" xfId="1314"/>
    <cellStyle name="Normal_emserdefault_1" xfId="1315"/>
    <cellStyle name="Normal_EPS" xfId="1316"/>
    <cellStyle name="Normal_EQCON" xfId="1317"/>
    <cellStyle name="Normal_EVER1" xfId="1318"/>
    <cellStyle name="Normal_export 61898" xfId="1319"/>
    <cellStyle name="Normal_export deals 050898" xfId="1320"/>
    <cellStyle name="Normal_EXTEMP1" xfId="1321"/>
    <cellStyle name="Normal_F&amp;COCPX" xfId="1322"/>
    <cellStyle name="Normal_FEBRUARY" xfId="1323"/>
    <cellStyle name="Normal_FF" xfId="1324"/>
    <cellStyle name="Normal_FP 20 A (1)" xfId="1325"/>
    <cellStyle name="Normal_FP 20 A (2)" xfId="1326"/>
    <cellStyle name="Normal_FP-20 (App. E)" xfId="1327"/>
    <cellStyle name="Normal_FP-20 (App.A) " xfId="1328"/>
    <cellStyle name="Normal_FP-20 (App.A) _1" xfId="1329"/>
    <cellStyle name="Normal_FP-20(C1) (a)" xfId="1330"/>
    <cellStyle name="Normal_FP-20(C1) (a) (2)" xfId="1331"/>
    <cellStyle name="Normal_FP-20(C1) (a)_1" xfId="1332"/>
    <cellStyle name="Normal_FP-20(C1) (b)" xfId="1333"/>
    <cellStyle name="Normal_FP-20(C1) (b) " xfId="1334"/>
    <cellStyle name="Normal_FP-20(C1) (b) (2)" xfId="1335"/>
    <cellStyle name="Normal_FP-20(C1) (e)" xfId="1336"/>
    <cellStyle name="Normal_FP20_C1A" xfId="1337"/>
    <cellStyle name="Normal_FP20_C1B" xfId="1338"/>
    <cellStyle name="Normal_GASDATA1" xfId="1339"/>
    <cellStyle name="Normal_GASDATA1 (2)" xfId="1340"/>
    <cellStyle name="Normal_GASDATA1_1" xfId="1341"/>
    <cellStyle name="Normal_GCM" xfId="1342"/>
    <cellStyle name="Normal_GE03" xfId="1343"/>
    <cellStyle name="Normal_GE04" xfId="1344"/>
    <cellStyle name="Normal_GenAssum" xfId="1345"/>
    <cellStyle name="Normal_GenMod" xfId="1346"/>
    <cellStyle name="Normal_GP C1a" xfId="1347"/>
    <cellStyle name="Normal_GP C1b" xfId="1348"/>
    <cellStyle name="Normal_GP_EI_3" xfId="1349"/>
    <cellStyle name="Normal_GQ C1A" xfId="1350"/>
    <cellStyle name="Normal_GQ C1B" xfId="1351"/>
    <cellStyle name="Normal_H" xfId="1352"/>
    <cellStyle name="Normal_HC" xfId="1353"/>
    <cellStyle name="Normal_Igobox" xfId="1354"/>
    <cellStyle name="Normal_Igobox_1" xfId="1355"/>
    <cellStyle name="Normal_Igobox_2" xfId="1356"/>
    <cellStyle name="Normal_Igobox_Imacros" xfId="1357"/>
    <cellStyle name="Normal_Igobox_IPP" xfId="1358"/>
    <cellStyle name="Normal_Igobox_Iprintbox" xfId="1359"/>
    <cellStyle name="Normal_Imacros" xfId="1360"/>
    <cellStyle name="Normal_Imacros_1" xfId="1361"/>
    <cellStyle name="Normal_Imacros_2" xfId="1362"/>
    <cellStyle name="Normal_Input" xfId="1363"/>
    <cellStyle name="Normal_INPUT_1" xfId="1364"/>
    <cellStyle name="Normal_INPUT_GenAssum" xfId="1365"/>
    <cellStyle name="Normal_Inputs" xfId="1366"/>
    <cellStyle name="Normal_Inputs_dimon" xfId="1367"/>
    <cellStyle name="Normal_Int. Data Table" xfId="1368"/>
    <cellStyle name="Normal_Int. Data Table_1" xfId="1369"/>
    <cellStyle name="Normal_INVREV" xfId="1370"/>
    <cellStyle name="Normal_IPM C1b" xfId="1371"/>
    <cellStyle name="Normal_IPMC1a" xfId="1372"/>
    <cellStyle name="Normal_IPP" xfId="1373"/>
    <cellStyle name="Normal_IPP Summary" xfId="1374"/>
    <cellStyle name="Normal_IPP_1" xfId="1375"/>
    <cellStyle name="Normal_IPP_1_Igobox" xfId="1376"/>
    <cellStyle name="Normal_IPP_1_Imacros" xfId="1377"/>
    <cellStyle name="Normal_IPP_1_Iprintbox" xfId="1378"/>
    <cellStyle name="Normal_IPP_2" xfId="1379"/>
    <cellStyle name="Normal_IPP_dimon" xfId="1380"/>
    <cellStyle name="Normal_Iprintbox" xfId="1381"/>
    <cellStyle name="Normal_Iprintbox_1" xfId="1382"/>
    <cellStyle name="Normal_Iprintbox_2" xfId="1383"/>
    <cellStyle name="Normal_IRR" xfId="1384"/>
    <cellStyle name="Normal_IS-Hold" xfId="1385"/>
    <cellStyle name="Normal_Iterbox" xfId="1386"/>
    <cellStyle name="Normal_ITOCPX" xfId="1387"/>
    <cellStyle name="Normal_jancf" xfId="1388"/>
    <cellStyle name="Normal_JUNMTH55" xfId="1389"/>
    <cellStyle name="Normal_JUNMTH57" xfId="1390"/>
    <cellStyle name="Normal_JUNYTD55" xfId="1391"/>
    <cellStyle name="Normal_JUNYTD57" xfId="1392"/>
    <cellStyle name="Normal_laroux" xfId="1393"/>
    <cellStyle name="Normal_laroux_1" xfId="1394"/>
    <cellStyle name="Normal_laroux_1_dimon" xfId="1395"/>
    <cellStyle name="Normal_laroux_1_dimon_1" xfId="1396"/>
    <cellStyle name="Normal_laroux_1_dimon_2" xfId="1397"/>
    <cellStyle name="Normal_laroux_1_laroux" xfId="1398"/>
    <cellStyle name="Normal_laroux_1_laroux_1" xfId="1399"/>
    <cellStyle name="Normal_laroux_1_laroux_2" xfId="1400"/>
    <cellStyle name="Normal_laroux_1_Locas" xfId="1401"/>
    <cellStyle name="Normal_laroux_1_Locas_1" xfId="1402"/>
    <cellStyle name="Normal_laroux_1_pldt" xfId="1403"/>
    <cellStyle name="Normal_laroux_1_pldt_1" xfId="1404"/>
    <cellStyle name="Normal_laroux_1_pldt_2" xfId="1405"/>
    <cellStyle name="Normal_laroux_1_pldt_3" xfId="1406"/>
    <cellStyle name="Normal_laroux_1_PLDT_dimon" xfId="1407"/>
    <cellStyle name="Normal_laroux_1_VERA" xfId="1408"/>
    <cellStyle name="Normal_laroux_1_VERA_1" xfId="1409"/>
    <cellStyle name="Normal_laroux_1_VIRUS-EDY" xfId="1410"/>
    <cellStyle name="Normal_laroux_2" xfId="1411"/>
    <cellStyle name="Normal_laroux_2_dimon" xfId="1412"/>
    <cellStyle name="Normal_laroux_2_dimon_1" xfId="1413"/>
    <cellStyle name="Normal_laroux_2_dimon_2" xfId="1414"/>
    <cellStyle name="Normal_laroux_2_dimon_3" xfId="1415"/>
    <cellStyle name="Normal_laroux_2_laroux" xfId="1416"/>
    <cellStyle name="Normal_laroux_2_laroux_1" xfId="1417"/>
    <cellStyle name="Normal_laroux_2_laroux_2" xfId="1418"/>
    <cellStyle name="Normal_laroux_2_Locas" xfId="1419"/>
    <cellStyle name="Normal_laroux_2_Locas_1" xfId="1420"/>
    <cellStyle name="Normal_laroux_2_pldt" xfId="1421"/>
    <cellStyle name="Normal_laroux_2_pldt_1" xfId="1422"/>
    <cellStyle name="Normal_laroux_2_pldt_2" xfId="1423"/>
    <cellStyle name="Normal_laroux_2_VIRUS-EDY" xfId="1424"/>
    <cellStyle name="Normal_laroux_3" xfId="1425"/>
    <cellStyle name="Normal_laroux_3_dimon" xfId="1426"/>
    <cellStyle name="Normal_laroux_3_dimon_1" xfId="1427"/>
    <cellStyle name="Normal_laroux_3_dimon_2" xfId="1428"/>
    <cellStyle name="Normal_laroux_3_dimon_3" xfId="1429"/>
    <cellStyle name="Normal_laroux_3_dimon_4" xfId="1430"/>
    <cellStyle name="Normal_laroux_3_laroux" xfId="1431"/>
    <cellStyle name="Normal_laroux_3_laroux_1" xfId="1432"/>
    <cellStyle name="Normal_laroux_3_laroux_2" xfId="1433"/>
    <cellStyle name="Normal_laroux_3_laroux_dimon" xfId="1434"/>
    <cellStyle name="Normal_laroux_3_Locas" xfId="1435"/>
    <cellStyle name="Normal_laroux_3_pldt" xfId="1436"/>
    <cellStyle name="Normal_laroux_3_pldt_1" xfId="1437"/>
    <cellStyle name="Normal_laroux_3_PLDT_dimon" xfId="1438"/>
    <cellStyle name="Normal_laroux_3_VERA" xfId="1439"/>
    <cellStyle name="Normal_laroux_3_VERA_1" xfId="1440"/>
    <cellStyle name="Normal_laroux_3_VIRUS-EDY" xfId="1441"/>
    <cellStyle name="Normal_laroux_4" xfId="1442"/>
    <cellStyle name="Normal_laroux_4_dimon" xfId="1443"/>
    <cellStyle name="Normal_laroux_4_dimon_1" xfId="1444"/>
    <cellStyle name="Normal_laroux_4_dimon_2" xfId="1445"/>
    <cellStyle name="Normal_laroux_4_dimon_3" xfId="1446"/>
    <cellStyle name="Normal_laroux_4_laroux" xfId="1447"/>
    <cellStyle name="Normal_laroux_4_laroux_1" xfId="1448"/>
    <cellStyle name="Normal_laroux_4_laroux_2" xfId="1449"/>
    <cellStyle name="Normal_laroux_4_pldt" xfId="1450"/>
    <cellStyle name="Normal_laroux_4_pldt_1" xfId="1451"/>
    <cellStyle name="Normal_laroux_4_pldt_2" xfId="1452"/>
    <cellStyle name="Normal_laroux_4_PLDT_dimon" xfId="1453"/>
    <cellStyle name="Normal_laroux_4_VERA" xfId="1454"/>
    <cellStyle name="Normal_laroux_4_VIRUS-EDY" xfId="1455"/>
    <cellStyle name="Normal_laroux_5" xfId="1456"/>
    <cellStyle name="Normal_laroux_5_dimon" xfId="1457"/>
    <cellStyle name="Normal_laroux_5_dimon_1" xfId="1458"/>
    <cellStyle name="Normal_laroux_5_dimon_2" xfId="1459"/>
    <cellStyle name="Normal_laroux_5_dimon_3" xfId="1460"/>
    <cellStyle name="Normal_laroux_5_laroux" xfId="1461"/>
    <cellStyle name="Normal_laroux_5_laroux_1" xfId="1462"/>
    <cellStyle name="Normal_laroux_5_laroux_2" xfId="1463"/>
    <cellStyle name="Normal_laroux_5_pldt" xfId="1464"/>
    <cellStyle name="Normal_laroux_5_pldt_1" xfId="1465"/>
    <cellStyle name="Normal_laroux_5_pldt_2" xfId="1466"/>
    <cellStyle name="Normal_laroux_5_pldt_3" xfId="1467"/>
    <cellStyle name="Normal_laroux_5_PLDT_dimon" xfId="1468"/>
    <cellStyle name="Normal_laroux_5_VERA" xfId="1469"/>
    <cellStyle name="Normal_laroux_5_VIRUS-EDY" xfId="1470"/>
    <cellStyle name="Normal_laroux_6" xfId="1471"/>
    <cellStyle name="Normal_laroux_6_dimon" xfId="1472"/>
    <cellStyle name="Normal_laroux_6_dimon_1" xfId="1473"/>
    <cellStyle name="Normal_laroux_6_dimon_2" xfId="1474"/>
    <cellStyle name="Normal_laroux_6_dimon_3" xfId="1475"/>
    <cellStyle name="Normal_laroux_6_laroux" xfId="1476"/>
    <cellStyle name="Normal_laroux_6_laroux_1" xfId="1477"/>
    <cellStyle name="Normal_laroux_6_laroux_dimon" xfId="1478"/>
    <cellStyle name="Normal_laroux_6_pldt" xfId="1479"/>
    <cellStyle name="Normal_laroux_6_pldt_1" xfId="1480"/>
    <cellStyle name="Normal_laroux_6_pldt_2" xfId="1481"/>
    <cellStyle name="Normal_laroux_6_PLDT_dimon" xfId="1482"/>
    <cellStyle name="Normal_laroux_6_VERA" xfId="1483"/>
    <cellStyle name="Normal_laroux_6_VIRUS-EDY" xfId="1484"/>
    <cellStyle name="Normal_laroux_7" xfId="1485"/>
    <cellStyle name="Normal_laroux_7_dimon" xfId="1486"/>
    <cellStyle name="Normal_laroux_7_dimon_1" xfId="1487"/>
    <cellStyle name="Normal_laroux_7_dimon_2" xfId="1488"/>
    <cellStyle name="Normal_laroux_7_laroux" xfId="1489"/>
    <cellStyle name="Normal_laroux_7_pldt" xfId="1490"/>
    <cellStyle name="Normal_laroux_7_pldt_1" xfId="1491"/>
    <cellStyle name="Normal_laroux_7_VERA" xfId="1492"/>
    <cellStyle name="Normal_laroux_7_VIRUS-EDY" xfId="1493"/>
    <cellStyle name="Normal_laroux_8" xfId="1494"/>
    <cellStyle name="Normal_laroux_8_dimon" xfId="1495"/>
    <cellStyle name="Normal_laroux_8_dimon_1" xfId="1496"/>
    <cellStyle name="Normal_laroux_8_pldt" xfId="1497"/>
    <cellStyle name="Normal_laroux_8_pldt_1" xfId="1498"/>
    <cellStyle name="Normal_laroux_8_VERA" xfId="1499"/>
    <cellStyle name="Normal_laroux_9" xfId="1500"/>
    <cellStyle name="Normal_laroux_9_dimon" xfId="1501"/>
    <cellStyle name="Normal_laroux_9_dimon_1" xfId="1502"/>
    <cellStyle name="Normal_laroux_A" xfId="1503"/>
    <cellStyle name="Normal_laroux_B" xfId="1504"/>
    <cellStyle name="Normal_laroux_C" xfId="1505"/>
    <cellStyle name="Normal_laroux_D" xfId="1506"/>
    <cellStyle name="Normal_laroux_dimon" xfId="1507"/>
    <cellStyle name="Normal_laroux_dimon_1" xfId="1508"/>
    <cellStyle name="Normal_laroux_dimon_2" xfId="1509"/>
    <cellStyle name="Normal_laroux_dimon_3" xfId="1510"/>
    <cellStyle name="Normal_laroux_dimon_4" xfId="1511"/>
    <cellStyle name="Normal_laroux_dimon_5" xfId="1512"/>
    <cellStyle name="Normal_laroux_laroux" xfId="1513"/>
    <cellStyle name="Normal_laroux_laroux_1" xfId="1514"/>
    <cellStyle name="Normal_laroux_laroux_2" xfId="1515"/>
    <cellStyle name="Normal_laroux_Locas" xfId="1516"/>
    <cellStyle name="Normal_laroux_pldt" xfId="1517"/>
    <cellStyle name="Normal_laroux_pldt_1" xfId="1518"/>
    <cellStyle name="Normal_laroux_pldt_2" xfId="1519"/>
    <cellStyle name="Normal_laroux_pldt_3" xfId="1520"/>
    <cellStyle name="Normal_laroux_PLDT_dimon" xfId="1521"/>
    <cellStyle name="Normal_laroux_VERA" xfId="1522"/>
    <cellStyle name="Normal_laroux_VERA_1" xfId="1523"/>
    <cellStyle name="Normal_laroux_VIRUS-EDY" xfId="1524"/>
    <cellStyle name="Normal_Line Inst." xfId="1525"/>
    <cellStyle name="Normal_List" xfId="1526"/>
    <cellStyle name="Normal_Locas" xfId="1527"/>
    <cellStyle name="Normal_Locas_1" xfId="1528"/>
    <cellStyle name="Normal_Lock" xfId="1529"/>
    <cellStyle name="Normal_MAJREP" xfId="1530"/>
    <cellStyle name="Normal_Master" xfId="1531"/>
    <cellStyle name="Normal_MATERAL2" xfId="1532"/>
    <cellStyle name="Normal_MATERAL2_dimon" xfId="1533"/>
    <cellStyle name="Normal_MED-A-CO.XLS" xfId="1534"/>
    <cellStyle name="Normal_MID CURVE" xfId="1535"/>
    <cellStyle name="Normal_MKGOCPX" xfId="1536"/>
    <cellStyle name="Normal_Mkt Shr" xfId="1537"/>
    <cellStyle name="Normal_MOBCPX" xfId="1538"/>
    <cellStyle name="Normal_Module1" xfId="1539"/>
    <cellStyle name="Normal_Module1 (2)" xfId="1540"/>
    <cellStyle name="Normal_Module1 (2)_1" xfId="1541"/>
    <cellStyle name="Normal_MONTHLY" xfId="1542"/>
    <cellStyle name="Normal_MOR  - Supp" xfId="1543"/>
    <cellStyle name="Normal_mud plant bolted" xfId="1544"/>
    <cellStyle name="Normal_mud plant bolted_dimon" xfId="1545"/>
    <cellStyle name="Normal_Multikarya" xfId="1546"/>
    <cellStyle name="Normal_NA WITHOUT GOV'T &amp; PNX" xfId="1547"/>
    <cellStyle name="Normal_NAOBU10" xfId="1548"/>
    <cellStyle name="Normal_NAT ACCT" xfId="1549"/>
    <cellStyle name="Normal_NCR-C&amp;W Val" xfId="1550"/>
    <cellStyle name="Normal_NCR-Cap intensity" xfId="1551"/>
    <cellStyle name="Normal_NCR-Line per Staff" xfId="1552"/>
    <cellStyle name="Normal_NCR-Rev dist" xfId="1553"/>
    <cellStyle name="Normal_NEHQ-ACT.XLS" xfId="1554"/>
    <cellStyle name="Normal_NS-A-CO.XLS" xfId="1555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FFDATA1" xfId="0"/>
    <cellStyle name="Normal_OFFDATA1 (2)" xfId="0"/>
    <cellStyle name="Normal_OFFDATA1_1" xfId="0"/>
    <cellStyle name="Normal_Op Cost Break" xfId="0"/>
    <cellStyle name="Normal_Operations" xfId="0"/>
    <cellStyle name="Normal_opsmacro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KDATA1" xfId="0"/>
    <cellStyle name="Normal_PKDATA1 (2)" xfId="0"/>
    <cellStyle name="Normal_PKDATA1_1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342720</xdr:colOff>
          <xdr:row>26</xdr:row>
          <xdr:rowOff>19080</xdr:rowOff>
        </xdr:from>
        <xdr:to>
          <xdr:col>3</xdr:col>
          <xdr:colOff>564120</xdr:colOff>
          <xdr:row>28</xdr:row>
          <xdr:rowOff>171360</xdr:rowOff>
        </xdr:to>
        <xdr:sp>
          <xdr:nvSpPr>
            <xdr:cNvPr id="1001" name="Button 422" descr="Goal Seek Equit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Equity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nco/Valuation/05-08-00/Peaker%20Valuation%200508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enco/Valuation/03-29-00/00%20O&amp;M%20analysis%20-%2000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apacity Prices"/>
      <sheetName val="Assumptions"/>
      <sheetName val="Spark-Spread"/>
      <sheetName val="99 Acct Sumry"/>
      <sheetName val="00 Acct Sumry"/>
      <sheetName val="Consolidated"/>
      <sheetName val="Brownsville"/>
      <sheetName val="Caledonia"/>
      <sheetName val="New Albany"/>
      <sheetName val="Gleason"/>
      <sheetName val="Wheatland"/>
      <sheetName val="Wilton"/>
      <sheetName val="Depreciation"/>
      <sheetName val="Notes"/>
      <sheetName val="Process"/>
      <sheetName val="Changes"/>
      <sheetName val="Start Charge 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ariance"/>
      <sheetName val="Consol Summary"/>
      <sheetName val="WC Summ"/>
      <sheetName val="WC MO"/>
      <sheetName val="WC YTD"/>
      <sheetName val="WH Summ"/>
      <sheetName val="WH MO"/>
      <sheetName val="WH YTD"/>
      <sheetName val="Gl Summ"/>
      <sheetName val="Gl MO"/>
      <sheetName val="Gl 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8.85"/>
    <col collapsed="false" customWidth="true" hidden="false" outlineLevel="0" max="3" min="2" style="1" width="10.28"/>
    <col collapsed="false" customWidth="true" hidden="false" outlineLevel="0" max="4" min="4" style="1" width="12.42"/>
    <col collapsed="false" customWidth="true" hidden="false" outlineLevel="0" max="5" min="5" style="1" width="20.56"/>
    <col collapsed="false" customWidth="true" hidden="false" outlineLevel="0" max="6" min="6" style="1" width="11.56"/>
    <col collapsed="false" customWidth="true" hidden="false" outlineLevel="0" max="7" min="7" style="1" width="9.7"/>
    <col collapsed="false" customWidth="false" hidden="false" outlineLevel="0" max="257" min="8" style="1" width="9.14"/>
  </cols>
  <sheetData>
    <row r="1" customFormat="false" ht="12.75" hidden="false" customHeight="false" outlineLevel="0" collapsed="false">
      <c r="A1" s="2"/>
    </row>
    <row r="2" customFormat="false" ht="12.75" hidden="false" customHeight="false" outlineLevel="0" collapsed="false">
      <c r="A2" s="3" t="s">
        <v>0</v>
      </c>
      <c r="B2" s="4"/>
      <c r="C2" s="4"/>
      <c r="D2" s="4"/>
    </row>
    <row r="4" customFormat="false" ht="13.5" hidden="false" customHeight="false" outlineLevel="0" collapsed="false"/>
    <row r="5" customFormat="false" ht="12.75" hidden="false" customHeight="false" outlineLevel="0" collapsed="false">
      <c r="A5" s="5" t="s">
        <v>1</v>
      </c>
      <c r="B5" s="6"/>
      <c r="C5" s="6"/>
      <c r="D5" s="6"/>
      <c r="E5" s="7"/>
      <c r="F5" s="7"/>
      <c r="G5" s="8"/>
    </row>
    <row r="6" customFormat="false" ht="12.75" hidden="false" customHeight="false" outlineLevel="0" collapsed="false">
      <c r="A6" s="9" t="s">
        <v>2</v>
      </c>
      <c r="B6" s="10" t="s">
        <v>3</v>
      </c>
      <c r="C6" s="11" t="s">
        <v>4</v>
      </c>
      <c r="D6" s="12"/>
      <c r="E6" s="13" t="s">
        <v>5</v>
      </c>
      <c r="F6" s="10" t="s">
        <v>3</v>
      </c>
      <c r="G6" s="14" t="s">
        <v>4</v>
      </c>
    </row>
    <row r="7" customFormat="false" ht="12.75" hidden="false" customHeight="false" outlineLevel="0" collapsed="false">
      <c r="A7" s="15" t="s">
        <v>6</v>
      </c>
      <c r="B7" s="16" t="n">
        <f aca="false">C7/$C$9</f>
        <v>0.557986632678756</v>
      </c>
      <c r="C7" s="17" t="n">
        <f aca="false">B28</f>
        <v>440765.811903581</v>
      </c>
      <c r="D7" s="18"/>
      <c r="E7" s="13" t="s">
        <v>7</v>
      </c>
      <c r="F7" s="19" t="n">
        <f aca="false">G7/G9</f>
        <v>1</v>
      </c>
      <c r="G7" s="20" t="n">
        <f aca="false">C9</f>
        <v>789921.811903581</v>
      </c>
    </row>
    <row r="8" customFormat="false" ht="12.75" hidden="false" customHeight="false" outlineLevel="0" collapsed="false">
      <c r="A8" s="9" t="s">
        <v>8</v>
      </c>
      <c r="B8" s="21" t="n">
        <f aca="false">C8/$C$9</f>
        <v>0.442013367321244</v>
      </c>
      <c r="C8" s="22" t="n">
        <f aca="false">E15</f>
        <v>349156</v>
      </c>
      <c r="D8" s="23"/>
      <c r="E8" s="24"/>
      <c r="G8" s="25"/>
    </row>
    <row r="9" customFormat="false" ht="13.5" hidden="false" customHeight="false" outlineLevel="0" collapsed="false">
      <c r="A9" s="26" t="s">
        <v>9</v>
      </c>
      <c r="B9" s="27" t="n">
        <f aca="false">SUM(B7:B8)</f>
        <v>1</v>
      </c>
      <c r="C9" s="28" t="n">
        <f aca="false">SUM(C7:C8)</f>
        <v>789921.811903581</v>
      </c>
      <c r="D9" s="29"/>
      <c r="E9" s="30" t="s">
        <v>10</v>
      </c>
      <c r="F9" s="31" t="n">
        <f aca="false">SUM(F7)</f>
        <v>1</v>
      </c>
      <c r="G9" s="32" t="n">
        <f aca="false">SUM(G7)</f>
        <v>789921.811903581</v>
      </c>
    </row>
    <row r="10" customFormat="false" ht="13.5" hidden="false" customHeight="false" outlineLevel="0" collapsed="false">
      <c r="A10" s="33"/>
      <c r="B10" s="34"/>
      <c r="C10" s="22"/>
      <c r="D10" s="12"/>
      <c r="E10" s="12"/>
      <c r="F10" s="35"/>
      <c r="G10" s="36"/>
    </row>
    <row r="11" customFormat="false" ht="12.75" hidden="false" customHeight="false" outlineLevel="0" collapsed="false">
      <c r="A11" s="5" t="s">
        <v>11</v>
      </c>
      <c r="B11" s="7"/>
      <c r="C11" s="7"/>
      <c r="D11" s="37"/>
      <c r="E11" s="7"/>
      <c r="F11" s="7"/>
      <c r="G11" s="8"/>
    </row>
    <row r="12" customFormat="false" ht="12.75" hidden="false" customHeight="false" outlineLevel="0" collapsed="false">
      <c r="A12" s="38"/>
      <c r="B12" s="39" t="s">
        <v>12</v>
      </c>
      <c r="C12" s="39" t="s">
        <v>13</v>
      </c>
      <c r="D12" s="39" t="s">
        <v>14</v>
      </c>
      <c r="E12" s="39" t="s">
        <v>15</v>
      </c>
      <c r="F12" s="40"/>
      <c r="G12" s="41"/>
    </row>
    <row r="13" customFormat="false" ht="12.75" hidden="false" customHeight="false" outlineLevel="0" collapsed="false">
      <c r="A13" s="42" t="s">
        <v>16</v>
      </c>
      <c r="B13" s="43"/>
      <c r="C13" s="43"/>
      <c r="D13" s="43"/>
      <c r="E13" s="12"/>
      <c r="F13" s="12"/>
      <c r="G13" s="25"/>
    </row>
    <row r="14" customFormat="false" ht="12.75" hidden="false" customHeight="false" outlineLevel="0" collapsed="false">
      <c r="A14" s="44" t="s">
        <v>17</v>
      </c>
      <c r="C14" s="45" t="n">
        <v>36892</v>
      </c>
      <c r="D14" s="12"/>
      <c r="E14" s="12"/>
      <c r="F14" s="12"/>
      <c r="G14" s="25"/>
    </row>
    <row r="15" customFormat="false" ht="12.75" hidden="false" customHeight="false" outlineLevel="0" collapsed="false">
      <c r="A15" s="44" t="s">
        <v>18</v>
      </c>
      <c r="B15" s="46" t="n">
        <v>0</v>
      </c>
      <c r="C15" s="46" t="n">
        <v>112931</v>
      </c>
      <c r="D15" s="46" t="n">
        <v>236225</v>
      </c>
      <c r="E15" s="47" t="n">
        <f aca="false">SUM(B15:D15)</f>
        <v>349156</v>
      </c>
      <c r="F15" s="48"/>
      <c r="G15" s="49"/>
    </row>
    <row r="16" customFormat="false" ht="12.75" hidden="false" customHeight="false" outlineLevel="0" collapsed="false">
      <c r="A16" s="44" t="s">
        <v>19</v>
      </c>
      <c r="B16" s="50" t="e">
        <f aca="false">Debt!E98</f>
        <v>#N/A</v>
      </c>
      <c r="C16" s="50" t="n">
        <f aca="false">Debt!J98</f>
        <v>9.9958932238193</v>
      </c>
      <c r="D16" s="50" t="n">
        <f aca="false">Debt!O98</f>
        <v>19.9972621492129</v>
      </c>
      <c r="E16" s="51"/>
      <c r="F16" s="48"/>
      <c r="G16" s="49"/>
    </row>
    <row r="17" customFormat="false" ht="12.75" hidden="false" customHeight="false" outlineLevel="0" collapsed="false">
      <c r="A17" s="44" t="s">
        <v>20</v>
      </c>
      <c r="B17" s="45" t="e">
        <f aca="false">NA()</f>
        <v>#N/A</v>
      </c>
      <c r="C17" s="45" t="n">
        <v>40543</v>
      </c>
      <c r="D17" s="45" t="n">
        <v>44196</v>
      </c>
      <c r="E17" s="47"/>
      <c r="F17" s="12"/>
      <c r="G17" s="25"/>
    </row>
    <row r="18" customFormat="false" ht="12.75" hidden="false" customHeight="false" outlineLevel="0" collapsed="false">
      <c r="A18" s="44" t="s">
        <v>21</v>
      </c>
      <c r="B18" s="52" t="str">
        <f aca="false">Debt!E99</f>
        <v/>
      </c>
      <c r="C18" s="52" t="n">
        <f aca="false">Debt!J99</f>
        <v>5.87656454483231</v>
      </c>
      <c r="D18" s="52" t="n">
        <f aca="false">Debt!O99</f>
        <v>15.9577752224504</v>
      </c>
      <c r="E18" s="53"/>
      <c r="F18" s="12"/>
      <c r="G18" s="25"/>
    </row>
    <row r="19" customFormat="false" ht="12.75" hidden="false" customHeight="false" outlineLevel="0" collapsed="false">
      <c r="A19" s="44"/>
      <c r="B19" s="12"/>
      <c r="C19" s="12"/>
      <c r="D19" s="12"/>
      <c r="E19" s="47"/>
      <c r="F19" s="12"/>
      <c r="G19" s="25"/>
    </row>
    <row r="20" customFormat="false" ht="12.75" hidden="false" customHeight="false" outlineLevel="0" collapsed="false">
      <c r="A20" s="38" t="s">
        <v>22</v>
      </c>
      <c r="B20" s="54" t="n">
        <v>0.068</v>
      </c>
      <c r="C20" s="54" t="n">
        <v>0.065</v>
      </c>
      <c r="D20" s="54" t="n">
        <v>0.062</v>
      </c>
      <c r="E20" s="55" t="n">
        <f aca="false">SUMPRODUCT(B20:D20,$B$15:$D$15)/E15</f>
        <v>0.0629703198570267</v>
      </c>
      <c r="F20" s="12"/>
      <c r="G20" s="25"/>
    </row>
    <row r="21" customFormat="false" ht="12.75" hidden="false" customHeight="false" outlineLevel="0" collapsed="false">
      <c r="A21" s="56" t="s">
        <v>23</v>
      </c>
      <c r="B21" s="57" t="n">
        <v>0.0225</v>
      </c>
      <c r="C21" s="57" t="n">
        <v>0.045</v>
      </c>
      <c r="D21" s="57" t="n">
        <v>0.05</v>
      </c>
      <c r="E21" s="58" t="n">
        <f aca="false">SUMPRODUCT(B21:D21,$B$15:$D$15)/E15</f>
        <v>0.0483828002382889</v>
      </c>
      <c r="F21" s="12"/>
      <c r="G21" s="25"/>
    </row>
    <row r="22" customFormat="false" ht="12.75" hidden="false" customHeight="false" outlineLevel="0" collapsed="false">
      <c r="A22" s="44" t="s">
        <v>24</v>
      </c>
      <c r="B22" s="59" t="n">
        <f aca="false">SUM(B20:B21)</f>
        <v>0.0905</v>
      </c>
      <c r="C22" s="59" t="n">
        <f aca="false">SUM(C20:C21)</f>
        <v>0.11</v>
      </c>
      <c r="D22" s="59" t="n">
        <f aca="false">SUM(D20:D21)</f>
        <v>0.112</v>
      </c>
      <c r="E22" s="55" t="n">
        <f aca="false">SUMPRODUCT(B22:D22,$B$15:$D$15)/E15</f>
        <v>0.111353120095316</v>
      </c>
      <c r="F22" s="12"/>
      <c r="G22" s="25"/>
    </row>
    <row r="23" customFormat="false" ht="12.75" hidden="false" customHeight="false" outlineLevel="0" collapsed="false">
      <c r="A23" s="38"/>
      <c r="B23" s="12"/>
      <c r="C23" s="12"/>
      <c r="D23" s="12"/>
      <c r="E23" s="59"/>
      <c r="F23" s="12"/>
      <c r="G23" s="25"/>
    </row>
    <row r="24" customFormat="false" ht="12.75" hidden="false" customHeight="false" outlineLevel="0" collapsed="false">
      <c r="A24" s="38" t="s">
        <v>25</v>
      </c>
      <c r="B24" s="60" t="n">
        <v>0.05</v>
      </c>
      <c r="C24" s="12"/>
      <c r="D24" s="12"/>
      <c r="E24" s="61"/>
      <c r="F24" s="62"/>
      <c r="G24" s="63"/>
    </row>
    <row r="25" customFormat="false" ht="12.75" hidden="false" customHeight="false" outlineLevel="0" collapsed="false">
      <c r="A25" s="38"/>
      <c r="B25" s="12"/>
      <c r="C25" s="12"/>
      <c r="D25" s="12"/>
      <c r="E25" s="12"/>
      <c r="F25" s="18"/>
      <c r="G25" s="25"/>
    </row>
    <row r="26" customFormat="false" ht="12.75" hidden="false" customHeight="false" outlineLevel="0" collapsed="false">
      <c r="A26" s="42" t="s">
        <v>26</v>
      </c>
      <c r="B26" s="12"/>
      <c r="C26" s="12"/>
      <c r="D26" s="12"/>
      <c r="E26" s="12"/>
      <c r="F26" s="12"/>
      <c r="G26" s="25"/>
    </row>
    <row r="27" customFormat="false" ht="12.75" hidden="false" customHeight="false" outlineLevel="0" collapsed="false">
      <c r="A27" s="44" t="s">
        <v>27</v>
      </c>
      <c r="B27" s="45" t="n">
        <v>36892</v>
      </c>
      <c r="C27" s="12"/>
      <c r="D27" s="12"/>
      <c r="E27" s="12"/>
      <c r="F27" s="12"/>
      <c r="G27" s="25"/>
    </row>
    <row r="28" customFormat="false" ht="12.75" hidden="false" customHeight="false" outlineLevel="0" collapsed="false">
      <c r="A28" s="44" t="s">
        <v>18</v>
      </c>
      <c r="B28" s="64" t="n">
        <v>440765.811903581</v>
      </c>
      <c r="C28" s="12"/>
      <c r="D28" s="12"/>
      <c r="E28" s="12"/>
      <c r="F28" s="12"/>
      <c r="G28" s="25"/>
    </row>
    <row r="29" customFormat="false" ht="13.5" hidden="false" customHeight="false" outlineLevel="0" collapsed="false">
      <c r="A29" s="65" t="s">
        <v>28</v>
      </c>
      <c r="B29" s="66" t="n">
        <v>0.14</v>
      </c>
      <c r="C29" s="29"/>
      <c r="D29" s="29"/>
      <c r="E29" s="29"/>
      <c r="F29" s="29"/>
      <c r="G29" s="67"/>
    </row>
    <row r="30" customFormat="false" ht="13.5" hidden="false" customHeight="false" outlineLevel="0" collapsed="false">
      <c r="A30" s="12"/>
      <c r="B30" s="12"/>
      <c r="C30" s="12"/>
      <c r="D30" s="12"/>
      <c r="E30" s="12"/>
      <c r="F30" s="12"/>
      <c r="G30" s="12"/>
    </row>
    <row r="31" customFormat="false" ht="12.75" hidden="false" customHeight="false" outlineLevel="0" collapsed="false">
      <c r="A31" s="68" t="s">
        <v>29</v>
      </c>
      <c r="B31" s="6"/>
      <c r="C31" s="69"/>
      <c r="D31" s="69"/>
      <c r="E31" s="7"/>
      <c r="F31" s="7"/>
      <c r="G31" s="8"/>
    </row>
    <row r="32" customFormat="false" ht="12.75" hidden="false" customHeight="false" outlineLevel="0" collapsed="false">
      <c r="A32" s="38"/>
      <c r="B32" s="70" t="s">
        <v>30</v>
      </c>
      <c r="C32" s="70"/>
      <c r="D32" s="12"/>
      <c r="E32" s="12"/>
      <c r="F32" s="12"/>
      <c r="G32" s="25"/>
    </row>
    <row r="33" customFormat="false" ht="12.75" hidden="false" customHeight="false" outlineLevel="0" collapsed="false">
      <c r="A33" s="38"/>
      <c r="B33" s="71" t="n">
        <v>2000</v>
      </c>
      <c r="C33" s="71" t="s">
        <v>31</v>
      </c>
      <c r="D33" s="71" t="s">
        <v>32</v>
      </c>
      <c r="E33" s="10" t="s">
        <v>33</v>
      </c>
      <c r="G33" s="25"/>
    </row>
    <row r="34" customFormat="false" ht="12.75" hidden="false" customHeight="false" outlineLevel="0" collapsed="false">
      <c r="A34" s="72" t="s">
        <v>34</v>
      </c>
      <c r="B34" s="12"/>
      <c r="C34" s="73"/>
      <c r="D34" s="73"/>
      <c r="E34" s="12"/>
      <c r="G34" s="25"/>
    </row>
    <row r="35" customFormat="false" ht="12.75" hidden="false" customHeight="false" outlineLevel="0" collapsed="false">
      <c r="A35" s="74" t="s">
        <v>35</v>
      </c>
      <c r="B35" s="36" t="n">
        <f aca="false">G7</f>
        <v>789921.811903581</v>
      </c>
      <c r="C35" s="75" t="n">
        <v>15</v>
      </c>
      <c r="D35" s="76" t="s">
        <v>36</v>
      </c>
      <c r="E35" s="77" t="n">
        <v>0</v>
      </c>
      <c r="G35" s="25"/>
    </row>
    <row r="36" customFormat="false" ht="12.75" hidden="false" customHeight="false" outlineLevel="0" collapsed="false">
      <c r="A36" s="74"/>
      <c r="B36" s="36"/>
      <c r="C36" s="75"/>
      <c r="D36" s="76"/>
      <c r="E36" s="77"/>
      <c r="G36" s="25"/>
    </row>
    <row r="37" customFormat="false" ht="12.75" hidden="false" customHeight="false" outlineLevel="0" collapsed="false">
      <c r="A37" s="72" t="s">
        <v>37</v>
      </c>
      <c r="B37" s="78"/>
      <c r="C37" s="79"/>
      <c r="D37" s="79"/>
      <c r="E37" s="77"/>
      <c r="G37" s="25"/>
    </row>
    <row r="38" customFormat="false" ht="13.5" hidden="false" customHeight="false" outlineLevel="0" collapsed="false">
      <c r="A38" s="80" t="s">
        <v>35</v>
      </c>
      <c r="B38" s="81" t="n">
        <f aca="false">G7</f>
        <v>789921.811903581</v>
      </c>
      <c r="C38" s="82" t="n">
        <v>30</v>
      </c>
      <c r="D38" s="83" t="s">
        <v>38</v>
      </c>
      <c r="E38" s="84" t="n">
        <v>0.1</v>
      </c>
      <c r="F38" s="83"/>
      <c r="G38" s="67"/>
    </row>
    <row r="39" customFormat="false" ht="13.5" hidden="false" customHeight="false" outlineLevel="0" collapsed="false"/>
    <row r="40" customFormat="false" ht="12.75" hidden="false" customHeight="false" outlineLevel="0" collapsed="false">
      <c r="A40" s="5" t="s">
        <v>39</v>
      </c>
      <c r="B40" s="7"/>
      <c r="C40" s="7"/>
      <c r="D40" s="7"/>
      <c r="E40" s="7"/>
      <c r="F40" s="7"/>
      <c r="G40" s="8"/>
    </row>
    <row r="41" customFormat="false" ht="12.75" hidden="false" customHeight="false" outlineLevel="0" collapsed="false">
      <c r="A41" s="38"/>
      <c r="B41" s="12"/>
      <c r="C41" s="12"/>
      <c r="D41" s="12"/>
      <c r="E41" s="12"/>
      <c r="F41" s="12"/>
      <c r="G41" s="25"/>
    </row>
    <row r="42" customFormat="false" ht="12.75" hidden="false" customHeight="false" outlineLevel="0" collapsed="false">
      <c r="A42" s="56" t="s">
        <v>40</v>
      </c>
      <c r="B42" s="85"/>
      <c r="C42" s="12"/>
      <c r="D42" s="10" t="s">
        <v>41</v>
      </c>
      <c r="E42" s="10" t="s">
        <v>42</v>
      </c>
      <c r="F42" s="12"/>
      <c r="G42" s="25"/>
    </row>
    <row r="43" customFormat="false" ht="12.75" hidden="false" customHeight="false" outlineLevel="0" collapsed="false">
      <c r="A43" s="38" t="s">
        <v>43</v>
      </c>
      <c r="B43" s="12"/>
      <c r="C43" s="12"/>
      <c r="D43" s="86" t="n">
        <f aca="false">Debt!D84</f>
        <v>2.25645422750818</v>
      </c>
      <c r="E43" s="86" t="n">
        <f aca="false">Debt!D85</f>
        <v>3.24820315566976</v>
      </c>
      <c r="F43" s="12"/>
      <c r="G43" s="25"/>
    </row>
    <row r="44" customFormat="false" ht="12.75" hidden="false" customHeight="false" outlineLevel="0" collapsed="false">
      <c r="A44" s="38"/>
      <c r="B44" s="12"/>
      <c r="C44" s="12"/>
      <c r="D44" s="12"/>
      <c r="E44" s="12"/>
      <c r="F44" s="12"/>
      <c r="G44" s="25"/>
    </row>
    <row r="45" customFormat="false" ht="12.75" hidden="false" customHeight="false" outlineLevel="0" collapsed="false">
      <c r="A45" s="38"/>
      <c r="B45" s="12"/>
      <c r="C45" s="12"/>
      <c r="D45" s="10"/>
      <c r="E45" s="10"/>
      <c r="F45" s="10"/>
      <c r="G45" s="25"/>
    </row>
    <row r="46" customFormat="false" ht="12.75" hidden="false" customHeight="false" outlineLevel="0" collapsed="false">
      <c r="A46" s="38" t="s">
        <v>44</v>
      </c>
      <c r="B46" s="12"/>
      <c r="C46" s="12"/>
      <c r="D46" s="36" t="n">
        <f aca="false">SUMPRODUCT(Assumptions!C9:E9,Assumptions!C10:E10)/SUM(Assumptions!C9:E9)</f>
        <v>11458.7430730479</v>
      </c>
      <c r="F46" s="36"/>
      <c r="G46" s="25"/>
    </row>
    <row r="47" customFormat="false" ht="12.75" hidden="false" customHeight="false" outlineLevel="0" collapsed="false">
      <c r="A47" s="38"/>
      <c r="B47" s="12"/>
      <c r="C47" s="12"/>
      <c r="D47" s="12"/>
      <c r="F47" s="12"/>
      <c r="G47" s="25"/>
    </row>
    <row r="48" customFormat="false" ht="12.75" hidden="false" customHeight="false" outlineLevel="0" collapsed="false">
      <c r="A48" s="38" t="s">
        <v>45</v>
      </c>
      <c r="B48" s="12"/>
      <c r="C48" s="12"/>
      <c r="D48" s="36" t="n">
        <f aca="false">SUM(Assumptions!C9:E9)</f>
        <v>1588</v>
      </c>
      <c r="F48" s="36"/>
      <c r="G48" s="25"/>
    </row>
    <row r="49" customFormat="false" ht="12.75" hidden="false" customHeight="false" outlineLevel="0" collapsed="false">
      <c r="A49" s="38"/>
      <c r="B49" s="12"/>
      <c r="C49" s="12"/>
      <c r="D49" s="36"/>
      <c r="E49" s="36"/>
      <c r="F49" s="36"/>
      <c r="G49" s="25"/>
    </row>
    <row r="50" customFormat="false" ht="12.75" hidden="false" customHeight="false" outlineLevel="0" collapsed="false">
      <c r="A50" s="38" t="s">
        <v>46</v>
      </c>
      <c r="B50" s="12"/>
      <c r="C50" s="12"/>
      <c r="D50" s="36" t="n">
        <f aca="false">CF!V31/D48</f>
        <v>199.31790076052</v>
      </c>
      <c r="E50" s="12"/>
      <c r="F50" s="12"/>
      <c r="G50" s="25"/>
    </row>
    <row r="51" customFormat="false" ht="12.75" hidden="false" customHeight="false" outlineLevel="0" collapsed="false">
      <c r="A51" s="38"/>
      <c r="B51" s="12"/>
      <c r="C51" s="12"/>
      <c r="D51" s="12"/>
      <c r="E51" s="12"/>
      <c r="F51" s="12"/>
      <c r="G51" s="25"/>
    </row>
    <row r="52" customFormat="false" ht="12.75" hidden="false" customHeight="false" outlineLevel="0" collapsed="false">
      <c r="A52" s="38" t="s">
        <v>47</v>
      </c>
      <c r="B52" s="12"/>
      <c r="C52" s="12"/>
      <c r="D52" s="87" t="e">
        <f aca="false">CF!B33</f>
        <v>#VALUE!</v>
      </c>
      <c r="E52" s="12"/>
      <c r="F52" s="12"/>
      <c r="G52" s="25"/>
    </row>
    <row r="53" customFormat="false" ht="12.75" hidden="false" customHeight="false" outlineLevel="0" collapsed="false">
      <c r="A53" s="38"/>
      <c r="B53" s="73"/>
      <c r="C53" s="88"/>
      <c r="D53" s="89"/>
      <c r="E53" s="12"/>
      <c r="F53" s="12"/>
      <c r="G53" s="25"/>
    </row>
    <row r="54" customFormat="false" ht="12.75" hidden="false" customHeight="false" outlineLevel="0" collapsed="false">
      <c r="A54" s="38"/>
      <c r="B54" s="10" t="n">
        <v>2001</v>
      </c>
      <c r="C54" s="10" t="n">
        <v>2002</v>
      </c>
      <c r="D54" s="10" t="n">
        <v>2003</v>
      </c>
      <c r="E54" s="10" t="n">
        <v>2004</v>
      </c>
      <c r="F54" s="10" t="n">
        <v>2005</v>
      </c>
      <c r="G54" s="25"/>
    </row>
    <row r="55" customFormat="false" ht="12.75" hidden="false" customHeight="false" outlineLevel="0" collapsed="false">
      <c r="A55" s="38" t="s">
        <v>48</v>
      </c>
      <c r="B55" s="36" t="n">
        <f aca="false">IS!B27</f>
        <v>102592.929720534</v>
      </c>
      <c r="C55" s="36" t="n">
        <f aca="false">IS!C27</f>
        <v>107696.188803543</v>
      </c>
      <c r="D55" s="36" t="n">
        <f aca="false">IS!D27</f>
        <v>113071.535571207</v>
      </c>
      <c r="E55" s="36" t="n">
        <f aca="false">IS!E27</f>
        <v>118835.091978481</v>
      </c>
      <c r="F55" s="36" t="n">
        <f aca="false">IS!F27</f>
        <v>124921.890725523</v>
      </c>
      <c r="G55" s="25"/>
    </row>
    <row r="56" customFormat="false" ht="12.75" hidden="false" customHeight="false" outlineLevel="0" collapsed="false">
      <c r="A56" s="38" t="s">
        <v>49</v>
      </c>
      <c r="B56" s="36" t="n">
        <f aca="false">IS!B40</f>
        <v>24662.1903021358</v>
      </c>
      <c r="C56" s="36" t="n">
        <f aca="false">IS!C40</f>
        <v>28194.7485373893</v>
      </c>
      <c r="D56" s="36" t="n">
        <f aca="false">IS!D40</f>
        <v>32024.9444473529</v>
      </c>
      <c r="E56" s="36" t="n">
        <f aca="false">IS!E40</f>
        <v>36111.3450373682</v>
      </c>
      <c r="F56" s="36" t="n">
        <f aca="false">IS!F40</f>
        <v>40614.9500006723</v>
      </c>
      <c r="G56" s="25"/>
    </row>
    <row r="57" customFormat="false" ht="12.75" hidden="false" customHeight="false" outlineLevel="0" collapsed="false">
      <c r="A57" s="38" t="s">
        <v>50</v>
      </c>
      <c r="B57" s="36" t="n">
        <f aca="false">CF!C17</f>
        <v>57243.7565060991</v>
      </c>
      <c r="C57" s="36" t="n">
        <f aca="false">CF!D17</f>
        <v>62286.5087237288</v>
      </c>
      <c r="D57" s="36" t="n">
        <f aca="false">CF!E17</f>
        <v>67341.2599112862</v>
      </c>
      <c r="E57" s="36" t="n">
        <f aca="false">CF!F17</f>
        <v>72520.3976659279</v>
      </c>
      <c r="F57" s="36" t="n">
        <f aca="false">CF!G17</f>
        <v>78233.796430739</v>
      </c>
      <c r="G57" s="25"/>
    </row>
    <row r="58" customFormat="false" ht="13.5" hidden="false" customHeight="false" outlineLevel="0" collapsed="false">
      <c r="A58" s="90" t="s">
        <v>51</v>
      </c>
      <c r="B58" s="81" t="n">
        <f aca="false">CF!C22</f>
        <v>47437.6907821671</v>
      </c>
      <c r="C58" s="81" t="n">
        <f aca="false">CF!D22</f>
        <v>61752.4956913396</v>
      </c>
      <c r="D58" s="81" t="n">
        <f aca="false">CF!E22</f>
        <v>65734.8596552499</v>
      </c>
      <c r="E58" s="81" t="n">
        <f aca="false">CF!F22</f>
        <v>63861.7011305779</v>
      </c>
      <c r="F58" s="81" t="n">
        <f aca="false">CF!G22</f>
        <v>64038.2073595093</v>
      </c>
      <c r="G58" s="67"/>
    </row>
  </sheetData>
  <mergeCells count="1">
    <mergeCell ref="B32:C3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22">
              <controlPr defaultSize="0" print="false" autoFill="0" autoPict="0" macro="Module2.Equity">
                <anchor moveWithCells="true" sizeWithCells="false">
                  <from>
                    <xdr:col>2</xdr:col>
                    <xdr:colOff>342720</xdr:colOff>
                    <xdr:row>26</xdr:row>
                    <xdr:rowOff>19080</xdr:rowOff>
                  </from>
                  <to>
                    <xdr:col>3</xdr:col>
                    <xdr:colOff>564120</xdr:colOff>
                    <xdr:row>28</xdr:row>
                    <xdr:rowOff>171360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46.85"/>
    <col collapsed="false" customWidth="true" hidden="false" outlineLevel="0" max="21" min="2" style="4" width="10.71"/>
    <col collapsed="false" customWidth="false" hidden="false" outlineLevel="0" max="22" min="22" style="93" width="9.14"/>
    <col collapsed="false" customWidth="true" hidden="false" outlineLevel="0" max="23" min="23" style="93" width="10.99"/>
    <col collapsed="false" customWidth="false" hidden="false" outlineLevel="0" max="25" min="24" style="93" width="9.14"/>
    <col collapsed="false" customWidth="true" hidden="false" outlineLevel="0" max="26" min="26" style="93" width="7.85"/>
    <col collapsed="false" customWidth="false" hidden="false" outlineLevel="0" max="257" min="27" style="93" width="9.14"/>
  </cols>
  <sheetData>
    <row r="1" customFormat="false" ht="12.75" hidden="false" customHeight="false" outlineLevel="0" collapsed="false"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customFormat="false" ht="18" hidden="false" customHeight="false" outlineLevel="0" collapsed="false">
      <c r="A2" s="149" t="s">
        <v>218</v>
      </c>
      <c r="B2" s="312"/>
      <c r="C2" s="312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5" customFormat="false" ht="13.5" hidden="false" customHeight="false" outlineLevel="0" collapsed="false">
      <c r="A5" s="154" t="s">
        <v>101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</row>
    <row r="6" customFormat="false" ht="12.75" hidden="false" customHeight="false" outlineLevel="0" collapsed="false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customFormat="false" ht="12.75" hidden="false" customHeight="false" outlineLevel="0" collapsed="false">
      <c r="A7" s="163" t="s">
        <v>102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313"/>
      <c r="W7" s="313"/>
      <c r="X7" s="313"/>
      <c r="Y7" s="157" t="n">
        <f aca="false">SUM(Z7:AS7)-SUM(Z8:AS8)</f>
        <v>0</v>
      </c>
      <c r="Z7" s="158" t="n">
        <f aca="false">B10</f>
        <v>1579.95631053572</v>
      </c>
      <c r="AA7" s="158" t="n">
        <f aca="false">C10</f>
        <v>1627.35499985179</v>
      </c>
      <c r="AB7" s="158" t="n">
        <f aca="false">D10</f>
        <v>1676.17564984734</v>
      </c>
      <c r="AC7" s="158" t="n">
        <f aca="false">E10</f>
        <v>1726.46091934276</v>
      </c>
      <c r="AD7" s="158" t="n">
        <f aca="false">F10</f>
        <v>1778.25474692304</v>
      </c>
      <c r="AE7" s="158" t="n">
        <f aca="false">G10</f>
        <v>1831.60238933074</v>
      </c>
      <c r="AF7" s="158" t="n">
        <f aca="false">H10</f>
        <v>1886.55046101066</v>
      </c>
      <c r="AG7" s="158" t="n">
        <f aca="false">I10</f>
        <v>1943.14697484098</v>
      </c>
      <c r="AH7" s="158" t="n">
        <f aca="false">J10</f>
        <v>2001.44138408621</v>
      </c>
      <c r="AI7" s="158" t="n">
        <f aca="false">K10</f>
        <v>2061.48462560879</v>
      </c>
      <c r="AJ7" s="158" t="n">
        <f aca="false">L10</f>
        <v>2123.32916437706</v>
      </c>
      <c r="AK7" s="158" t="n">
        <f aca="false">M10</f>
        <v>2187.02903930837</v>
      </c>
      <c r="AL7" s="158" t="n">
        <f aca="false">N10</f>
        <v>2252.63991048762</v>
      </c>
      <c r="AM7" s="158" t="n">
        <f aca="false">O10</f>
        <v>2320.21910780225</v>
      </c>
      <c r="AN7" s="158" t="n">
        <f aca="false">P10</f>
        <v>2389.82568103632</v>
      </c>
      <c r="AO7" s="158" t="n">
        <f aca="false">Q10</f>
        <v>2461.52045146741</v>
      </c>
      <c r="AP7" s="158" t="n">
        <f aca="false">R10</f>
        <v>2535.36606501143</v>
      </c>
      <c r="AQ7" s="158" t="n">
        <f aca="false">S10</f>
        <v>2611.42704696177</v>
      </c>
      <c r="AR7" s="158" t="n">
        <f aca="false">T10</f>
        <v>2689.76985837062</v>
      </c>
      <c r="AS7" s="158" t="n">
        <f aca="false">U10</f>
        <v>2770.46295412174</v>
      </c>
    </row>
    <row r="8" customFormat="false" ht="12.75" hidden="false" customHeight="false" outlineLevel="0" collapsed="false">
      <c r="A8" s="165" t="s">
        <v>103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W8" s="164"/>
      <c r="X8" s="1"/>
      <c r="Y8" s="314" t="n">
        <v>0</v>
      </c>
      <c r="Z8" s="315" t="n">
        <f aca="false">B17+1/3*B18</f>
        <v>1579.95631053572</v>
      </c>
      <c r="AA8" s="315" t="n">
        <f aca="false">C17+1/3*C18</f>
        <v>1627.35499985179</v>
      </c>
      <c r="AB8" s="315" t="n">
        <f aca="false">D17+1/3*D18</f>
        <v>1676.17564984734</v>
      </c>
      <c r="AC8" s="315" t="n">
        <f aca="false">E17+1/3*E18</f>
        <v>1726.46091934276</v>
      </c>
      <c r="AD8" s="315" t="n">
        <f aca="false">F17+1/3*F18</f>
        <v>1778.25474692304</v>
      </c>
      <c r="AE8" s="315" t="n">
        <f aca="false">G17+1/3*G18</f>
        <v>1831.60238933074</v>
      </c>
      <c r="AF8" s="315" t="n">
        <f aca="false">H17+1/3*H18</f>
        <v>1886.55046101066</v>
      </c>
      <c r="AG8" s="315" t="n">
        <f aca="false">I17+1/3*I18</f>
        <v>1943.14697484098</v>
      </c>
      <c r="AH8" s="315" t="n">
        <f aca="false">J17+1/3*J18</f>
        <v>2001.44138408621</v>
      </c>
      <c r="AI8" s="315" t="n">
        <f aca="false">K17+1/3*K18</f>
        <v>2061.48462560879</v>
      </c>
      <c r="AJ8" s="315" t="n">
        <f aca="false">L17+1/3*L18</f>
        <v>2123.32916437706</v>
      </c>
      <c r="AK8" s="315" t="n">
        <f aca="false">M17+1/3*M18</f>
        <v>2187.02903930837</v>
      </c>
      <c r="AL8" s="315" t="n">
        <f aca="false">N17+1/3*N18</f>
        <v>2252.63991048762</v>
      </c>
      <c r="AM8" s="315" t="n">
        <f aca="false">O17+1/3*O18</f>
        <v>2320.21910780225</v>
      </c>
      <c r="AN8" s="315" t="n">
        <f aca="false">P17+1/3*P18</f>
        <v>2389.82568103632</v>
      </c>
      <c r="AO8" s="315" t="n">
        <f aca="false">Q17+1/3*Q18</f>
        <v>2461.52045146741</v>
      </c>
      <c r="AP8" s="315" t="n">
        <f aca="false">R17+1/3*R18</f>
        <v>2535.36606501143</v>
      </c>
      <c r="AQ8" s="315" t="n">
        <f aca="false">S17+1/3*S18</f>
        <v>2611.42704696177</v>
      </c>
      <c r="AR8" s="315" t="n">
        <f aca="false">T17+1/3*T18</f>
        <v>2689.76985837062</v>
      </c>
      <c r="AS8" s="315" t="n">
        <f aca="false">U17+1/3*U18</f>
        <v>2770.46295412174</v>
      </c>
    </row>
    <row r="9" customFormat="false" ht="12.75" hidden="false" customHeight="false" outlineLevel="0" collapsed="false">
      <c r="A9" s="169" t="s">
        <v>104</v>
      </c>
      <c r="B9" s="172" t="n">
        <f aca="false">'Power Price Assumption'!C32*Assumptions!$D$9*12</f>
        <v>32703.6800195</v>
      </c>
      <c r="C9" s="172" t="n">
        <f aca="false">'Power Price Assumption'!D32*Assumptions!$D$9*12</f>
        <v>34437.605553105</v>
      </c>
      <c r="D9" s="172" t="n">
        <f aca="false">'Power Price Assumption'!E32*Assumptions!$D$9*12</f>
        <v>36263.4625682527</v>
      </c>
      <c r="E9" s="172" t="n">
        <f aca="false">'Power Price Assumption'!F32*Assumptions!$D$9*12</f>
        <v>38186.125205807</v>
      </c>
      <c r="F9" s="172" t="n">
        <f aca="false">'Power Price Assumption'!G32*Assumptions!$D$9*12</f>
        <v>40210.7260300661</v>
      </c>
      <c r="G9" s="172" t="n">
        <f aca="false">'Power Price Assumption'!H32*Assumptions!$D$9*12</f>
        <v>41027.4765488452</v>
      </c>
      <c r="H9" s="172" t="n">
        <f aca="false">'Power Price Assumption'!I32*Assumptions!$D$9*12</f>
        <v>41860.8167061558</v>
      </c>
      <c r="I9" s="172" t="n">
        <f aca="false">'Power Price Assumption'!J32*Assumptions!$D$9*12</f>
        <v>42711.0834667138</v>
      </c>
      <c r="J9" s="172" t="n">
        <f aca="false">'Power Price Assumption'!K32*Assumptions!$D$9*12</f>
        <v>43578.6206395809</v>
      </c>
      <c r="K9" s="172" t="n">
        <f aca="false">'Power Price Assumption'!L32*Assumptions!$D$9*12</f>
        <v>44463.779017185</v>
      </c>
      <c r="L9" s="172" t="n">
        <f aca="false">'Power Price Assumption'!M32*Assumptions!$D$9*12</f>
        <v>45033.9694589961</v>
      </c>
      <c r="M9" s="172" t="n">
        <f aca="false">'Power Price Assumption'!N32*Assumptions!$D$9*12</f>
        <v>45611.4718555515</v>
      </c>
      <c r="N9" s="172" t="n">
        <f aca="false">'Power Price Assumption'!O32*Assumptions!$D$9*12</f>
        <v>46196.3799732111</v>
      </c>
      <c r="O9" s="172" t="n">
        <f aca="false">'Power Price Assumption'!P32*Assumptions!$D$9*12</f>
        <v>46788.7887807671</v>
      </c>
      <c r="P9" s="172" t="n">
        <f aca="false">'Power Price Assumption'!Q32*Assumptions!$D$9*12</f>
        <v>47388.7944648634</v>
      </c>
      <c r="Q9" s="172" t="n">
        <f aca="false">'Power Price Assumption'!R32*Assumptions!$D$9*12</f>
        <v>48105.3178129975</v>
      </c>
      <c r="R9" s="172" t="n">
        <f aca="false">'Power Price Assumption'!S32*Assumptions!$D$9*12</f>
        <v>48832.6750663663</v>
      </c>
      <c r="S9" s="172" t="n">
        <f aca="false">'Power Price Assumption'!T32*Assumptions!$D$9*12</f>
        <v>49571.0300347088</v>
      </c>
      <c r="T9" s="172" t="n">
        <f aca="false">'Power Price Assumption'!U32*Assumptions!$D$9*12</f>
        <v>50320.5490045838</v>
      </c>
      <c r="U9" s="172" t="n">
        <f aca="false">'Power Price Assumption'!V32*Assumptions!$D$9*12</f>
        <v>51081.4007768196</v>
      </c>
      <c r="V9" s="316"/>
      <c r="W9" s="164" t="n">
        <f aca="false">SUM(B9:U9)</f>
        <v>874373.752984077</v>
      </c>
      <c r="X9" s="1"/>
      <c r="Y9" s="157"/>
      <c r="Z9" s="346" t="n">
        <f aca="false">Z7-Z8</f>
        <v>0</v>
      </c>
      <c r="AA9" s="346" t="n">
        <f aca="false">AA7-AA8</f>
        <v>0</v>
      </c>
      <c r="AB9" s="346" t="n">
        <f aca="false">AB7-AB8</f>
        <v>0</v>
      </c>
      <c r="AC9" s="346" t="n">
        <f aca="false">AC7-AC8</f>
        <v>0</v>
      </c>
      <c r="AD9" s="346" t="n">
        <f aca="false">AD7-AD8</f>
        <v>0</v>
      </c>
      <c r="AE9" s="346" t="n">
        <f aca="false">AE7-AE8</f>
        <v>0</v>
      </c>
      <c r="AF9" s="346" t="n">
        <f aca="false">AF7-AF8</f>
        <v>0</v>
      </c>
      <c r="AG9" s="346" t="n">
        <f aca="false">AG7-AG8</f>
        <v>0</v>
      </c>
      <c r="AH9" s="346" t="n">
        <f aca="false">AH7-AH8</f>
        <v>0</v>
      </c>
      <c r="AI9" s="346" t="n">
        <f aca="false">AI7-AI8</f>
        <v>0</v>
      </c>
      <c r="AJ9" s="346" t="n">
        <f aca="false">AJ7-AJ8</f>
        <v>0</v>
      </c>
      <c r="AK9" s="346" t="n">
        <f aca="false">AK7-AK8</f>
        <v>0</v>
      </c>
      <c r="AL9" s="346" t="n">
        <f aca="false">AL7-AL8</f>
        <v>0</v>
      </c>
      <c r="AM9" s="346" t="n">
        <f aca="false">AM7-AM8</f>
        <v>0</v>
      </c>
      <c r="AN9" s="346" t="n">
        <f aca="false">AN7-AN8</f>
        <v>0</v>
      </c>
      <c r="AO9" s="346" t="n">
        <f aca="false">AO7-AO8</f>
        <v>0</v>
      </c>
      <c r="AP9" s="346" t="n">
        <f aca="false">AP7-AP8</f>
        <v>0</v>
      </c>
      <c r="AQ9" s="346" t="n">
        <f aca="false">AQ7-AQ8</f>
        <v>0</v>
      </c>
      <c r="AR9" s="346" t="n">
        <f aca="false">AR7-AR8</f>
        <v>0</v>
      </c>
      <c r="AS9" s="346" t="n">
        <f aca="false">AS7-AS8</f>
        <v>0</v>
      </c>
    </row>
    <row r="10" customFormat="false" ht="12.75" hidden="false" customHeight="false" outlineLevel="0" collapsed="false">
      <c r="A10" s="169" t="s">
        <v>105</v>
      </c>
      <c r="B10" s="153" t="n">
        <f aca="false">1/3*Assumptions!$D$18*Assumptions!$D$11*Assumptions!$D$8/1000*(1+Assumptions!$D$25)^(B5-2000)+Assumptions!$D$19*Assumptions!$D$17*(1+Assumptions!$D$25)^(B5-2000)/1000</f>
        <v>1579.95631053572</v>
      </c>
      <c r="C10" s="153" t="n">
        <f aca="false">1/3*Assumptions!$D$18*Assumptions!$D$11*Assumptions!$D$8/1000*(1+Assumptions!$D$25)^(C5-2000)+Assumptions!$D$19*Assumptions!$D$17*(1+Assumptions!$D$25)^(C5-2000)/1000</f>
        <v>1627.35499985179</v>
      </c>
      <c r="D10" s="153" t="n">
        <f aca="false">1/3*Assumptions!$D$18*Assumptions!$D$11*Assumptions!$D$8/1000*(1+Assumptions!$D$25)^(D5-2000)+Assumptions!$D$19*Assumptions!$D$17*(1+Assumptions!$D$25)^(D5-2000)/1000</f>
        <v>1676.17564984734</v>
      </c>
      <c r="E10" s="153" t="n">
        <f aca="false">1/3*Assumptions!$D$18*Assumptions!$D$11*Assumptions!$D$8/1000*(1+Assumptions!$D$25)^(E5-2000)+Assumptions!$D$19*Assumptions!$D$17*(1+Assumptions!$D$25)^(E5-2000)/1000</f>
        <v>1726.46091934276</v>
      </c>
      <c r="F10" s="153" t="n">
        <f aca="false">1/3*Assumptions!$D$18*Assumptions!$D$11*Assumptions!$D$8/1000*(1+Assumptions!$D$25)^(F5-2000)+Assumptions!$D$19*Assumptions!$D$17*(1+Assumptions!$D$25)^(F5-2000)/1000</f>
        <v>1778.25474692304</v>
      </c>
      <c r="G10" s="153" t="n">
        <f aca="false">1/3*Assumptions!$D$18*Assumptions!$D$11*Assumptions!$D$8/1000*(1+Assumptions!$D$25)^(G5-2000)+Assumptions!$D$19*Assumptions!$D$17*(1+Assumptions!$D$25)^(G5-2000)/1000</f>
        <v>1831.60238933074</v>
      </c>
      <c r="H10" s="153" t="n">
        <f aca="false">1/3*Assumptions!$D$18*Assumptions!$D$11*Assumptions!$D$8/1000*(1+Assumptions!$D$25)^(H5-2000)+Assumptions!$D$19*Assumptions!$D$17*(1+Assumptions!$D$25)^(H5-2000)/1000</f>
        <v>1886.55046101066</v>
      </c>
      <c r="I10" s="153" t="n">
        <f aca="false">1/3*Assumptions!$D$18*Assumptions!$D$11*Assumptions!$D$8/1000*(1+Assumptions!$D$25)^(I5-2000)+Assumptions!$D$19*Assumptions!$D$17*(1+Assumptions!$D$25)^(I5-2000)/1000</f>
        <v>1943.14697484098</v>
      </c>
      <c r="J10" s="153" t="n">
        <f aca="false">1/3*Assumptions!$D$18*Assumptions!$D$11*Assumptions!$D$8/1000*(1+Assumptions!$D$25)^(J5-2000)+Assumptions!$D$19*Assumptions!$D$17*(1+Assumptions!$D$25)^(J5-2000)/1000</f>
        <v>2001.44138408621</v>
      </c>
      <c r="K10" s="153" t="n">
        <f aca="false">1/3*Assumptions!$D$18*Assumptions!$D$11*Assumptions!$D$8/1000*(1+Assumptions!$D$25)^(K5-2000)+Assumptions!$D$19*Assumptions!$D$17*(1+Assumptions!$D$25)^(K5-2000)/1000</f>
        <v>2061.48462560879</v>
      </c>
      <c r="L10" s="153" t="n">
        <f aca="false">1/3*Assumptions!$D$18*Assumptions!$D$11*Assumptions!$D$8/1000*(1+Assumptions!$D$25)^(L5-2000)+Assumptions!$D$19*Assumptions!$D$17*(1+Assumptions!$D$25)^(L5-2000)/1000</f>
        <v>2123.32916437706</v>
      </c>
      <c r="M10" s="153" t="n">
        <f aca="false">1/3*Assumptions!$D$18*Assumptions!$D$11*Assumptions!$D$8/1000*(1+Assumptions!$D$25)^(M5-2000)+Assumptions!$D$19*Assumptions!$D$17*(1+Assumptions!$D$25)^(M5-2000)/1000</f>
        <v>2187.02903930837</v>
      </c>
      <c r="N10" s="153" t="n">
        <f aca="false">1/3*Assumptions!$D$18*Assumptions!$D$11*Assumptions!$D$8/1000*(1+Assumptions!$D$25)^(N5-2000)+Assumptions!$D$19*Assumptions!$D$17*(1+Assumptions!$D$25)^(N5-2000)/1000</f>
        <v>2252.63991048762</v>
      </c>
      <c r="O10" s="153" t="n">
        <f aca="false">1/3*Assumptions!$D$18*Assumptions!$D$11*Assumptions!$D$8/1000*(1+Assumptions!$D$25)^(O5-2000)+Assumptions!$D$19*Assumptions!$D$17*(1+Assumptions!$D$25)^(O5-2000)/1000</f>
        <v>2320.21910780225</v>
      </c>
      <c r="P10" s="153" t="n">
        <f aca="false">1/3*Assumptions!$D$18*Assumptions!$D$11*Assumptions!$D$8/1000*(1+Assumptions!$D$25)^(P5-2000)+Assumptions!$D$19*Assumptions!$D$17*(1+Assumptions!$D$25)^(P5-2000)/1000</f>
        <v>2389.82568103632</v>
      </c>
      <c r="Q10" s="153" t="n">
        <f aca="false">1/3*Assumptions!$D$18*Assumptions!$D$11*Assumptions!$D$8/1000*(1+Assumptions!$D$25)^(Q5-2000)+Assumptions!$D$19*Assumptions!$D$17*(1+Assumptions!$D$25)^(Q5-2000)/1000</f>
        <v>2461.52045146741</v>
      </c>
      <c r="R10" s="153" t="n">
        <f aca="false">1/3*Assumptions!$D$18*Assumptions!$D$11*Assumptions!$D$8/1000*(1+Assumptions!$D$25)^(R5-2000)+Assumptions!$D$19*Assumptions!$D$17*(1+Assumptions!$D$25)^(R5-2000)/1000</f>
        <v>2535.36606501143</v>
      </c>
      <c r="S10" s="153" t="n">
        <f aca="false">1/3*Assumptions!$D$18*Assumptions!$D$11*Assumptions!$D$8/1000*(1+Assumptions!$D$25)^(S5-2000)+Assumptions!$D$19*Assumptions!$D$17*(1+Assumptions!$D$25)^(S5-2000)/1000</f>
        <v>2611.42704696177</v>
      </c>
      <c r="T10" s="153" t="n">
        <f aca="false">1/3*Assumptions!$D$18*Assumptions!$D$11*Assumptions!$D$8/1000*(1+Assumptions!$D$25)^(T5-2000)+Assumptions!$D$19*Assumptions!$D$17*(1+Assumptions!$D$25)^(T5-2000)/1000</f>
        <v>2689.76985837062</v>
      </c>
      <c r="U10" s="153" t="n">
        <f aca="false">1/3*Assumptions!$D$18*Assumptions!$D$11*Assumptions!$D$8/1000*(1+Assumptions!$D$25)^(U5-2000)+Assumptions!$D$19*Assumptions!$D$17*(1+Assumptions!$D$25)^(U5-2000)/1000</f>
        <v>2770.46295412174</v>
      </c>
      <c r="V10" s="316"/>
      <c r="W10" s="164" t="n">
        <f aca="false">SUM(B10:U10)</f>
        <v>42454.0177403226</v>
      </c>
      <c r="X10" s="1"/>
      <c r="Y10" s="1"/>
      <c r="Z10" s="1"/>
      <c r="AA10" s="1"/>
      <c r="AB10" s="12"/>
      <c r="AC10" s="12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customFormat="false" ht="12.75" hidden="false" customHeight="false" outlineLevel="0" collapsed="false">
      <c r="A11" s="169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164" t="n">
        <f aca="false">SUM(B11:U11)</f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customFormat="false" ht="12.75" hidden="false" customHeight="false" outlineLevel="0" collapsed="false">
      <c r="A12" s="169" t="s">
        <v>106</v>
      </c>
      <c r="B12" s="260" t="n">
        <f aca="false">(SUM(B8:B10)-SUM(B16:B21))*'Summary Output'!$B$24/4</f>
        <v>381.47450349375</v>
      </c>
      <c r="C12" s="260" t="n">
        <f aca="false">(SUM(C8:C10)-SUM(C16:C21))*'Summary Output'!$B$24/4</f>
        <v>400.854090261313</v>
      </c>
      <c r="D12" s="260" t="n">
        <f aca="false">(SUM(D8:D10)-SUM(D16:D21))*'Summary Output'!$B$24/4</f>
        <v>421.597368701083</v>
      </c>
      <c r="E12" s="260" t="n">
        <f aca="false">(SUM(E8:E10)-SUM(E16:E21))*'Summary Output'!$B$24/4</f>
        <v>443.77181539345</v>
      </c>
      <c r="F12" s="260" t="n">
        <f aca="false">(SUM(F8:F10)-SUM(F16:F21))*'Summary Output'!$B$24/4</f>
        <v>467.555352581315</v>
      </c>
      <c r="G12" s="260" t="n">
        <f aca="false">(SUM(G8:G10)-SUM(G16:G21))*'Summary Output'!$B$24/4</f>
        <v>475.312141507219</v>
      </c>
      <c r="H12" s="260" t="n">
        <f aca="false">(SUM(H8:H10)-SUM(H16:H21))*'Summary Output'!$B$24/4</f>
        <v>482.623675388</v>
      </c>
      <c r="I12" s="260" t="n">
        <f aca="false">(SUM(I8:I10)-SUM(I16:I21))*'Summary Output'!$B$24/4</f>
        <v>490.871148516807</v>
      </c>
      <c r="J12" s="260" t="n">
        <f aca="false">(SUM(J8:J10)-SUM(J16:J21))*'Summary Output'!$B$24/4</f>
        <v>500.556453333132</v>
      </c>
      <c r="K12" s="260" t="n">
        <f aca="false">(SUM(K8:K10)-SUM(K16:K21))*'Summary Output'!$B$24/4</f>
        <v>511.408156413334</v>
      </c>
      <c r="L12" s="260" t="n">
        <f aca="false">(SUM(L8:L10)-SUM(L16:L21))*'Summary Output'!$B$24/4</f>
        <v>515.527648746929</v>
      </c>
      <c r="M12" s="260" t="n">
        <f aca="false">(SUM(M8:M10)-SUM(M16:M21))*'Summary Output'!$B$24/4</f>
        <v>521.645306994156</v>
      </c>
      <c r="N12" s="260" t="n">
        <f aca="false">(SUM(N8:N10)-SUM(N16:N21))*'Summary Output'!$B$24/4</f>
        <v>527.822078228894</v>
      </c>
      <c r="O12" s="260" t="n">
        <f aca="false">(SUM(O8:O10)-SUM(O16:O21))*'Summary Output'!$B$24/4</f>
        <v>534.058570680256</v>
      </c>
      <c r="P12" s="260" t="n">
        <f aca="false">(SUM(P8:P10)-SUM(P16:P21))*'Summary Output'!$B$24/4</f>
        <v>540.35496555908</v>
      </c>
      <c r="Q12" s="260" t="n">
        <f aca="false">(SUM(Q8:Q10)-SUM(Q16:Q21))*'Summary Output'!$B$24/4</f>
        <v>548.071720953205</v>
      </c>
      <c r="R12" s="260" t="n">
        <f aca="false">(SUM(R8:R10)-SUM(R16:R21))*'Summary Output'!$B$24/4</f>
        <v>555.886706569037</v>
      </c>
      <c r="S12" s="260" t="n">
        <f aca="false">(SUM(S8:S10)-SUM(S16:S21))*'Summary Output'!$B$24/4</f>
        <v>563.800854220502</v>
      </c>
      <c r="T12" s="260" t="n">
        <f aca="false">(SUM(T8:T10)-SUM(T16:T21))*'Summary Output'!$B$24/4</f>
        <v>571.815093207539</v>
      </c>
      <c r="U12" s="260" t="n">
        <f aca="false">(SUM(U8:U10)-SUM(U16:U21))*'Summary Output'!$B$24/4</f>
        <v>579.930349779994</v>
      </c>
      <c r="V12" s="316"/>
      <c r="W12" s="164" t="n">
        <f aca="false">SUM(B12:U12)</f>
        <v>10034.938000529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customFormat="false" ht="12.75" hidden="false" customHeight="false" outlineLevel="0" collapsed="false">
      <c r="A13" s="169" t="s">
        <v>107</v>
      </c>
      <c r="B13" s="172" t="n">
        <f aca="false">SUM(B8:B12)</f>
        <v>34665.1108335295</v>
      </c>
      <c r="C13" s="172" t="n">
        <f aca="false">SUM(C8:C12)</f>
        <v>36465.8146432181</v>
      </c>
      <c r="D13" s="172" t="n">
        <f aca="false">SUM(D8:D12)</f>
        <v>38361.2355868011</v>
      </c>
      <c r="E13" s="172" t="n">
        <f aca="false">SUM(E8:E12)</f>
        <v>40356.3579405432</v>
      </c>
      <c r="F13" s="172" t="n">
        <f aca="false">SUM(F8:F12)</f>
        <v>42456.5361295705</v>
      </c>
      <c r="G13" s="172" t="n">
        <f aca="false">SUM(G8:G12)</f>
        <v>43334.3910796832</v>
      </c>
      <c r="H13" s="172" t="n">
        <f aca="false">SUM(H8:H12)</f>
        <v>44229.9908425545</v>
      </c>
      <c r="I13" s="172" t="n">
        <f aca="false">SUM(I8:I12)</f>
        <v>45145.1015900716</v>
      </c>
      <c r="J13" s="172" t="n">
        <f aca="false">SUM(J8:J12)</f>
        <v>46080.6184770002</v>
      </c>
      <c r="K13" s="172" t="n">
        <f aca="false">SUM(K8:K12)</f>
        <v>47036.6717992071</v>
      </c>
      <c r="L13" s="172" t="n">
        <f aca="false">SUM(L8:L12)</f>
        <v>47672.8262721201</v>
      </c>
      <c r="M13" s="172" t="n">
        <f aca="false">SUM(M8:M12)</f>
        <v>48320.1462018541</v>
      </c>
      <c r="N13" s="172" t="n">
        <f aca="false">SUM(N8:N12)</f>
        <v>48976.8419619276</v>
      </c>
      <c r="O13" s="172" t="n">
        <f aca="false">SUM(O8:O12)</f>
        <v>49643.0664592496</v>
      </c>
      <c r="P13" s="172" t="n">
        <f aca="false">SUM(P8:P12)</f>
        <v>50318.9751114588</v>
      </c>
      <c r="Q13" s="172" t="n">
        <f aca="false">SUM(Q8:Q12)</f>
        <v>51114.9099854181</v>
      </c>
      <c r="R13" s="172" t="n">
        <f aca="false">SUM(R8:R12)</f>
        <v>51923.9278379467</v>
      </c>
      <c r="S13" s="172" t="n">
        <f aca="false">SUM(S8:S12)</f>
        <v>52746.2579358911</v>
      </c>
      <c r="T13" s="172" t="n">
        <f aca="false">SUM(T8:T12)</f>
        <v>53582.133956162</v>
      </c>
      <c r="U13" s="172" t="n">
        <f aca="false">SUM(U8:U12)</f>
        <v>54431.7940807213</v>
      </c>
      <c r="V13" s="316"/>
      <c r="W13" s="164" t="n">
        <f aca="false">SUM(B13:U13)</f>
        <v>926862.708724928</v>
      </c>
      <c r="X13" s="1"/>
      <c r="Y13" s="1"/>
      <c r="Z13" s="1"/>
      <c r="AA13" s="1"/>
      <c r="AB13" s="12"/>
      <c r="AC13" s="12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customFormat="false" ht="12.75" hidden="false" customHeight="false" outlineLevel="0" collapsed="false">
      <c r="A14" s="3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316"/>
      <c r="W14" s="164"/>
      <c r="X14" s="1"/>
      <c r="Y14" s="1"/>
      <c r="Z14" s="1"/>
      <c r="AA14" s="1"/>
      <c r="AB14" s="12"/>
      <c r="AC14" s="12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customFormat="false" ht="12.75" hidden="false" customHeight="false" outlineLevel="0" collapsed="false">
      <c r="A15" s="163" t="s">
        <v>108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W15" s="164"/>
      <c r="X15" s="1"/>
      <c r="Y15" s="1"/>
      <c r="Z15" s="1"/>
      <c r="AA15" s="1"/>
      <c r="AB15" s="12"/>
      <c r="AC15" s="12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</row>
    <row r="16" customFormat="false" ht="12.75" hidden="false" customHeight="false" outlineLevel="0" collapsed="false">
      <c r="A16" s="169" t="s">
        <v>71</v>
      </c>
      <c r="B16" s="153" t="n">
        <f aca="false">Assumptions!D28*(1+Assumptions!$D$25)</f>
        <v>1561.26399428571</v>
      </c>
      <c r="C16" s="164" t="n">
        <f aca="false">B16*(1+Assumptions!$D$25)</f>
        <v>1608.10191411429</v>
      </c>
      <c r="D16" s="164" t="n">
        <f aca="false">C16*(1+Assumptions!$D$25)</f>
        <v>1656.34497153771</v>
      </c>
      <c r="E16" s="164" t="n">
        <f aca="false">D16*(1+Assumptions!$D$25)</f>
        <v>1706.03532068385</v>
      </c>
      <c r="F16" s="164" t="n">
        <f aca="false">E16*(1+Assumptions!$D$25)</f>
        <v>1757.21638030436</v>
      </c>
      <c r="G16" s="164" t="n">
        <f aca="false">F16*(1+Assumptions!$D$25)</f>
        <v>1809.93287171349</v>
      </c>
      <c r="H16" s="164" t="n">
        <f aca="false">G16*(1+Assumptions!$D$25)</f>
        <v>1864.2308578649</v>
      </c>
      <c r="I16" s="164" t="n">
        <f aca="false">H16*(1+Assumptions!$D$25)</f>
        <v>1920.15778360084</v>
      </c>
      <c r="J16" s="164" t="n">
        <f aca="false">I16*(1+Assumptions!$D$25)</f>
        <v>1977.76251710887</v>
      </c>
      <c r="K16" s="164" t="n">
        <f aca="false">J16*(1+Assumptions!$D$25)</f>
        <v>2037.09539262214</v>
      </c>
      <c r="L16" s="164" t="n">
        <f aca="false">K16*(1+Assumptions!$D$25)</f>
        <v>2098.2082544008</v>
      </c>
      <c r="M16" s="164" t="n">
        <f aca="false">L16*(1+Assumptions!$D$25)</f>
        <v>2161.15450203282</v>
      </c>
      <c r="N16" s="164" t="n">
        <f aca="false">M16*(1+Assumptions!$D$25)</f>
        <v>2225.98913709381</v>
      </c>
      <c r="O16" s="164" t="n">
        <f aca="false">N16*(1+Assumptions!$D$25)</f>
        <v>2292.76881120662</v>
      </c>
      <c r="P16" s="164" t="n">
        <f aca="false">O16*(1+Assumptions!$D$25)</f>
        <v>2361.55187554282</v>
      </c>
      <c r="Q16" s="164" t="n">
        <f aca="false">P16*(1+Assumptions!$D$25)</f>
        <v>2432.39843180911</v>
      </c>
      <c r="R16" s="164" t="n">
        <f aca="false">Q16*(1+Assumptions!$D$25)</f>
        <v>2505.37038476338</v>
      </c>
      <c r="S16" s="164" t="n">
        <f aca="false">R16*(1+Assumptions!$D$25)</f>
        <v>2580.53149630628</v>
      </c>
      <c r="T16" s="164" t="n">
        <f aca="false">S16*(1+Assumptions!$D$25)</f>
        <v>2657.94744119547</v>
      </c>
      <c r="U16" s="164" t="n">
        <f aca="false">T16*(1+Assumptions!$D$25)</f>
        <v>2737.68586443133</v>
      </c>
      <c r="W16" s="164" t="n">
        <f aca="false">SUM(B16:U16)</f>
        <v>41951.7482026186</v>
      </c>
      <c r="X16" s="1"/>
      <c r="Y16" s="1"/>
      <c r="Z16" s="1"/>
      <c r="AA16" s="1"/>
      <c r="AB16" s="12"/>
      <c r="AC16" s="12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</row>
    <row r="17" customFormat="false" ht="12.75" hidden="false" customHeight="false" outlineLevel="0" collapsed="false">
      <c r="A17" s="169" t="s">
        <v>72</v>
      </c>
      <c r="B17" s="153" t="n">
        <f aca="false">Assumptions!$D$29*(1+Assumptions!$D$25)</f>
        <v>1425.45631053572</v>
      </c>
      <c r="C17" s="172" t="n">
        <f aca="false">B17*(1+Assumptions!$D$25)</f>
        <v>1468.21999985179</v>
      </c>
      <c r="D17" s="172" t="n">
        <f aca="false">C17*(1+Assumptions!$D$25)</f>
        <v>1512.26659984734</v>
      </c>
      <c r="E17" s="153" t="n">
        <f aca="false">Assumptions!$D$19*Assumptions!$D$23*(1+Assumptions!$D$25)^(E5-2000)/1000</f>
        <v>1557.63459784276</v>
      </c>
      <c r="F17" s="153" t="n">
        <f aca="false">Assumptions!$D$19*Assumptions!$D$23*(1+Assumptions!$D$25)^(F5-2000)/1000</f>
        <v>1604.36363577804</v>
      </c>
      <c r="G17" s="153" t="n">
        <f aca="false">Assumptions!$D$19*Assumptions!$D$23*(1+Assumptions!$D$25)^(G5-2000)/1000</f>
        <v>1652.49454485139</v>
      </c>
      <c r="H17" s="153" t="n">
        <f aca="false">Assumptions!$D$19*Assumptions!$D$23*(1+Assumptions!$D$25)^(H5-2000)/1000</f>
        <v>1702.06938119693</v>
      </c>
      <c r="I17" s="153" t="n">
        <f aca="false">Assumptions!$D$19*Assumptions!$D$23*(1+Assumptions!$D$25)^(I5-2000)/1000</f>
        <v>1753.13146263283</v>
      </c>
      <c r="J17" s="153" t="n">
        <f aca="false">Assumptions!$D$19*Assumptions!$D$23*(1+Assumptions!$D$25)^(J5-2000)/1000</f>
        <v>1805.72540651182</v>
      </c>
      <c r="K17" s="153" t="n">
        <f aca="false">Assumptions!$D$19*Assumptions!$D$23*(1+Assumptions!$D$25)^(K5-2000)/1000</f>
        <v>1859.89716870717</v>
      </c>
      <c r="L17" s="153" t="n">
        <f aca="false">Assumptions!$D$19*Assumptions!$D$23*(1+Assumptions!$D$25)^(L5-2000)/1000</f>
        <v>1915.69408376839</v>
      </c>
      <c r="M17" s="153" t="n">
        <f aca="false">Assumptions!$D$19*Assumptions!$D$23*(1+Assumptions!$D$25)^(M5-2000)/1000</f>
        <v>1973.16490628144</v>
      </c>
      <c r="N17" s="153" t="n">
        <f aca="false">Assumptions!$D$19*Assumptions!$D$23*(1+Assumptions!$D$25)^(N5-2000)/1000</f>
        <v>2032.35985346988</v>
      </c>
      <c r="O17" s="153" t="n">
        <f aca="false">Assumptions!$D$19*Assumptions!$D$23*(1+Assumptions!$D$25)^(O5-2000)/1000</f>
        <v>2093.33064907398</v>
      </c>
      <c r="P17" s="153" t="n">
        <f aca="false">Assumptions!$D$19*Assumptions!$D$23*(1+Assumptions!$D$25)^(P5-2000)/1000</f>
        <v>2156.1305685462</v>
      </c>
      <c r="Q17" s="153" t="n">
        <f aca="false">Assumptions!$D$19*Assumptions!$D$23*(1+Assumptions!$D$25)^(Q5-2000)/1000</f>
        <v>2220.81448560259</v>
      </c>
      <c r="R17" s="153" t="n">
        <f aca="false">Assumptions!$D$19*Assumptions!$D$23*(1+Assumptions!$D$25)^(R5-2000)/1000</f>
        <v>2287.43892017066</v>
      </c>
      <c r="S17" s="153" t="n">
        <f aca="false">Assumptions!$D$19*Assumptions!$D$23*(1+Assumptions!$D$25)^(S5-2000)/1000</f>
        <v>2356.06208777578</v>
      </c>
      <c r="T17" s="153" t="n">
        <f aca="false">Assumptions!$D$19*Assumptions!$D$23*(1+Assumptions!$D$25)^(T5-2000)/1000</f>
        <v>2426.74395040906</v>
      </c>
      <c r="U17" s="153" t="n">
        <f aca="false">Assumptions!$D$19*Assumptions!$D$23*(1+Assumptions!$D$25)^(U5-2000)/1000</f>
        <v>2499.54626892133</v>
      </c>
      <c r="W17" s="164" t="n">
        <f aca="false">SUM(B17:U17)</f>
        <v>38302.5448817751</v>
      </c>
      <c r="X17" s="1"/>
      <c r="Y17" s="1"/>
      <c r="Z17" s="1"/>
      <c r="AA17" s="1"/>
      <c r="AB17" s="12"/>
      <c r="AC17" s="12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</row>
    <row r="18" customFormat="false" ht="12.75" hidden="false" customHeight="false" outlineLevel="0" collapsed="false">
      <c r="A18" s="169" t="s">
        <v>109</v>
      </c>
      <c r="B18" s="153" t="n">
        <f aca="false">Assumptions!$D$24*Assumptions!$D$11*Assumptions!$D$8/1000*(1+Assumptions!$D$25)</f>
        <v>463.5</v>
      </c>
      <c r="C18" s="164" t="n">
        <f aca="false">B18*(1+Assumptions!$D$25)</f>
        <v>477.405</v>
      </c>
      <c r="D18" s="164" t="n">
        <f aca="false">C18*(1+Assumptions!$D$25)</f>
        <v>491.72715</v>
      </c>
      <c r="E18" s="164" t="n">
        <f aca="false">D18*(1+Assumptions!$D$25)</f>
        <v>506.4789645</v>
      </c>
      <c r="F18" s="164" t="n">
        <f aca="false">E18*(1+Assumptions!$D$25)</f>
        <v>521.673333435</v>
      </c>
      <c r="G18" s="164" t="n">
        <f aca="false">F18*(1+Assumptions!$D$25)</f>
        <v>537.32353343805</v>
      </c>
      <c r="H18" s="164" t="n">
        <f aca="false">G18*(1+Assumptions!$D$25)</f>
        <v>553.443239441192</v>
      </c>
      <c r="I18" s="164" t="n">
        <f aca="false">H18*(1+Assumptions!$D$25)</f>
        <v>570.046536624428</v>
      </c>
      <c r="J18" s="164" t="n">
        <f aca="false">I18*(1+Assumptions!$D$25)</f>
        <v>587.14793272316</v>
      </c>
      <c r="K18" s="164" t="n">
        <f aca="false">J18*(1+Assumptions!$D$25)</f>
        <v>604.762370704855</v>
      </c>
      <c r="L18" s="164" t="n">
        <f aca="false">K18*(1+Assumptions!$D$25)</f>
        <v>622.905241826001</v>
      </c>
      <c r="M18" s="164" t="n">
        <f aca="false">L18*(1+Assumptions!$D$25)</f>
        <v>641.592399080781</v>
      </c>
      <c r="N18" s="164" t="n">
        <f aca="false">M18*(1+Assumptions!$D$25)</f>
        <v>660.840171053204</v>
      </c>
      <c r="O18" s="164" t="n">
        <f aca="false">N18*(1+Assumptions!$D$25)</f>
        <v>680.6653761848</v>
      </c>
      <c r="P18" s="164" t="n">
        <f aca="false">O18*(1+Assumptions!$D$25)</f>
        <v>701.085337470344</v>
      </c>
      <c r="Q18" s="164" t="n">
        <f aca="false">P18*(1+Assumptions!$D$25)</f>
        <v>722.117897594455</v>
      </c>
      <c r="R18" s="164" t="n">
        <f aca="false">Q18*(1+Assumptions!$D$25)</f>
        <v>743.781434522288</v>
      </c>
      <c r="S18" s="164" t="n">
        <f aca="false">R18*(1+Assumptions!$D$25)</f>
        <v>766.094877557957</v>
      </c>
      <c r="T18" s="164" t="n">
        <f aca="false">S18*(1+Assumptions!$D$25)</f>
        <v>789.077723884696</v>
      </c>
      <c r="U18" s="164" t="n">
        <f aca="false">T18*(1+Assumptions!$D$25)</f>
        <v>812.750055601237</v>
      </c>
      <c r="W18" s="164" t="n">
        <f aca="false">SUM(B18:U18)</f>
        <v>12454.4185756424</v>
      </c>
      <c r="X18" s="1"/>
      <c r="Y18" s="1"/>
      <c r="Z18" s="1"/>
      <c r="AA18" s="1"/>
      <c r="AB18" s="12"/>
      <c r="AC18" s="12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  <c r="IW18" s="316"/>
    </row>
    <row r="19" customFormat="false" ht="12.75" hidden="false" customHeight="false" outlineLevel="0" collapsed="false">
      <c r="A19" s="169" t="s">
        <v>74</v>
      </c>
      <c r="B19" s="153" t="n">
        <f aca="false">Assumptions!D31*(1+Assumptions!$D$25)</f>
        <v>315.455745714286</v>
      </c>
      <c r="C19" s="164" t="n">
        <f aca="false">B19*(1+Assumptions!$D$25)</f>
        <v>324.919418085714</v>
      </c>
      <c r="D19" s="164" t="n">
        <f aca="false">C19*(1+Assumptions!$D$25)</f>
        <v>334.667000628286</v>
      </c>
      <c r="E19" s="164" t="n">
        <f aca="false">D19*(1+Assumptions!$D$25)</f>
        <v>344.707010647134</v>
      </c>
      <c r="F19" s="164" t="n">
        <f aca="false">E19*(1+Assumptions!$D$25)</f>
        <v>355.048220966548</v>
      </c>
      <c r="G19" s="164" t="n">
        <f aca="false">F19*(1+Assumptions!$D$25)</f>
        <v>365.699667595545</v>
      </c>
      <c r="H19" s="164" t="n">
        <f aca="false">G19*(1+Assumptions!$D$25)</f>
        <v>376.670657623411</v>
      </c>
      <c r="I19" s="164" t="n">
        <f aca="false">H19*(1+Assumptions!$D$25)</f>
        <v>387.970777352113</v>
      </c>
      <c r="J19" s="164" t="n">
        <f aca="false">I19*(1+Assumptions!$D$25)</f>
        <v>399.609900672677</v>
      </c>
      <c r="K19" s="164" t="n">
        <f aca="false">J19*(1+Assumptions!$D$25)</f>
        <v>411.598197692857</v>
      </c>
      <c r="L19" s="164" t="n">
        <f aca="false">K19*(1+Assumptions!$D$25)</f>
        <v>423.946143623643</v>
      </c>
      <c r="M19" s="164" t="n">
        <f aca="false">L19*(1+Assumptions!$D$25)</f>
        <v>436.664527932352</v>
      </c>
      <c r="N19" s="164" t="n">
        <f aca="false">M19*(1+Assumptions!$D$25)</f>
        <v>449.764463770323</v>
      </c>
      <c r="O19" s="164" t="n">
        <f aca="false">N19*(1+Assumptions!$D$25)</f>
        <v>463.257397683432</v>
      </c>
      <c r="P19" s="164" t="n">
        <f aca="false">O19*(1+Assumptions!$D$25)</f>
        <v>477.155119613935</v>
      </c>
      <c r="Q19" s="164" t="n">
        <f aca="false">P19*(1+Assumptions!$D$25)</f>
        <v>491.469773202354</v>
      </c>
      <c r="R19" s="164" t="n">
        <f aca="false">Q19*(1+Assumptions!$D$25)</f>
        <v>506.213866398424</v>
      </c>
      <c r="S19" s="164" t="n">
        <f aca="false">R19*(1+Assumptions!$D$25)</f>
        <v>521.400282390377</v>
      </c>
      <c r="T19" s="164" t="n">
        <f aca="false">S19*(1+Assumptions!$D$25)</f>
        <v>537.042290862088</v>
      </c>
      <c r="U19" s="164" t="n">
        <f aca="false">T19*(1+Assumptions!$D$25)</f>
        <v>553.153559587951</v>
      </c>
      <c r="W19" s="164" t="n">
        <f aca="false">SUM(B19:U19)</f>
        <v>8476.41402204345</v>
      </c>
      <c r="X19" s="1"/>
      <c r="Y19" s="1"/>
      <c r="Z19" s="1"/>
      <c r="AA19" s="1"/>
      <c r="AB19" s="12"/>
      <c r="AC19" s="12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</row>
    <row r="20" customFormat="false" ht="12.75" hidden="false" customHeight="false" outlineLevel="0" collapsed="false">
      <c r="A20" s="169" t="s">
        <v>192</v>
      </c>
      <c r="B20" s="318" t="n">
        <v>0</v>
      </c>
      <c r="C20" s="318" t="n">
        <v>117.987</v>
      </c>
      <c r="D20" s="318" t="n">
        <v>216.843</v>
      </c>
      <c r="E20" s="318" t="n">
        <v>295.985</v>
      </c>
      <c r="F20" s="318" t="n">
        <v>346.251</v>
      </c>
      <c r="G20" s="318" t="n">
        <v>468.657</v>
      </c>
      <c r="H20" s="318" t="n">
        <v>641.059</v>
      </c>
      <c r="I20" s="318" t="n">
        <v>753.232</v>
      </c>
      <c r="J20" s="318" t="n">
        <v>765.3</v>
      </c>
      <c r="K20" s="318" t="n">
        <v>699.258</v>
      </c>
      <c r="L20" s="318" t="n">
        <v>854.333</v>
      </c>
      <c r="M20" s="318" t="n">
        <v>854.3</v>
      </c>
      <c r="N20" s="318" t="n">
        <v>854.3</v>
      </c>
      <c r="O20" s="318" t="n">
        <v>854.3</v>
      </c>
      <c r="P20" s="318" t="n">
        <v>854.3</v>
      </c>
      <c r="Q20" s="318" t="n">
        <v>854.3</v>
      </c>
      <c r="R20" s="318" t="n">
        <v>854.3</v>
      </c>
      <c r="S20" s="318" t="n">
        <v>854.3</v>
      </c>
      <c r="T20" s="318" t="n">
        <v>854.3</v>
      </c>
      <c r="U20" s="318" t="n">
        <v>854.3</v>
      </c>
      <c r="W20" s="164" t="n">
        <f aca="false">SUM(B20:U20)</f>
        <v>12847.605</v>
      </c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</row>
    <row r="21" customFormat="false" ht="12.75" hidden="false" customHeight="false" outlineLevel="0" collapsed="false">
      <c r="A21" s="169" t="s">
        <v>193</v>
      </c>
      <c r="B21" s="171" t="n">
        <v>0</v>
      </c>
      <c r="C21" s="171" t="n">
        <v>0</v>
      </c>
      <c r="D21" s="171" t="n">
        <v>0</v>
      </c>
      <c r="E21" s="171" t="n">
        <v>0</v>
      </c>
      <c r="F21" s="171" t="n">
        <v>0</v>
      </c>
      <c r="G21" s="171" t="n">
        <v>0</v>
      </c>
      <c r="H21" s="171" t="n">
        <v>0</v>
      </c>
      <c r="I21" s="171" t="n">
        <v>0</v>
      </c>
      <c r="J21" s="171" t="n">
        <v>0</v>
      </c>
      <c r="K21" s="171" t="n">
        <v>0</v>
      </c>
      <c r="L21" s="171" t="n">
        <v>0</v>
      </c>
      <c r="M21" s="171" t="n">
        <v>0</v>
      </c>
      <c r="N21" s="171" t="n">
        <v>0</v>
      </c>
      <c r="O21" s="171" t="n">
        <v>0</v>
      </c>
      <c r="P21" s="171" t="n">
        <v>0</v>
      </c>
      <c r="Q21" s="171" t="n">
        <v>0</v>
      </c>
      <c r="R21" s="171" t="n">
        <v>0</v>
      </c>
      <c r="S21" s="171" t="n">
        <v>0</v>
      </c>
      <c r="T21" s="171" t="n">
        <v>0</v>
      </c>
      <c r="U21" s="171" t="n">
        <v>0</v>
      </c>
      <c r="V21" s="164"/>
      <c r="W21" s="164" t="n">
        <f aca="false">SUM(B21:U21)</f>
        <v>0</v>
      </c>
    </row>
    <row r="22" customFormat="false" ht="12.75" hidden="false" customHeight="false" outlineLevel="0" collapsed="false">
      <c r="A22" s="169" t="s">
        <v>112</v>
      </c>
      <c r="B22" s="153" t="n">
        <f aca="false">SUM(B16:B21)</f>
        <v>3765.67605053572</v>
      </c>
      <c r="C22" s="153" t="n">
        <f aca="false">SUM(C16:C21)</f>
        <v>3996.63333205179</v>
      </c>
      <c r="D22" s="153" t="n">
        <f aca="false">SUM(D16:D21)</f>
        <v>4211.84872201334</v>
      </c>
      <c r="E22" s="153" t="n">
        <f aca="false">SUM(E16:E21)</f>
        <v>4410.84089367374</v>
      </c>
      <c r="F22" s="153" t="n">
        <f aca="false">SUM(F16:F21)</f>
        <v>4584.55257048395</v>
      </c>
      <c r="G22" s="153" t="n">
        <f aca="false">SUM(G16:G21)</f>
        <v>4834.10761759847</v>
      </c>
      <c r="H22" s="153" t="n">
        <f aca="false">SUM(H16:H21)</f>
        <v>5137.47313612643</v>
      </c>
      <c r="I22" s="153" t="n">
        <f aca="false">SUM(I16:I21)</f>
        <v>5384.53856021022</v>
      </c>
      <c r="J22" s="153" t="n">
        <f aca="false">SUM(J16:J21)</f>
        <v>5535.54575701653</v>
      </c>
      <c r="K22" s="153" t="n">
        <f aca="false">SUM(K16:K21)</f>
        <v>5612.61112972702</v>
      </c>
      <c r="L22" s="153" t="n">
        <f aca="false">SUM(L16:L21)</f>
        <v>5915.08672361883</v>
      </c>
      <c r="M22" s="153" t="n">
        <f aca="false">SUM(M16:M21)</f>
        <v>6066.8763353274</v>
      </c>
      <c r="N22" s="153" t="n">
        <f aca="false">SUM(N16:N21)</f>
        <v>6223.25362538722</v>
      </c>
      <c r="O22" s="153" t="n">
        <f aca="false">SUM(O16:O21)</f>
        <v>6384.32223414884</v>
      </c>
      <c r="P22" s="153" t="n">
        <f aca="false">SUM(P16:P21)</f>
        <v>6550.2229011733</v>
      </c>
      <c r="Q22" s="153" t="n">
        <f aca="false">SUM(Q16:Q21)</f>
        <v>6721.1005882085</v>
      </c>
      <c r="R22" s="153" t="n">
        <f aca="false">SUM(R16:R21)</f>
        <v>6897.10460585476</v>
      </c>
      <c r="S22" s="153" t="n">
        <f aca="false">SUM(S16:S21)</f>
        <v>7078.3887440304</v>
      </c>
      <c r="T22" s="153" t="n">
        <f aca="false">SUM(T16:T21)</f>
        <v>7265.11140635131</v>
      </c>
      <c r="U22" s="153" t="n">
        <f aca="false">SUM(U16:U21)</f>
        <v>7457.43574854185</v>
      </c>
      <c r="W22" s="164" t="n">
        <f aca="false">SUM(B22:U22)</f>
        <v>114032.73068208</v>
      </c>
    </row>
    <row r="23" customFormat="false" ht="12.75" hidden="false" customHeight="false" outlineLevel="0" collapsed="false">
      <c r="A23" s="175"/>
      <c r="B23" s="347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6"/>
      <c r="W23" s="164"/>
    </row>
    <row r="24" customFormat="false" ht="12.75" hidden="false" customHeight="false" outlineLevel="0" collapsed="false">
      <c r="A24" s="175"/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6"/>
      <c r="W24" s="164"/>
    </row>
    <row r="25" customFormat="false" ht="12.75" hidden="false" customHeight="false" outlineLevel="0" collapsed="false">
      <c r="A25" s="163" t="s">
        <v>113</v>
      </c>
      <c r="B25" s="160" t="n">
        <f aca="false">B13-B22</f>
        <v>30899.4347829938</v>
      </c>
      <c r="C25" s="160" t="n">
        <f aca="false">C13-C22</f>
        <v>32469.1813111663</v>
      </c>
      <c r="D25" s="160" t="n">
        <f aca="false">D13-D22</f>
        <v>34149.3868647877</v>
      </c>
      <c r="E25" s="160" t="n">
        <f aca="false">E13-E22</f>
        <v>35945.5170468694</v>
      </c>
      <c r="F25" s="160" t="n">
        <f aca="false">F13-F22</f>
        <v>37871.9835590865</v>
      </c>
      <c r="G25" s="160" t="n">
        <f aca="false">G13-G22</f>
        <v>38500.2834620847</v>
      </c>
      <c r="H25" s="160" t="n">
        <f aca="false">H13-H22</f>
        <v>39092.517706428</v>
      </c>
      <c r="I25" s="160" t="n">
        <f aca="false">I13-I22</f>
        <v>39760.5630298614</v>
      </c>
      <c r="J25" s="160" t="n">
        <f aca="false">J13-J22</f>
        <v>40545.0727199837</v>
      </c>
      <c r="K25" s="160" t="n">
        <f aca="false">K13-K22</f>
        <v>41424.0606694801</v>
      </c>
      <c r="L25" s="160" t="n">
        <f aca="false">L13-L22</f>
        <v>41757.7395485013</v>
      </c>
      <c r="M25" s="160" t="n">
        <f aca="false">M13-M22</f>
        <v>42253.2698665267</v>
      </c>
      <c r="N25" s="160" t="n">
        <f aca="false">N13-N22</f>
        <v>42753.5883365404</v>
      </c>
      <c r="O25" s="160" t="n">
        <f aca="false">O13-O22</f>
        <v>43258.7442251007</v>
      </c>
      <c r="P25" s="160" t="n">
        <f aca="false">P13-P22</f>
        <v>43768.7522102855</v>
      </c>
      <c r="Q25" s="160" t="n">
        <f aca="false">Q13-Q22</f>
        <v>44393.8093972096</v>
      </c>
      <c r="R25" s="160" t="n">
        <f aca="false">R13-R22</f>
        <v>45026.823232092</v>
      </c>
      <c r="S25" s="160" t="n">
        <f aca="false">S13-S22</f>
        <v>45667.8691918607</v>
      </c>
      <c r="T25" s="160" t="n">
        <f aca="false">T13-T22</f>
        <v>46317.0225498107</v>
      </c>
      <c r="U25" s="160" t="n">
        <f aca="false">U13-U22</f>
        <v>46974.3583321795</v>
      </c>
      <c r="V25" s="293"/>
      <c r="W25" s="164" t="n">
        <f aca="false">SUM(B25:U25)</f>
        <v>812829.978042849</v>
      </c>
    </row>
    <row r="26" customFormat="false" ht="12.75" hidden="false" customHeight="false" outlineLevel="0" collapsed="false">
      <c r="A26" s="163"/>
      <c r="B26" s="320"/>
      <c r="C26" s="321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293"/>
      <c r="W26" s="164"/>
    </row>
    <row r="27" customFormat="false" ht="12.75" hidden="false" customHeight="false" outlineLevel="0" collapsed="false">
      <c r="A27" s="169" t="s">
        <v>114</v>
      </c>
      <c r="B27" s="153" t="n">
        <f aca="false">Depreciation!C21</f>
        <v>6399.22263913304</v>
      </c>
      <c r="C27" s="153" t="n">
        <f aca="false">Depreciation!D21</f>
        <v>6399.22263913304</v>
      </c>
      <c r="D27" s="153" t="n">
        <f aca="false">Depreciation!E21</f>
        <v>6399.22263913304</v>
      </c>
      <c r="E27" s="153" t="n">
        <f aca="false">Depreciation!F21</f>
        <v>6399.22263913304</v>
      </c>
      <c r="F27" s="153" t="n">
        <f aca="false">Depreciation!G21</f>
        <v>6399.22263913304</v>
      </c>
      <c r="G27" s="153" t="n">
        <f aca="false">Depreciation!H21</f>
        <v>6399.22263913304</v>
      </c>
      <c r="H27" s="153" t="n">
        <f aca="false">Depreciation!I21</f>
        <v>6399.22263913304</v>
      </c>
      <c r="I27" s="153" t="n">
        <f aca="false">Depreciation!J21</f>
        <v>6399.22263913304</v>
      </c>
      <c r="J27" s="153" t="n">
        <f aca="false">Depreciation!K21</f>
        <v>6399.22263913304</v>
      </c>
      <c r="K27" s="153" t="n">
        <f aca="false">Depreciation!L21</f>
        <v>6399.22263913304</v>
      </c>
      <c r="L27" s="153" t="n">
        <f aca="false">Depreciation!M21</f>
        <v>6399.22263913304</v>
      </c>
      <c r="M27" s="153" t="n">
        <f aca="false">Depreciation!N21</f>
        <v>6399.22263913304</v>
      </c>
      <c r="N27" s="153" t="n">
        <f aca="false">Depreciation!O21</f>
        <v>6399.22263913304</v>
      </c>
      <c r="O27" s="153" t="n">
        <f aca="false">Depreciation!P21</f>
        <v>6399.22263913304</v>
      </c>
      <c r="P27" s="153" t="n">
        <f aca="false">Depreciation!Q21</f>
        <v>6399.22263913304</v>
      </c>
      <c r="Q27" s="153" t="n">
        <f aca="false">Depreciation!R21</f>
        <v>6399.22263913304</v>
      </c>
      <c r="R27" s="153" t="n">
        <f aca="false">Depreciation!S21</f>
        <v>6399.22263913304</v>
      </c>
      <c r="S27" s="153" t="n">
        <f aca="false">Depreciation!T21</f>
        <v>6399.22263913304</v>
      </c>
      <c r="T27" s="153" t="n">
        <f aca="false">Depreciation!U21</f>
        <v>6399.22263913304</v>
      </c>
      <c r="U27" s="153" t="n">
        <f aca="false">Depreciation!V21</f>
        <v>6399.22263913304</v>
      </c>
      <c r="W27" s="164" t="n">
        <f aca="false">SUM(B27:U27)</f>
        <v>127984.452782661</v>
      </c>
      <c r="X27" s="1"/>
      <c r="Y27" s="1"/>
      <c r="Z27" s="1"/>
      <c r="AA27" s="1"/>
      <c r="AB27" s="12"/>
      <c r="AC27" s="12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69"/>
      <c r="B28" s="153"/>
      <c r="C28" s="16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W28" s="164"/>
    </row>
    <row r="29" customFormat="false" ht="12.75" hidden="false" customHeight="false" outlineLevel="0" collapsed="false">
      <c r="A29" s="163" t="s">
        <v>115</v>
      </c>
      <c r="B29" s="320" t="n">
        <f aca="false">B25-B27</f>
        <v>24500.2121438607</v>
      </c>
      <c r="C29" s="320" t="n">
        <f aca="false">C25-C27</f>
        <v>26069.9586720333</v>
      </c>
      <c r="D29" s="320" t="n">
        <f aca="false">D25-D27</f>
        <v>27750.1642256547</v>
      </c>
      <c r="E29" s="320" t="n">
        <f aca="false">E25-E27</f>
        <v>29546.2944077364</v>
      </c>
      <c r="F29" s="320" t="n">
        <f aca="false">F25-F27</f>
        <v>31472.7609199535</v>
      </c>
      <c r="G29" s="320" t="n">
        <f aca="false">G25-G27</f>
        <v>32101.0608229517</v>
      </c>
      <c r="H29" s="320" t="n">
        <f aca="false">H25-H27</f>
        <v>32693.295067295</v>
      </c>
      <c r="I29" s="320" t="n">
        <f aca="false">I25-I27</f>
        <v>33361.3403907283</v>
      </c>
      <c r="J29" s="320" t="n">
        <f aca="false">J25-J27</f>
        <v>34145.8500808507</v>
      </c>
      <c r="K29" s="320" t="n">
        <f aca="false">K25-K27</f>
        <v>35024.838030347</v>
      </c>
      <c r="L29" s="320" t="n">
        <f aca="false">L25-L27</f>
        <v>35358.5169093682</v>
      </c>
      <c r="M29" s="320" t="n">
        <f aca="false">M25-M27</f>
        <v>35854.0472273936</v>
      </c>
      <c r="N29" s="320" t="n">
        <f aca="false">N25-N27</f>
        <v>36354.3656974074</v>
      </c>
      <c r="O29" s="320" t="n">
        <f aca="false">O25-O27</f>
        <v>36859.5215859677</v>
      </c>
      <c r="P29" s="320" t="n">
        <f aca="false">P25-P27</f>
        <v>37369.5295711525</v>
      </c>
      <c r="Q29" s="320" t="n">
        <f aca="false">Q25-Q27</f>
        <v>37994.5867580765</v>
      </c>
      <c r="R29" s="320" t="n">
        <f aca="false">R25-R27</f>
        <v>38627.6005929589</v>
      </c>
      <c r="S29" s="320" t="n">
        <f aca="false">S25-S27</f>
        <v>39268.6465527276</v>
      </c>
      <c r="T29" s="320" t="n">
        <f aca="false">T25-T27</f>
        <v>39917.7999106776</v>
      </c>
      <c r="U29" s="320" t="n">
        <f aca="false">U25-U27</f>
        <v>40575.1356930465</v>
      </c>
      <c r="V29" s="293"/>
      <c r="W29" s="164" t="n">
        <f aca="false">SUM(B29:U29)</f>
        <v>684845.525260188</v>
      </c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</row>
    <row r="30" customFormat="false" ht="12.75" hidden="false" customHeight="false" outlineLevel="0" collapsed="false">
      <c r="A30" s="163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293"/>
      <c r="W30" s="164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</row>
    <row r="31" customFormat="false" ht="12.75" hidden="false" customHeight="false" outlineLevel="0" collapsed="false">
      <c r="A31" s="4" t="s">
        <v>116</v>
      </c>
      <c r="B31" s="153" t="n">
        <f aca="false">IS!B33*Allocation!$E$7</f>
        <v>11617.0986480707</v>
      </c>
      <c r="C31" s="153" t="n">
        <f aca="false">IS!C33*Allocation!$E$7</f>
        <v>11412.5252580511</v>
      </c>
      <c r="D31" s="153" t="n">
        <f aca="false">IS!D33*Allocation!$E$7</f>
        <v>11143.6980083651</v>
      </c>
      <c r="E31" s="153" t="n">
        <f aca="false">IS!E33*Allocation!$E$7</f>
        <v>10865.6866123263</v>
      </c>
      <c r="F31" s="153" t="n">
        <f aca="false">IS!F33*Allocation!$E$7</f>
        <v>10479.5606805078</v>
      </c>
      <c r="G31" s="153" t="n">
        <f aca="false">IS!G33*Allocation!$E$7</f>
        <v>10080.8093807098</v>
      </c>
      <c r="H31" s="153" t="n">
        <f aca="false">IS!H33*Allocation!$E$7</f>
        <v>9671.76106039213</v>
      </c>
      <c r="I31" s="153" t="n">
        <f aca="false">IS!I33*Allocation!$E$7</f>
        <v>9273.19418127862</v>
      </c>
      <c r="J31" s="153" t="n">
        <f aca="false">IS!J33*Allocation!$E$7</f>
        <v>8803.70009526857</v>
      </c>
      <c r="K31" s="153" t="n">
        <f aca="false">IS!K33*Allocation!$E$7</f>
        <v>8334.02560716187</v>
      </c>
      <c r="L31" s="153" t="n">
        <f aca="false">IS!L33*Allocation!$E$7</f>
        <v>7831.87919659394</v>
      </c>
      <c r="M31" s="153" t="n">
        <f aca="false">IS!M33*Allocation!$E$7</f>
        <v>7308.45309973433</v>
      </c>
      <c r="N31" s="153" t="n">
        <f aca="false">IS!N33*Allocation!$E$7</f>
        <v>6703.26322820807</v>
      </c>
      <c r="O31" s="153" t="n">
        <f aca="false">IS!O33*Allocation!$E$7</f>
        <v>6071.81693125766</v>
      </c>
      <c r="P31" s="153" t="n">
        <f aca="false">IS!P33*Allocation!$E$7</f>
        <v>5386.58752247831</v>
      </c>
      <c r="Q31" s="153" t="n">
        <f aca="false">IS!Q33*Allocation!$E$7</f>
        <v>4654.05289635539</v>
      </c>
      <c r="R31" s="153" t="n">
        <f aca="false">IS!R33*Allocation!$E$7</f>
        <v>3823.67761861867</v>
      </c>
      <c r="S31" s="153" t="n">
        <f aca="false">IS!S33*Allocation!$E$7</f>
        <v>2929.27420320588</v>
      </c>
      <c r="T31" s="153" t="n">
        <f aca="false">IS!T33*Allocation!$E$7</f>
        <v>1947.61564435113</v>
      </c>
      <c r="U31" s="153" t="n">
        <f aca="false">IS!U33*Allocation!$E$7</f>
        <v>870.726798371949</v>
      </c>
      <c r="W31" s="164" t="n">
        <f aca="false">SUM(B31:U31)</f>
        <v>149209.406671307</v>
      </c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  <c r="IW31" s="293"/>
    </row>
    <row r="32" customFormat="false" ht="12.75" hidden="false" customHeight="false" outlineLevel="0" collapsed="false"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W32" s="164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  <c r="IW32" s="293"/>
    </row>
    <row r="33" customFormat="false" ht="12.75" hidden="false" customHeight="false" outlineLevel="0" collapsed="false">
      <c r="A33" s="163" t="s">
        <v>117</v>
      </c>
      <c r="B33" s="320" t="n">
        <f aca="false">B29-B31</f>
        <v>12883.1134957901</v>
      </c>
      <c r="C33" s="320" t="n">
        <f aca="false">C29-C31</f>
        <v>14657.4334139822</v>
      </c>
      <c r="D33" s="320" t="n">
        <f aca="false">D29-D31</f>
        <v>16606.4662172896</v>
      </c>
      <c r="E33" s="320" t="n">
        <f aca="false">E29-E31</f>
        <v>18680.6077954101</v>
      </c>
      <c r="F33" s="320" t="n">
        <f aca="false">F29-F31</f>
        <v>20993.2002394457</v>
      </c>
      <c r="G33" s="320" t="n">
        <f aca="false">G29-G31</f>
        <v>22020.2514422419</v>
      </c>
      <c r="H33" s="320" t="n">
        <f aca="false">H29-H31</f>
        <v>23021.5340069029</v>
      </c>
      <c r="I33" s="320" t="n">
        <f aca="false">I29-I31</f>
        <v>24088.1462094497</v>
      </c>
      <c r="J33" s="320" t="n">
        <f aca="false">J29-J31</f>
        <v>25342.1499855821</v>
      </c>
      <c r="K33" s="320" t="n">
        <f aca="false">K29-K31</f>
        <v>26690.8124231852</v>
      </c>
      <c r="L33" s="320" t="n">
        <f aca="false">L29-L31</f>
        <v>27526.6377127743</v>
      </c>
      <c r="M33" s="320" t="n">
        <f aca="false">M29-M31</f>
        <v>28545.5941276593</v>
      </c>
      <c r="N33" s="320" t="n">
        <f aca="false">N29-N31</f>
        <v>29651.1024691993</v>
      </c>
      <c r="O33" s="320" t="n">
        <f aca="false">O29-O31</f>
        <v>30787.70465471</v>
      </c>
      <c r="P33" s="320" t="n">
        <f aca="false">P29-P31</f>
        <v>31982.9420486742</v>
      </c>
      <c r="Q33" s="320" t="n">
        <f aca="false">Q29-Q31</f>
        <v>33340.5338617211</v>
      </c>
      <c r="R33" s="320" t="n">
        <f aca="false">R29-R31</f>
        <v>34803.9229743403</v>
      </c>
      <c r="S33" s="320" t="n">
        <f aca="false">S29-S31</f>
        <v>36339.3723495218</v>
      </c>
      <c r="T33" s="320" t="n">
        <f aca="false">T29-T31</f>
        <v>37970.1842663265</v>
      </c>
      <c r="U33" s="320" t="n">
        <f aca="false">U29-U31</f>
        <v>39704.4088946745</v>
      </c>
      <c r="V33" s="293"/>
      <c r="W33" s="164" t="n">
        <f aca="false">SUM(B33:U33)</f>
        <v>535636.118588881</v>
      </c>
    </row>
    <row r="34" customFormat="false" ht="12.75" hidden="false" customHeight="false" outlineLevel="0" collapsed="false">
      <c r="A34" s="163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293"/>
      <c r="W34" s="164"/>
    </row>
    <row r="35" customFormat="false" ht="12.75" hidden="false" customHeight="false" outlineLevel="0" collapsed="false">
      <c r="A35" s="169" t="s">
        <v>118</v>
      </c>
      <c r="B35" s="153" t="n">
        <f aca="false">B33*-Assumptions!$D$38</f>
        <v>-579.740107310553</v>
      </c>
      <c r="C35" s="153" t="n">
        <f aca="false">C33*-Assumptions!$D$38</f>
        <v>-659.5845036292</v>
      </c>
      <c r="D35" s="153" t="n">
        <f aca="false">D33*-Assumptions!$D$38</f>
        <v>-747.290979778032</v>
      </c>
      <c r="E35" s="153" t="n">
        <f aca="false">E33*-Assumptions!$D$38</f>
        <v>-840.627350793453</v>
      </c>
      <c r="F35" s="153" t="n">
        <f aca="false">F33*-Assumptions!$D$38</f>
        <v>-944.694010775056</v>
      </c>
      <c r="G35" s="153" t="n">
        <f aca="false">G33*-Assumptions!$D$38</f>
        <v>-990.911314900884</v>
      </c>
      <c r="H35" s="153" t="n">
        <f aca="false">H33*-Assumptions!$D$38</f>
        <v>-1035.96903031063</v>
      </c>
      <c r="I35" s="153" t="n">
        <f aca="false">I33*-Assumptions!$D$38</f>
        <v>-1083.96657942524</v>
      </c>
      <c r="J35" s="153" t="n">
        <f aca="false">J33*-Assumptions!$D$38</f>
        <v>-1140.39674935119</v>
      </c>
      <c r="K35" s="153" t="n">
        <f aca="false">K33*-Assumptions!$D$38</f>
        <v>-1201.08655904333</v>
      </c>
      <c r="L35" s="153" t="n">
        <f aca="false">L33*-Assumptions!$D$38</f>
        <v>-1238.69869707484</v>
      </c>
      <c r="M35" s="153" t="n">
        <f aca="false">M33*-Assumptions!$D$38</f>
        <v>-1284.55173574467</v>
      </c>
      <c r="N35" s="153" t="n">
        <f aca="false">N33*-Assumptions!$D$38</f>
        <v>-1334.29961111397</v>
      </c>
      <c r="O35" s="153" t="n">
        <f aca="false">O33*-Assumptions!$D$38</f>
        <v>-1385.44670946195</v>
      </c>
      <c r="P35" s="153" t="n">
        <f aca="false">P33*-Assumptions!$D$38</f>
        <v>-1439.23239219034</v>
      </c>
      <c r="Q35" s="153" t="n">
        <f aca="false">Q33*-Assumptions!$D$38</f>
        <v>-1500.32402377745</v>
      </c>
      <c r="R35" s="153" t="n">
        <f aca="false">R33*-Assumptions!$D$38</f>
        <v>-1566.17653384531</v>
      </c>
      <c r="S35" s="153" t="n">
        <f aca="false">S33*-Assumptions!$D$38</f>
        <v>-1635.27175572848</v>
      </c>
      <c r="T35" s="153" t="n">
        <f aca="false">T33*-Assumptions!$D$38</f>
        <v>-1708.65829198469</v>
      </c>
      <c r="U35" s="153" t="n">
        <f aca="false">U33*-Assumptions!$D$38</f>
        <v>-1786.69840026035</v>
      </c>
      <c r="W35" s="164" t="n">
        <f aca="false">SUM(B35:U35)</f>
        <v>-24103.6253364996</v>
      </c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  <c r="IW35" s="293"/>
    </row>
    <row r="36" customFormat="false" ht="12.75" hidden="false" customHeight="false" outlineLevel="0" collapsed="false">
      <c r="A36" s="169" t="s">
        <v>119</v>
      </c>
      <c r="B36" s="322" t="n">
        <f aca="false">(B33+B35)*-Assumptions!$D$37</f>
        <v>-4306.18068596783</v>
      </c>
      <c r="C36" s="322" t="n">
        <f aca="false">(C33+C35)*-Assumptions!$D$37</f>
        <v>-4899.24711862356</v>
      </c>
      <c r="D36" s="322" t="n">
        <f aca="false">(D33+D35)*-Assumptions!$D$37</f>
        <v>-5550.71133312905</v>
      </c>
      <c r="E36" s="322" t="n">
        <f aca="false">(E33+E35)*-Assumptions!$D$37</f>
        <v>-6243.99315561582</v>
      </c>
      <c r="F36" s="322" t="n">
        <f aca="false">(F33+F35)*-Assumptions!$D$37</f>
        <v>-7016.97718003472</v>
      </c>
      <c r="G36" s="322" t="n">
        <f aca="false">(G33+G35)*-Assumptions!$D$37</f>
        <v>-7360.26904456935</v>
      </c>
      <c r="H36" s="322" t="n">
        <f aca="false">(H33+H35)*-Assumptions!$D$37</f>
        <v>-7694.94774180728</v>
      </c>
      <c r="I36" s="322" t="n">
        <f aca="false">(I33+I35)*-Assumptions!$D$37</f>
        <v>-8051.46287050856</v>
      </c>
      <c r="J36" s="322" t="n">
        <f aca="false">(J33+J35)*-Assumptions!$D$37</f>
        <v>-8470.61363268081</v>
      </c>
      <c r="K36" s="322" t="n">
        <f aca="false">(K33+K35)*-Assumptions!$D$37</f>
        <v>-8921.40405244964</v>
      </c>
      <c r="L36" s="322" t="n">
        <f aca="false">(L33+L35)*-Assumptions!$D$37</f>
        <v>-9200.7786554948</v>
      </c>
      <c r="M36" s="322" t="n">
        <f aca="false">(M33+M35)*-Assumptions!$D$37</f>
        <v>-9541.36483717012</v>
      </c>
      <c r="N36" s="322" t="n">
        <f aca="false">(N33+N35)*-Assumptions!$D$37</f>
        <v>-9910.88100032986</v>
      </c>
      <c r="O36" s="322" t="n">
        <f aca="false">(O33+O35)*-Assumptions!$D$37</f>
        <v>-10290.7902808368</v>
      </c>
      <c r="P36" s="322" t="n">
        <f aca="false">(P33+P35)*-Assumptions!$D$37</f>
        <v>-10690.2983797693</v>
      </c>
      <c r="Q36" s="322" t="n">
        <f aca="false">(Q33+Q35)*-Assumptions!$D$37</f>
        <v>-11144.0734432803</v>
      </c>
      <c r="R36" s="322" t="n">
        <f aca="false">(R33+R35)*-Assumptions!$D$37</f>
        <v>-11633.2112541732</v>
      </c>
      <c r="S36" s="322" t="n">
        <f aca="false">(S33+S35)*-Assumptions!$D$37</f>
        <v>-12146.4352078276</v>
      </c>
      <c r="T36" s="322" t="n">
        <f aca="false">(T33+T35)*-Assumptions!$D$37</f>
        <v>-12691.5340910196</v>
      </c>
      <c r="U36" s="322" t="n">
        <f aca="false">(U33+U35)*-Assumptions!$D$37</f>
        <v>-13271.198673045</v>
      </c>
      <c r="W36" s="164" t="n">
        <f aca="false">SUM(B36:U36)</f>
        <v>-179036.372638333</v>
      </c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  <c r="IW36" s="293"/>
    </row>
    <row r="37" customFormat="false" ht="12.75" hidden="false" customHeight="false" outlineLevel="0" collapsed="false">
      <c r="B37" s="153"/>
      <c r="C37" s="16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W37" s="164"/>
    </row>
    <row r="38" customFormat="false" ht="15.75" hidden="false" customHeight="false" outlineLevel="0" collapsed="false">
      <c r="A38" s="178" t="s">
        <v>194</v>
      </c>
      <c r="B38" s="323" t="n">
        <f aca="false">SUM(B33:B36)</f>
        <v>7997.19270251168</v>
      </c>
      <c r="C38" s="323" t="n">
        <f aca="false">SUM(C33:C36)</f>
        <v>9098.60179172947</v>
      </c>
      <c r="D38" s="323" t="n">
        <f aca="false">SUM(D33:D36)</f>
        <v>10308.4639043825</v>
      </c>
      <c r="E38" s="323" t="n">
        <f aca="false">SUM(E33:E36)</f>
        <v>11595.9872890008</v>
      </c>
      <c r="F38" s="323" t="n">
        <f aca="false">SUM(F33:F36)</f>
        <v>13031.5290486359</v>
      </c>
      <c r="G38" s="323" t="n">
        <f aca="false">SUM(G33:G36)</f>
        <v>13669.0710827716</v>
      </c>
      <c r="H38" s="323" t="n">
        <f aca="false">SUM(H33:H36)</f>
        <v>14290.617234785</v>
      </c>
      <c r="I38" s="323" t="n">
        <f aca="false">SUM(I33:I36)</f>
        <v>14952.7167595159</v>
      </c>
      <c r="J38" s="323" t="n">
        <f aca="false">SUM(J33:J36)</f>
        <v>15731.1396035501</v>
      </c>
      <c r="K38" s="323" t="n">
        <f aca="false">SUM(K33:K36)</f>
        <v>16568.3218116922</v>
      </c>
      <c r="L38" s="323" t="n">
        <f aca="false">SUM(L33:L36)</f>
        <v>17087.1603602046</v>
      </c>
      <c r="M38" s="323" t="n">
        <f aca="false">SUM(M33:M36)</f>
        <v>17719.6775547445</v>
      </c>
      <c r="N38" s="323" t="n">
        <f aca="false">SUM(N33:N36)</f>
        <v>18405.9218577555</v>
      </c>
      <c r="O38" s="323" t="n">
        <f aca="false">SUM(O33:O36)</f>
        <v>19111.4676644113</v>
      </c>
      <c r="P38" s="323" t="n">
        <f aca="false">SUM(P33:P36)</f>
        <v>19853.4112767145</v>
      </c>
      <c r="Q38" s="323" t="n">
        <f aca="false">SUM(Q33:Q36)</f>
        <v>20696.1363946634</v>
      </c>
      <c r="R38" s="323" t="n">
        <f aca="false">SUM(R33:R36)</f>
        <v>21604.5351863217</v>
      </c>
      <c r="S38" s="323" t="n">
        <f aca="false">SUM(S33:S36)</f>
        <v>22557.6653859656</v>
      </c>
      <c r="T38" s="323" t="n">
        <f aca="false">SUM(T33:T36)</f>
        <v>23569.9918833222</v>
      </c>
      <c r="U38" s="323" t="n">
        <f aca="false">SUM(U33:U36)</f>
        <v>24646.5118213692</v>
      </c>
      <c r="V38" s="324"/>
      <c r="W38" s="164" t="n">
        <f aca="false">SUM(B38:U38)</f>
        <v>332496.120614048</v>
      </c>
    </row>
    <row r="39" customFormat="false" ht="12.75" hidden="false" customHeight="false" outlineLevel="0" collapsed="false">
      <c r="A39" s="317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16"/>
      <c r="W39" s="316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  <c r="IW39" s="293"/>
    </row>
    <row r="40" customFormat="false" ht="12.75" hidden="false" customHeight="false" outlineLevel="0" collapsed="false">
      <c r="A40" s="163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  <c r="IW40" s="293"/>
    </row>
    <row r="41" customFormat="false" ht="12.75" hidden="false" customHeight="false" outlineLevel="0" collapsed="false">
      <c r="A41" s="258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customFormat="false" ht="18" hidden="false" customHeight="false" outlineLevel="0" collapsed="false">
      <c r="A42" s="326" t="s">
        <v>219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</row>
    <row r="43" customFormat="false" ht="12.75" hidden="false" customHeight="false" outlineLevel="0" collapsed="false">
      <c r="A43" s="163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</row>
    <row r="44" customFormat="false" ht="15.75" hidden="false" customHeight="false" outlineLevel="0" collapsed="false">
      <c r="A44" s="163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324"/>
      <c r="DB44" s="324"/>
      <c r="DC44" s="324"/>
      <c r="DD44" s="324"/>
      <c r="DE44" s="324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  <c r="IW44" s="324"/>
    </row>
    <row r="45" customFormat="false" ht="12.75" hidden="false" customHeight="false" outlineLevel="0" collapsed="false">
      <c r="A45" s="163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  <c r="BN45" s="316"/>
      <c r="BO45" s="316"/>
      <c r="BP45" s="316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  <c r="CG45" s="316"/>
      <c r="CH45" s="316"/>
      <c r="CI45" s="316"/>
      <c r="CJ45" s="316"/>
      <c r="CK45" s="316"/>
      <c r="CL45" s="316"/>
      <c r="CM45" s="316"/>
      <c r="CN45" s="316"/>
      <c r="CO45" s="316"/>
      <c r="CP45" s="316"/>
      <c r="CQ45" s="316"/>
      <c r="CR45" s="316"/>
      <c r="CS45" s="316"/>
      <c r="CT45" s="316"/>
      <c r="CU45" s="316"/>
      <c r="CV45" s="316"/>
      <c r="CW45" s="316"/>
      <c r="CX45" s="316"/>
      <c r="CY45" s="316"/>
      <c r="CZ45" s="316"/>
      <c r="DA45" s="316"/>
      <c r="DB45" s="316"/>
      <c r="DC45" s="316"/>
      <c r="DD45" s="316"/>
      <c r="DE45" s="316"/>
      <c r="DF45" s="316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6"/>
      <c r="EM45" s="316"/>
      <c r="EN45" s="316"/>
      <c r="EO45" s="316"/>
      <c r="EP45" s="316"/>
      <c r="EQ45" s="316"/>
      <c r="ER45" s="316"/>
      <c r="ES45" s="316"/>
      <c r="ET45" s="316"/>
      <c r="EU45" s="316"/>
      <c r="EV45" s="316"/>
      <c r="EW45" s="316"/>
      <c r="EX45" s="316"/>
      <c r="EY45" s="316"/>
      <c r="EZ45" s="316"/>
      <c r="FA45" s="316"/>
      <c r="FB45" s="316"/>
      <c r="FC45" s="316"/>
      <c r="FD45" s="316"/>
      <c r="FE45" s="316"/>
      <c r="FF45" s="316"/>
      <c r="FG45" s="316"/>
      <c r="FH45" s="316"/>
      <c r="FI45" s="316"/>
      <c r="FJ45" s="316"/>
      <c r="FK45" s="316"/>
      <c r="FL45" s="316"/>
      <c r="FM45" s="316"/>
      <c r="FN45" s="316"/>
      <c r="FO45" s="316"/>
      <c r="FP45" s="316"/>
      <c r="FQ45" s="316"/>
      <c r="FR45" s="316"/>
      <c r="FS45" s="316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E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</row>
    <row r="46" customFormat="false" ht="13.5" hidden="false" customHeight="false" outlineLevel="0" collapsed="false">
      <c r="A46" s="154" t="s">
        <v>101</v>
      </c>
      <c r="B46" s="155" t="n">
        <v>2001</v>
      </c>
      <c r="C46" s="155" t="n">
        <f aca="false">B46+1</f>
        <v>2002</v>
      </c>
      <c r="D46" s="155" t="n">
        <f aca="false">C46+1</f>
        <v>2003</v>
      </c>
      <c r="E46" s="155" t="n">
        <f aca="false">D46+1</f>
        <v>2004</v>
      </c>
      <c r="F46" s="155" t="n">
        <f aca="false">E46+1</f>
        <v>2005</v>
      </c>
      <c r="G46" s="155" t="n">
        <f aca="false">F46+1</f>
        <v>2006</v>
      </c>
      <c r="H46" s="155" t="n">
        <f aca="false">G46+1</f>
        <v>2007</v>
      </c>
      <c r="I46" s="155" t="n">
        <f aca="false">H46+1</f>
        <v>2008</v>
      </c>
      <c r="J46" s="155" t="n">
        <f aca="false">I46+1</f>
        <v>2009</v>
      </c>
      <c r="K46" s="155" t="n">
        <f aca="false">J46+1</f>
        <v>2010</v>
      </c>
      <c r="L46" s="155" t="n">
        <f aca="false">K46+1</f>
        <v>2011</v>
      </c>
      <c r="M46" s="155" t="n">
        <f aca="false">L46+1</f>
        <v>2012</v>
      </c>
      <c r="N46" s="155" t="n">
        <f aca="false">M46+1</f>
        <v>2013</v>
      </c>
      <c r="O46" s="155" t="n">
        <f aca="false">N46+1</f>
        <v>2014</v>
      </c>
      <c r="P46" s="155" t="n">
        <f aca="false">O46+1</f>
        <v>2015</v>
      </c>
      <c r="Q46" s="155" t="n">
        <f aca="false">P46+1</f>
        <v>2016</v>
      </c>
      <c r="R46" s="155" t="n">
        <f aca="false">Q46+1</f>
        <v>2017</v>
      </c>
      <c r="S46" s="155" t="n">
        <f aca="false">R46+1</f>
        <v>2018</v>
      </c>
      <c r="T46" s="155" t="n">
        <f aca="false">S46+1</f>
        <v>2019</v>
      </c>
      <c r="U46" s="155" t="n">
        <f aca="false">T46+1</f>
        <v>2020</v>
      </c>
      <c r="W46" s="290" t="s">
        <v>123</v>
      </c>
    </row>
    <row r="47" customFormat="false" ht="12.75" hidden="false" customHeight="false" outlineLevel="0" collapsed="false">
      <c r="A47" s="254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W47" s="266"/>
    </row>
    <row r="48" customFormat="false" ht="12.75" hidden="false" customHeight="false" outlineLevel="0" collapsed="false">
      <c r="A48" s="258" t="s">
        <v>113</v>
      </c>
      <c r="B48" s="172" t="n">
        <f aca="false">B25</f>
        <v>30899.4347829938</v>
      </c>
      <c r="C48" s="172" t="n">
        <f aca="false">C25</f>
        <v>32469.1813111663</v>
      </c>
      <c r="D48" s="172" t="n">
        <f aca="false">D25</f>
        <v>34149.3868647877</v>
      </c>
      <c r="E48" s="172" t="n">
        <f aca="false">E25</f>
        <v>35945.5170468694</v>
      </c>
      <c r="F48" s="172" t="n">
        <f aca="false">F25</f>
        <v>37871.9835590865</v>
      </c>
      <c r="G48" s="172" t="n">
        <f aca="false">G25</f>
        <v>38500.2834620847</v>
      </c>
      <c r="H48" s="172" t="n">
        <f aca="false">H25</f>
        <v>39092.517706428</v>
      </c>
      <c r="I48" s="172" t="n">
        <f aca="false">I25</f>
        <v>39760.5630298614</v>
      </c>
      <c r="J48" s="172" t="n">
        <f aca="false">J25</f>
        <v>40545.0727199837</v>
      </c>
      <c r="K48" s="172" t="n">
        <f aca="false">K25</f>
        <v>41424.0606694801</v>
      </c>
      <c r="L48" s="172" t="n">
        <f aca="false">L25</f>
        <v>41757.7395485013</v>
      </c>
      <c r="M48" s="172" t="n">
        <f aca="false">M25</f>
        <v>42253.2698665267</v>
      </c>
      <c r="N48" s="172" t="n">
        <f aca="false">N25</f>
        <v>42753.5883365404</v>
      </c>
      <c r="O48" s="172" t="n">
        <f aca="false">O25</f>
        <v>43258.7442251007</v>
      </c>
      <c r="P48" s="172" t="n">
        <f aca="false">P25</f>
        <v>43768.7522102855</v>
      </c>
      <c r="Q48" s="172" t="n">
        <f aca="false">Q25</f>
        <v>44393.8093972096</v>
      </c>
      <c r="R48" s="172" t="n">
        <f aca="false">R25</f>
        <v>45026.823232092</v>
      </c>
      <c r="S48" s="172" t="n">
        <f aca="false">S25</f>
        <v>45667.8691918607</v>
      </c>
      <c r="T48" s="172" t="n">
        <f aca="false">T25</f>
        <v>46317.0225498107</v>
      </c>
      <c r="U48" s="172" t="n">
        <f aca="false">U25</f>
        <v>46974.3583321795</v>
      </c>
      <c r="W48" s="170" t="n">
        <f aca="false">SUM(B48:U48)</f>
        <v>812829.978042849</v>
      </c>
    </row>
    <row r="49" customFormat="false" ht="12.75" hidden="false" customHeight="false" outlineLevel="0" collapsed="false">
      <c r="A49" s="258" t="s">
        <v>147</v>
      </c>
      <c r="B49" s="259" t="n">
        <f aca="false">B20</f>
        <v>0</v>
      </c>
      <c r="C49" s="259" t="n">
        <f aca="false">C20</f>
        <v>117.987</v>
      </c>
      <c r="D49" s="259" t="n">
        <f aca="false">D20</f>
        <v>216.843</v>
      </c>
      <c r="E49" s="259" t="n">
        <f aca="false">E20</f>
        <v>295.985</v>
      </c>
      <c r="F49" s="259" t="n">
        <f aca="false">F20</f>
        <v>346.251</v>
      </c>
      <c r="G49" s="259" t="n">
        <f aca="false">G20</f>
        <v>468.657</v>
      </c>
      <c r="H49" s="259" t="n">
        <f aca="false">H20</f>
        <v>641.059</v>
      </c>
      <c r="I49" s="259" t="n">
        <f aca="false">I20</f>
        <v>753.232</v>
      </c>
      <c r="J49" s="259" t="n">
        <f aca="false">J20</f>
        <v>765.3</v>
      </c>
      <c r="K49" s="259" t="n">
        <f aca="false">K20</f>
        <v>699.258</v>
      </c>
      <c r="L49" s="259" t="n">
        <f aca="false">L20</f>
        <v>854.333</v>
      </c>
      <c r="M49" s="259" t="n">
        <f aca="false">M20</f>
        <v>854.3</v>
      </c>
      <c r="N49" s="259" t="n">
        <f aca="false">N20</f>
        <v>854.3</v>
      </c>
      <c r="O49" s="259" t="n">
        <f aca="false">O20</f>
        <v>854.3</v>
      </c>
      <c r="P49" s="259" t="n">
        <f aca="false">P20</f>
        <v>854.3</v>
      </c>
      <c r="Q49" s="259" t="n">
        <f aca="false">Q20</f>
        <v>854.3</v>
      </c>
      <c r="R49" s="259" t="n">
        <f aca="false">R20</f>
        <v>854.3</v>
      </c>
      <c r="S49" s="259" t="n">
        <f aca="false">S20</f>
        <v>854.3</v>
      </c>
      <c r="T49" s="259" t="n">
        <f aca="false">T20</f>
        <v>854.3</v>
      </c>
      <c r="U49" s="259" t="n">
        <f aca="false">U20</f>
        <v>854.3</v>
      </c>
      <c r="W49" s="170" t="n">
        <f aca="false">SUM(B49:U49)</f>
        <v>12847.605</v>
      </c>
    </row>
    <row r="50" customFormat="false" ht="12.75" hidden="false" customHeight="false" outlineLevel="0" collapsed="false">
      <c r="A50" s="258" t="s">
        <v>148</v>
      </c>
      <c r="B50" s="327" t="n">
        <v>-203.273</v>
      </c>
      <c r="C50" s="259" t="n">
        <f aca="false">-B49</f>
        <v>-0</v>
      </c>
      <c r="D50" s="259" t="n">
        <f aca="false">-C49</f>
        <v>-117.987</v>
      </c>
      <c r="E50" s="259" t="n">
        <f aca="false">-D49</f>
        <v>-216.843</v>
      </c>
      <c r="F50" s="259" t="n">
        <f aca="false">-E49</f>
        <v>-295.985</v>
      </c>
      <c r="G50" s="259" t="n">
        <f aca="false">-F49</f>
        <v>-346.251</v>
      </c>
      <c r="H50" s="259" t="n">
        <f aca="false">-G49</f>
        <v>-468.657</v>
      </c>
      <c r="I50" s="259" t="n">
        <f aca="false">-H49</f>
        <v>-641.059</v>
      </c>
      <c r="J50" s="259" t="n">
        <f aca="false">-I49</f>
        <v>-753.232</v>
      </c>
      <c r="K50" s="259" t="n">
        <f aca="false">-J49</f>
        <v>-765.3</v>
      </c>
      <c r="L50" s="259" t="n">
        <f aca="false">-K49</f>
        <v>-699.258</v>
      </c>
      <c r="M50" s="259" t="n">
        <f aca="false">-L49</f>
        <v>-854.333</v>
      </c>
      <c r="N50" s="259" t="n">
        <f aca="false">-M49</f>
        <v>-854.3</v>
      </c>
      <c r="O50" s="259" t="n">
        <f aca="false">-N49</f>
        <v>-854.3</v>
      </c>
      <c r="P50" s="259" t="n">
        <f aca="false">-O49</f>
        <v>-854.3</v>
      </c>
      <c r="Q50" s="259" t="n">
        <f aca="false">-P49</f>
        <v>-854.3</v>
      </c>
      <c r="R50" s="259" t="n">
        <f aca="false">-Q49</f>
        <v>-854.3</v>
      </c>
      <c r="S50" s="259" t="n">
        <f aca="false">-R49</f>
        <v>-854.3</v>
      </c>
      <c r="T50" s="259" t="n">
        <f aca="false">-S49</f>
        <v>-854.3</v>
      </c>
      <c r="U50" s="259" t="n">
        <f aca="false">-T49</f>
        <v>-854.3</v>
      </c>
      <c r="W50" s="170" t="n">
        <f aca="false">SUM(B50:U50)</f>
        <v>-12196.578</v>
      </c>
    </row>
    <row r="51" customFormat="false" ht="12.75" hidden="false" customHeight="false" outlineLevel="0" collapsed="false">
      <c r="A51" s="258" t="s">
        <v>196</v>
      </c>
      <c r="B51" s="328" t="n">
        <f aca="false">-Debt!B77*Allocation!$E$7</f>
        <v>-13699.5790040211</v>
      </c>
      <c r="C51" s="328" t="n">
        <f aca="false">-Debt!C77*Allocation!$E$7</f>
        <v>-13774.0307597334</v>
      </c>
      <c r="D51" s="328" t="n">
        <f aca="false">-Debt!D77*Allocation!$E$7</f>
        <v>-13838.6725866539</v>
      </c>
      <c r="E51" s="328" t="n">
        <f aca="false">-Debt!E77*Allocation!$E$7</f>
        <v>-13982.6016548926</v>
      </c>
      <c r="F51" s="328" t="n">
        <f aca="false">-Debt!F77*Allocation!$E$7</f>
        <v>-14086.4711009448</v>
      </c>
      <c r="G51" s="328" t="n">
        <f aca="false">-Debt!G77*Allocation!$E$7</f>
        <v>-13769.3856974586</v>
      </c>
      <c r="H51" s="328" t="n">
        <f aca="false">-Debt!H77*Allocation!$E$7</f>
        <v>-13489.6417129679</v>
      </c>
      <c r="I51" s="328" t="n">
        <f aca="false">-Debt!I77*Allocation!$E$7</f>
        <v>-13254.406626478</v>
      </c>
      <c r="J51" s="328" t="n">
        <f aca="false">-Debt!J77*Allocation!$E$7</f>
        <v>-13009.4937553253</v>
      </c>
      <c r="K51" s="328" t="n">
        <f aca="false">-Debt!K77*Allocation!$E$7</f>
        <v>-12805.2334302319</v>
      </c>
      <c r="L51" s="328" t="n">
        <f aca="false">-Debt!L77*Allocation!$E$7</f>
        <v>-12600.7656031489</v>
      </c>
      <c r="M51" s="328" t="n">
        <f aca="false">-Debt!M77*Allocation!$E$7</f>
        <v>-12433.2265515546</v>
      </c>
      <c r="N51" s="328" t="n">
        <f aca="false">-Debt!N77*Allocation!$E$7</f>
        <v>-12226.6301707255</v>
      </c>
      <c r="O51" s="328" t="n">
        <f aca="false">-Debt!O77*Allocation!$E$7</f>
        <v>-12064.9547735253</v>
      </c>
      <c r="P51" s="328" t="n">
        <f aca="false">-Debt!P77*Allocation!$E$7</f>
        <v>-11892.202709928</v>
      </c>
      <c r="Q51" s="328" t="n">
        <f aca="false">-Debt!Q77*Allocation!$E$7</f>
        <v>-11786.029283472</v>
      </c>
      <c r="R51" s="328" t="n">
        <f aca="false">-Debt!R77*Allocation!$E$7</f>
        <v>-11624.721650834</v>
      </c>
      <c r="S51" s="328" t="n">
        <f aca="false">-Debt!S77*Allocation!$E$7</f>
        <v>-11484.7987713837</v>
      </c>
      <c r="T51" s="328" t="n">
        <f aca="false">-Debt!T77*Allocation!$E$7</f>
        <v>-11357.2691211656</v>
      </c>
      <c r="U51" s="328" t="n">
        <f aca="false">-Debt!U77*Allocation!$E$7</f>
        <v>-11234.1575564974</v>
      </c>
      <c r="W51" s="170" t="n">
        <f aca="false">SUM(B51:U51)</f>
        <v>-254414.272520943</v>
      </c>
    </row>
    <row r="52" customFormat="false" ht="12.75" hidden="false" customHeight="false" outlineLevel="0" collapsed="false">
      <c r="A52" s="258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W52" s="251"/>
    </row>
    <row r="53" customFormat="false" ht="12.75" hidden="false" customHeight="false" outlineLevel="0" collapsed="false">
      <c r="A53" s="254" t="s">
        <v>197</v>
      </c>
      <c r="B53" s="160" t="n">
        <f aca="false">SUM(B48:B51)</f>
        <v>16996.5827789727</v>
      </c>
      <c r="C53" s="160" t="n">
        <f aca="false">SUM(C48:C51)</f>
        <v>18813.1375514329</v>
      </c>
      <c r="D53" s="160" t="n">
        <f aca="false">SUM(D48:D51)</f>
        <v>20409.5702781338</v>
      </c>
      <c r="E53" s="160" t="n">
        <f aca="false">SUM(E48:E51)</f>
        <v>22042.0573919768</v>
      </c>
      <c r="F53" s="160" t="n">
        <f aca="false">SUM(F48:F51)</f>
        <v>23835.7784581417</v>
      </c>
      <c r="G53" s="160" t="n">
        <f aca="false">SUM(G48:G51)</f>
        <v>24853.3037646261</v>
      </c>
      <c r="H53" s="160" t="n">
        <f aca="false">SUM(H48:H51)</f>
        <v>25775.2779934601</v>
      </c>
      <c r="I53" s="160" t="n">
        <f aca="false">SUM(I48:I51)</f>
        <v>26618.3294033834</v>
      </c>
      <c r="J53" s="160" t="n">
        <f aca="false">SUM(J48:J51)</f>
        <v>27547.6469646584</v>
      </c>
      <c r="K53" s="160" t="n">
        <f aca="false">SUM(K48:K51)</f>
        <v>28552.7852392482</v>
      </c>
      <c r="L53" s="160" t="n">
        <f aca="false">SUM(L48:L51)</f>
        <v>29312.0489453523</v>
      </c>
      <c r="M53" s="160" t="n">
        <f aca="false">SUM(M48:M51)</f>
        <v>29820.010314972</v>
      </c>
      <c r="N53" s="160" t="n">
        <f aca="false">SUM(N48:N51)</f>
        <v>30526.9581658149</v>
      </c>
      <c r="O53" s="160" t="n">
        <f aca="false">SUM(O48:O51)</f>
        <v>31193.7894515754</v>
      </c>
      <c r="P53" s="160" t="n">
        <f aca="false">SUM(P48:P51)</f>
        <v>31876.5495003575</v>
      </c>
      <c r="Q53" s="160" t="n">
        <f aca="false">SUM(Q48:Q51)</f>
        <v>32607.7801137376</v>
      </c>
      <c r="R53" s="160" t="n">
        <f aca="false">SUM(R48:R51)</f>
        <v>33402.101581258</v>
      </c>
      <c r="S53" s="160" t="n">
        <f aca="false">SUM(S48:S51)</f>
        <v>34183.070420477</v>
      </c>
      <c r="T53" s="160" t="n">
        <f aca="false">SUM(T48:T51)</f>
        <v>34959.7534286451</v>
      </c>
      <c r="U53" s="160" t="n">
        <f aca="false">SUM(U48:U51)</f>
        <v>35740.200775682</v>
      </c>
      <c r="V53" s="293"/>
      <c r="W53" s="170" t="n">
        <f aca="false">SUM(B53:U53)</f>
        <v>559066.732521906</v>
      </c>
    </row>
    <row r="54" customFormat="false" ht="12.75" hidden="false" customHeight="false" outlineLevel="0" collapsed="false">
      <c r="A54" s="254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W54" s="251"/>
    </row>
    <row r="55" customFormat="false" ht="15" hidden="false" customHeight="false" outlineLevel="0" collapsed="false">
      <c r="A55" s="258" t="s">
        <v>198</v>
      </c>
      <c r="B55" s="329" t="n">
        <f aca="false">-B100</f>
        <v>-825.789286993424</v>
      </c>
      <c r="C55" s="329" t="n">
        <f aca="false">-C100</f>
        <v>-534.013032389125</v>
      </c>
      <c r="D55" s="329" t="n">
        <f aca="false">-D100</f>
        <v>-779.175546458054</v>
      </c>
      <c r="E55" s="329" t="n">
        <f aca="false">-E100</f>
        <v>-1024.62281977852</v>
      </c>
      <c r="F55" s="329" t="n">
        <f aca="false">-F100</f>
        <v>-1281.22864433932</v>
      </c>
      <c r="G55" s="329" t="n">
        <f aca="false">-G100</f>
        <v>-1429.55752707111</v>
      </c>
      <c r="H55" s="329" t="n">
        <f aca="false">-H100</f>
        <v>-1540.33500174304</v>
      </c>
      <c r="I55" s="329" t="n">
        <f aca="false">-I100</f>
        <v>-1623.63748234837</v>
      </c>
      <c r="J55" s="329" t="n">
        <f aca="false">-J100</f>
        <v>-1723.6636640587</v>
      </c>
      <c r="K55" s="329" t="n">
        <f aca="false">-K100</f>
        <v>-1829.24811323347</v>
      </c>
      <c r="L55" s="329" t="n">
        <f aca="false">-L100</f>
        <v>-1896.23819450688</v>
      </c>
      <c r="M55" s="329" t="n">
        <f aca="false">-M100</f>
        <v>-1975.77586788693</v>
      </c>
      <c r="N55" s="329" t="n">
        <f aca="false">-N100</f>
        <v>-2064.07091026446</v>
      </c>
      <c r="O55" s="329" t="n">
        <f aca="false">-O100</f>
        <v>-2152.90259952394</v>
      </c>
      <c r="P55" s="329" t="n">
        <f aca="false">-P100</f>
        <v>-2248.28623704297</v>
      </c>
      <c r="Q55" s="329" t="n">
        <f aca="false">-Q100</f>
        <v>-2638.70159205532</v>
      </c>
      <c r="R55" s="329" t="n">
        <f aca="false">-R100</f>
        <v>-3037.47493373387</v>
      </c>
      <c r="S55" s="329" t="n">
        <f aca="false">-S100</f>
        <v>-3158.77543437321</v>
      </c>
      <c r="T55" s="329" t="n">
        <f aca="false">-T100</f>
        <v>-3287.60957580078</v>
      </c>
      <c r="U55" s="329" t="n">
        <f aca="false">-U100</f>
        <v>-3424.61332144027</v>
      </c>
      <c r="W55" s="170" t="n">
        <f aca="false">SUM(B55:U55)</f>
        <v>-38475.7197850417</v>
      </c>
      <c r="X55" s="1"/>
      <c r="Y55" s="1"/>
      <c r="Z55" s="1"/>
      <c r="AA55" s="1"/>
      <c r="AB55" s="12"/>
      <c r="AC55" s="12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customFormat="false" ht="12.75" hidden="false" customHeight="false" outlineLevel="0" collapsed="false">
      <c r="A56" s="258" t="s">
        <v>199</v>
      </c>
      <c r="B56" s="331" t="n">
        <f aca="false">-Allocation!$E$7*Tax!B24</f>
        <v>-2390.79441635518</v>
      </c>
      <c r="C56" s="331" t="n">
        <f aca="false">-Allocation!$E$7*Tax!C24</f>
        <v>-0</v>
      </c>
      <c r="D56" s="331" t="n">
        <f aca="false">-Allocation!$E$7*Tax!D24</f>
        <v>-192.484390705171</v>
      </c>
      <c r="E56" s="331" t="n">
        <f aca="false">-Allocation!$E$7*Tax!E24</f>
        <v>-2156.42255449112</v>
      </c>
      <c r="F56" s="331" t="n">
        <f aca="false">-Allocation!$E$7*Tax!F24</f>
        <v>-3440.39392215278</v>
      </c>
      <c r="G56" s="331" t="n">
        <f aca="false">-Allocation!$E$7*Tax!G24</f>
        <v>-4311.74052805395</v>
      </c>
      <c r="H56" s="331" t="n">
        <f aca="false">-Allocation!$E$7*Tax!H24</f>
        <v>-4905.83962530684</v>
      </c>
      <c r="I56" s="331" t="n">
        <f aca="false">-Allocation!$E$7*Tax!I24</f>
        <v>-5240.3149219649</v>
      </c>
      <c r="J56" s="331" t="n">
        <f aca="false">-Allocation!$E$7*Tax!J24</f>
        <v>-5627.22054817567</v>
      </c>
      <c r="K56" s="331" t="n">
        <f aca="false">-Allocation!$E$7*Tax!K24</f>
        <v>-6010.15380077645</v>
      </c>
      <c r="L56" s="331" t="n">
        <f aca="false">-Allocation!$E$7*Tax!L24</f>
        <v>-6392.94063491204</v>
      </c>
      <c r="M56" s="331" t="n">
        <f aca="false">-Allocation!$E$7*Tax!M24</f>
        <v>-6785.98737090946</v>
      </c>
      <c r="N56" s="331" t="n">
        <f aca="false">-Allocation!$E$7*Tax!N24</f>
        <v>-7190.04206577604</v>
      </c>
      <c r="O56" s="331" t="n">
        <f aca="false">-Allocation!$E$7*Tax!O24</f>
        <v>-7625.86363606036</v>
      </c>
      <c r="P56" s="331" t="n">
        <f aca="false">-Allocation!$E$7*Tax!P24</f>
        <v>-8054.9583757258</v>
      </c>
      <c r="Q56" s="331" t="n">
        <f aca="false">-Allocation!$E$7*Tax!Q24</f>
        <v>-10865.133741791</v>
      </c>
      <c r="R56" s="331" t="n">
        <f aca="false">-Allocation!$E$7*Tax!R24</f>
        <v>-13651.6460222494</v>
      </c>
      <c r="S56" s="331" t="n">
        <f aca="false">-Allocation!$E$7*Tax!S24</f>
        <v>-14154.2643149496</v>
      </c>
      <c r="T56" s="331" t="n">
        <f aca="false">-Allocation!$E$7*Tax!T24</f>
        <v>-14687.9532605167</v>
      </c>
      <c r="U56" s="331" t="n">
        <f aca="false">-Allocation!$E$7*Tax!U24</f>
        <v>-15255.3341749397</v>
      </c>
      <c r="W56" s="170" t="n">
        <f aca="false">SUM(B56:U56)</f>
        <v>-138939.488305812</v>
      </c>
      <c r="X56" s="1"/>
      <c r="Y56" s="1"/>
      <c r="Z56" s="1"/>
      <c r="AA56" s="1"/>
      <c r="AB56" s="12"/>
      <c r="AC56" s="12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customFormat="false" ht="15" hidden="false" customHeight="false" outlineLevel="0" collapsed="false">
      <c r="A57" s="258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W57" s="251"/>
    </row>
    <row r="58" customFormat="false" ht="15.75" hidden="false" customHeight="false" outlineLevel="0" collapsed="false">
      <c r="A58" s="332" t="s">
        <v>200</v>
      </c>
      <c r="B58" s="333" t="n">
        <f aca="false">B53+B56+B55</f>
        <v>13779.9990756241</v>
      </c>
      <c r="C58" s="333" t="n">
        <f aca="false">C53+C56+C55</f>
        <v>18279.1245190438</v>
      </c>
      <c r="D58" s="333" t="n">
        <f aca="false">D53+D56+D55</f>
        <v>19437.9103409706</v>
      </c>
      <c r="E58" s="333" t="n">
        <f aca="false">E53+E56+E55</f>
        <v>18861.0120177071</v>
      </c>
      <c r="F58" s="333" t="n">
        <f aca="false">F53+F56+F55</f>
        <v>19114.1558916496</v>
      </c>
      <c r="G58" s="333" t="n">
        <f aca="false">G53+G56+G55</f>
        <v>19112.0057095011</v>
      </c>
      <c r="H58" s="333" t="n">
        <f aca="false">H53+H56+H55</f>
        <v>19329.1033664102</v>
      </c>
      <c r="I58" s="333" t="n">
        <f aca="false">I53+I56+I55</f>
        <v>19754.3769990701</v>
      </c>
      <c r="J58" s="333" t="n">
        <f aca="false">J53+J56+J55</f>
        <v>20196.762752424</v>
      </c>
      <c r="K58" s="333" t="n">
        <f aca="false">K53+K56+K55</f>
        <v>20713.3833252382</v>
      </c>
      <c r="L58" s="333" t="n">
        <f aca="false">L53+L56+L55</f>
        <v>21022.8701159334</v>
      </c>
      <c r="M58" s="333" t="n">
        <f aca="false">M53+M56+M55</f>
        <v>21058.2470761756</v>
      </c>
      <c r="N58" s="333" t="n">
        <f aca="false">N53+N56+N55</f>
        <v>21272.8451897744</v>
      </c>
      <c r="O58" s="333" t="n">
        <f aca="false">O53+O56+O55</f>
        <v>21415.0232159911</v>
      </c>
      <c r="P58" s="333" t="n">
        <f aca="false">P53+P56+P55</f>
        <v>21573.3048875888</v>
      </c>
      <c r="Q58" s="333" t="n">
        <f aca="false">Q53+Q56+Q55</f>
        <v>19103.9447798913</v>
      </c>
      <c r="R58" s="333" t="n">
        <f aca="false">R53+R56+R55</f>
        <v>16712.9806252747</v>
      </c>
      <c r="S58" s="333" t="n">
        <f aca="false">S53+S56+S55</f>
        <v>16870.0306711542</v>
      </c>
      <c r="T58" s="333" t="n">
        <f aca="false">T53+T56+T55</f>
        <v>16984.1905923276</v>
      </c>
      <c r="U58" s="333" t="n">
        <f aca="false">U53+U56+U55</f>
        <v>17060.2532793021</v>
      </c>
      <c r="V58" s="324"/>
      <c r="W58" s="170" t="n">
        <f aca="false">SUM(B58:U58)</f>
        <v>381651.524431052</v>
      </c>
    </row>
    <row r="59" customFormat="false" ht="12.75" hidden="false" customHeight="false" outlineLevel="0" collapsed="false">
      <c r="A59" s="93"/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  <c r="CO59" s="293"/>
      <c r="CP59" s="293"/>
      <c r="CQ59" s="293"/>
      <c r="CR59" s="293"/>
      <c r="CS59" s="293"/>
      <c r="CT59" s="293"/>
      <c r="CU59" s="293"/>
      <c r="CV59" s="293"/>
      <c r="CW59" s="293"/>
      <c r="CX59" s="293"/>
      <c r="CY59" s="293"/>
      <c r="CZ59" s="293"/>
      <c r="DA59" s="293"/>
      <c r="DB59" s="293"/>
      <c r="DC59" s="293"/>
      <c r="DD59" s="293"/>
      <c r="DE59" s="293"/>
      <c r="DF59" s="293"/>
      <c r="DG59" s="293"/>
      <c r="DH59" s="293"/>
      <c r="DI59" s="293"/>
      <c r="DJ59" s="293"/>
      <c r="DK59" s="293"/>
      <c r="DL59" s="293"/>
      <c r="DM59" s="293"/>
      <c r="DN59" s="293"/>
      <c r="DO59" s="293"/>
      <c r="DP59" s="293"/>
      <c r="DQ59" s="293"/>
      <c r="DR59" s="293"/>
      <c r="DS59" s="293"/>
      <c r="DT59" s="293"/>
      <c r="DU59" s="293"/>
      <c r="DV59" s="293"/>
      <c r="DW59" s="293"/>
      <c r="DX59" s="293"/>
      <c r="DY59" s="293"/>
      <c r="DZ59" s="293"/>
      <c r="EA59" s="293"/>
      <c r="EB59" s="293"/>
      <c r="EC59" s="293"/>
      <c r="ED59" s="293"/>
      <c r="EE59" s="293"/>
      <c r="EF59" s="293"/>
      <c r="EG59" s="293"/>
      <c r="EH59" s="293"/>
      <c r="EI59" s="293"/>
      <c r="EJ59" s="293"/>
      <c r="EK59" s="293"/>
      <c r="EL59" s="293"/>
      <c r="EM59" s="293"/>
      <c r="EN59" s="293"/>
      <c r="EO59" s="293"/>
      <c r="EP59" s="293"/>
      <c r="EQ59" s="293"/>
      <c r="ER59" s="293"/>
      <c r="ES59" s="293"/>
      <c r="ET59" s="293"/>
      <c r="EU59" s="293"/>
      <c r="EV59" s="293"/>
      <c r="EW59" s="293"/>
      <c r="EX59" s="293"/>
      <c r="EY59" s="293"/>
      <c r="EZ59" s="293"/>
      <c r="FA59" s="293"/>
      <c r="FB59" s="293"/>
      <c r="FC59" s="293"/>
      <c r="FD59" s="293"/>
      <c r="FE59" s="293"/>
      <c r="FF59" s="293"/>
      <c r="FG59" s="293"/>
      <c r="FH59" s="293"/>
      <c r="FI59" s="293"/>
      <c r="FJ59" s="293"/>
      <c r="FK59" s="293"/>
      <c r="FL59" s="293"/>
      <c r="FM59" s="293"/>
      <c r="FN59" s="293"/>
      <c r="FO59" s="293"/>
      <c r="FP59" s="293"/>
      <c r="FQ59" s="293"/>
      <c r="FR59" s="293"/>
      <c r="FS59" s="293"/>
      <c r="FT59" s="293"/>
      <c r="FU59" s="293"/>
      <c r="FV59" s="293"/>
      <c r="FW59" s="293"/>
      <c r="FX59" s="293"/>
      <c r="FY59" s="293"/>
      <c r="FZ59" s="293"/>
      <c r="GA59" s="293"/>
      <c r="GB59" s="293"/>
      <c r="GC59" s="293"/>
      <c r="GD59" s="293"/>
      <c r="GE59" s="293"/>
      <c r="GF59" s="293"/>
      <c r="GG59" s="293"/>
      <c r="GH59" s="293"/>
      <c r="GI59" s="293"/>
      <c r="GJ59" s="293"/>
      <c r="GK59" s="293"/>
      <c r="GL59" s="293"/>
      <c r="GM59" s="293"/>
      <c r="GN59" s="293"/>
      <c r="GO59" s="293"/>
      <c r="GP59" s="293"/>
      <c r="GQ59" s="293"/>
      <c r="GR59" s="293"/>
      <c r="GS59" s="293"/>
      <c r="GT59" s="293"/>
      <c r="GU59" s="293"/>
      <c r="GV59" s="293"/>
      <c r="GW59" s="293"/>
      <c r="GX59" s="293"/>
      <c r="GY59" s="293"/>
      <c r="GZ59" s="293"/>
      <c r="HA59" s="293"/>
      <c r="HB59" s="293"/>
      <c r="HC59" s="293"/>
      <c r="HD59" s="293"/>
      <c r="HE59" s="293"/>
      <c r="HF59" s="293"/>
      <c r="HG59" s="293"/>
      <c r="HH59" s="293"/>
      <c r="HI59" s="293"/>
      <c r="HJ59" s="293"/>
      <c r="HK59" s="293"/>
      <c r="HL59" s="293"/>
      <c r="HM59" s="293"/>
      <c r="HN59" s="293"/>
      <c r="HO59" s="293"/>
      <c r="HP59" s="293"/>
      <c r="HQ59" s="293"/>
      <c r="HR59" s="293"/>
      <c r="HS59" s="293"/>
      <c r="HT59" s="293"/>
      <c r="HU59" s="293"/>
      <c r="HV59" s="293"/>
      <c r="HW59" s="293"/>
      <c r="HX59" s="293"/>
      <c r="HY59" s="293"/>
      <c r="HZ59" s="293"/>
      <c r="IA59" s="293"/>
      <c r="IB59" s="293"/>
      <c r="IC59" s="293"/>
      <c r="ID59" s="293"/>
      <c r="IE59" s="293"/>
      <c r="IF59" s="293"/>
      <c r="IG59" s="293"/>
      <c r="IH59" s="293"/>
      <c r="II59" s="293"/>
      <c r="IJ59" s="293"/>
      <c r="IK59" s="293"/>
      <c r="IL59" s="293"/>
      <c r="IM59" s="293"/>
      <c r="IN59" s="293"/>
      <c r="IO59" s="293"/>
      <c r="IP59" s="293"/>
      <c r="IQ59" s="293"/>
      <c r="IR59" s="293"/>
      <c r="IS59" s="293"/>
      <c r="IT59" s="293"/>
      <c r="IU59" s="293"/>
      <c r="IV59" s="293"/>
      <c r="IW59" s="293"/>
    </row>
    <row r="60" customFormat="false" ht="15" hidden="false" customHeight="false" outlineLevel="0" collapsed="false">
      <c r="A60" s="349"/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172"/>
      <c r="M60" s="172"/>
      <c r="N60" s="172"/>
      <c r="O60" s="172"/>
      <c r="P60" s="172"/>
      <c r="Q60" s="172"/>
      <c r="R60" s="172"/>
      <c r="S60" s="172"/>
      <c r="T60" s="172"/>
      <c r="U60" s="172"/>
    </row>
    <row r="61" customFormat="false" ht="12.75" hidden="false" customHeight="false" outlineLevel="0" collapsed="false">
      <c r="A61" s="254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</row>
    <row r="62" customFormat="false" ht="18" hidden="false" customHeight="false" outlineLevel="0" collapsed="false">
      <c r="A62" s="326" t="s">
        <v>220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</row>
    <row r="63" customFormat="false" ht="12.75" hidden="false" customHeight="false" outlineLevel="0" collapsed="false">
      <c r="A63" s="293"/>
      <c r="B63" s="294"/>
      <c r="C63" s="294"/>
      <c r="D63" s="294"/>
      <c r="E63" s="294"/>
      <c r="F63" s="294"/>
      <c r="G63" s="295"/>
      <c r="H63" s="294"/>
      <c r="I63" s="294"/>
      <c r="J63" s="294"/>
      <c r="K63" s="294"/>
      <c r="L63" s="294"/>
      <c r="M63" s="295"/>
      <c r="N63" s="294"/>
      <c r="O63" s="294"/>
      <c r="P63" s="294"/>
      <c r="Q63" s="294"/>
      <c r="R63" s="294"/>
      <c r="S63" s="295"/>
      <c r="T63" s="294"/>
      <c r="U63" s="294"/>
    </row>
    <row r="64" customFormat="false" ht="15.75" hidden="false" customHeight="false" outlineLevel="0" collapsed="false">
      <c r="A64" s="248"/>
      <c r="B64" s="297" t="n">
        <v>3</v>
      </c>
      <c r="C64" s="297" t="n">
        <v>4</v>
      </c>
      <c r="D64" s="297" t="n">
        <v>5</v>
      </c>
      <c r="E64" s="298" t="n">
        <v>6</v>
      </c>
      <c r="F64" s="297" t="n">
        <v>7</v>
      </c>
      <c r="G64" s="297" t="n">
        <v>8</v>
      </c>
      <c r="H64" s="297" t="n">
        <v>9</v>
      </c>
      <c r="I64" s="297" t="n">
        <v>10</v>
      </c>
      <c r="J64" s="297" t="n">
        <v>11</v>
      </c>
      <c r="K64" s="298" t="n">
        <v>12</v>
      </c>
      <c r="L64" s="297" t="n">
        <v>13</v>
      </c>
      <c r="M64" s="297" t="n">
        <v>14</v>
      </c>
      <c r="N64" s="297" t="n">
        <v>15</v>
      </c>
      <c r="O64" s="297" t="n">
        <v>16</v>
      </c>
      <c r="P64" s="297" t="n">
        <v>17</v>
      </c>
      <c r="Q64" s="298" t="n">
        <v>18</v>
      </c>
      <c r="R64" s="297" t="n">
        <v>19</v>
      </c>
      <c r="S64" s="297" t="n">
        <v>20</v>
      </c>
      <c r="T64" s="297" t="n">
        <v>21</v>
      </c>
      <c r="U64" s="297" t="n">
        <v>22</v>
      </c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  <c r="BF64" s="324"/>
      <c r="BG64" s="324"/>
      <c r="BH64" s="324"/>
      <c r="BI64" s="324"/>
      <c r="BJ64" s="324"/>
      <c r="BK64" s="324"/>
      <c r="BL64" s="324"/>
      <c r="BM64" s="324"/>
      <c r="BN64" s="324"/>
      <c r="BO64" s="324"/>
      <c r="BP64" s="324"/>
      <c r="BQ64" s="324"/>
      <c r="BR64" s="324"/>
      <c r="BS64" s="324"/>
      <c r="BT64" s="324"/>
      <c r="BU64" s="324"/>
      <c r="BV64" s="324"/>
      <c r="BW64" s="324"/>
      <c r="BX64" s="324"/>
      <c r="BY64" s="324"/>
      <c r="BZ64" s="324"/>
      <c r="CA64" s="324"/>
      <c r="CB64" s="324"/>
      <c r="CC64" s="324"/>
      <c r="CD64" s="324"/>
      <c r="CE64" s="324"/>
      <c r="CF64" s="324"/>
      <c r="CG64" s="324"/>
      <c r="CH64" s="324"/>
      <c r="CI64" s="324"/>
      <c r="CJ64" s="324"/>
      <c r="CK64" s="324"/>
      <c r="CL64" s="324"/>
      <c r="CM64" s="324"/>
      <c r="CN64" s="324"/>
      <c r="CO64" s="324"/>
      <c r="CP64" s="324"/>
      <c r="CQ64" s="324"/>
      <c r="CR64" s="324"/>
      <c r="CS64" s="324"/>
      <c r="CT64" s="324"/>
      <c r="CU64" s="324"/>
      <c r="CV64" s="324"/>
      <c r="CW64" s="324"/>
      <c r="CX64" s="324"/>
      <c r="CY64" s="324"/>
      <c r="CZ64" s="324"/>
      <c r="DA64" s="324"/>
      <c r="DB64" s="324"/>
      <c r="DC64" s="324"/>
      <c r="DD64" s="324"/>
      <c r="DE64" s="324"/>
      <c r="DF64" s="324"/>
      <c r="DG64" s="324"/>
      <c r="DH64" s="324"/>
      <c r="DI64" s="324"/>
      <c r="DJ64" s="324"/>
      <c r="DK64" s="324"/>
      <c r="DL64" s="324"/>
      <c r="DM64" s="324"/>
      <c r="DN64" s="324"/>
      <c r="DO64" s="324"/>
      <c r="DP64" s="324"/>
      <c r="DQ64" s="324"/>
      <c r="DR64" s="324"/>
      <c r="DS64" s="324"/>
      <c r="DT64" s="324"/>
      <c r="DU64" s="324"/>
      <c r="DV64" s="324"/>
      <c r="DW64" s="324"/>
      <c r="DX64" s="324"/>
      <c r="DY64" s="324"/>
      <c r="DZ64" s="324"/>
      <c r="EA64" s="324"/>
      <c r="EB64" s="324"/>
      <c r="EC64" s="324"/>
      <c r="ED64" s="324"/>
      <c r="EE64" s="324"/>
      <c r="EF64" s="324"/>
      <c r="EG64" s="324"/>
      <c r="EH64" s="324"/>
      <c r="EI64" s="324"/>
      <c r="EJ64" s="324"/>
      <c r="EK64" s="324"/>
      <c r="EL64" s="324"/>
      <c r="EM64" s="324"/>
      <c r="EN64" s="324"/>
      <c r="EO64" s="324"/>
      <c r="EP64" s="324"/>
      <c r="EQ64" s="324"/>
      <c r="ER64" s="324"/>
      <c r="ES64" s="324"/>
      <c r="ET64" s="324"/>
      <c r="EU64" s="324"/>
      <c r="EV64" s="324"/>
      <c r="EW64" s="324"/>
      <c r="EX64" s="324"/>
      <c r="EY64" s="324"/>
      <c r="EZ64" s="324"/>
      <c r="FA64" s="324"/>
      <c r="FB64" s="324"/>
      <c r="FC64" s="324"/>
      <c r="FD64" s="324"/>
      <c r="FE64" s="324"/>
      <c r="FF64" s="324"/>
      <c r="FG64" s="324"/>
      <c r="FH64" s="324"/>
      <c r="FI64" s="324"/>
      <c r="FJ64" s="324"/>
      <c r="FK64" s="324"/>
      <c r="FL64" s="324"/>
      <c r="FM64" s="324"/>
      <c r="FN64" s="324"/>
      <c r="FO64" s="324"/>
      <c r="FP64" s="324"/>
      <c r="FQ64" s="324"/>
      <c r="FR64" s="324"/>
      <c r="FS64" s="324"/>
      <c r="FT64" s="324"/>
      <c r="FU64" s="324"/>
      <c r="FV64" s="324"/>
      <c r="FW64" s="324"/>
      <c r="FX64" s="324"/>
      <c r="FY64" s="324"/>
      <c r="FZ64" s="324"/>
      <c r="GA64" s="324"/>
      <c r="GB64" s="324"/>
      <c r="GC64" s="324"/>
      <c r="GD64" s="324"/>
      <c r="GE64" s="324"/>
      <c r="GF64" s="324"/>
      <c r="GG64" s="324"/>
      <c r="GH64" s="324"/>
      <c r="GI64" s="324"/>
      <c r="GJ64" s="324"/>
      <c r="GK64" s="324"/>
      <c r="GL64" s="324"/>
      <c r="GM64" s="324"/>
      <c r="GN64" s="324"/>
      <c r="GO64" s="324"/>
      <c r="GP64" s="324"/>
      <c r="GQ64" s="324"/>
      <c r="GR64" s="324"/>
      <c r="GS64" s="324"/>
      <c r="GT64" s="324"/>
      <c r="GU64" s="324"/>
      <c r="GV64" s="324"/>
      <c r="GW64" s="324"/>
      <c r="GX64" s="324"/>
      <c r="GY64" s="324"/>
      <c r="GZ64" s="324"/>
      <c r="HA64" s="324"/>
      <c r="HB64" s="324"/>
      <c r="HC64" s="324"/>
      <c r="HD64" s="324"/>
      <c r="HE64" s="324"/>
      <c r="HF64" s="324"/>
      <c r="HG64" s="324"/>
      <c r="HH64" s="324"/>
      <c r="HI64" s="324"/>
      <c r="HJ64" s="324"/>
      <c r="HK64" s="324"/>
      <c r="HL64" s="324"/>
      <c r="HM64" s="324"/>
      <c r="HN64" s="324"/>
      <c r="HO64" s="324"/>
      <c r="HP64" s="324"/>
      <c r="HQ64" s="324"/>
      <c r="HR64" s="324"/>
      <c r="HS64" s="324"/>
      <c r="HT64" s="324"/>
      <c r="HU64" s="324"/>
      <c r="HV64" s="324"/>
      <c r="HW64" s="324"/>
      <c r="HX64" s="324"/>
      <c r="HY64" s="324"/>
      <c r="HZ64" s="324"/>
      <c r="IA64" s="324"/>
      <c r="IB64" s="324"/>
      <c r="IC64" s="324"/>
      <c r="ID64" s="324"/>
      <c r="IE64" s="324"/>
      <c r="IF64" s="324"/>
      <c r="IG64" s="324"/>
      <c r="IH64" s="324"/>
      <c r="II64" s="324"/>
      <c r="IJ64" s="324"/>
      <c r="IK64" s="324"/>
      <c r="IL64" s="324"/>
      <c r="IM64" s="324"/>
      <c r="IN64" s="324"/>
      <c r="IO64" s="324"/>
      <c r="IP64" s="324"/>
      <c r="IQ64" s="324"/>
      <c r="IR64" s="324"/>
      <c r="IS64" s="324"/>
      <c r="IT64" s="324"/>
      <c r="IU64" s="324"/>
      <c r="IV64" s="324"/>
      <c r="IW64" s="324"/>
    </row>
    <row r="65" customFormat="false" ht="13.5" hidden="false" customHeight="false" outlineLevel="0" collapsed="false">
      <c r="A65" s="154" t="s">
        <v>101</v>
      </c>
      <c r="B65" s="155" t="n">
        <v>2001</v>
      </c>
      <c r="C65" s="155" t="n">
        <v>2002</v>
      </c>
      <c r="D65" s="155" t="n">
        <v>2003</v>
      </c>
      <c r="E65" s="155" t="n">
        <v>2004</v>
      </c>
      <c r="F65" s="155" t="n">
        <v>2005</v>
      </c>
      <c r="G65" s="155" t="n">
        <v>2006</v>
      </c>
      <c r="H65" s="155" t="n">
        <v>2007</v>
      </c>
      <c r="I65" s="155" t="n">
        <v>2008</v>
      </c>
      <c r="J65" s="155" t="n">
        <v>2009</v>
      </c>
      <c r="K65" s="155" t="n">
        <v>2010</v>
      </c>
      <c r="L65" s="155" t="n">
        <v>2011</v>
      </c>
      <c r="M65" s="155" t="n">
        <v>2012</v>
      </c>
      <c r="N65" s="155" t="n">
        <v>2013</v>
      </c>
      <c r="O65" s="155" t="n">
        <v>2014</v>
      </c>
      <c r="P65" s="155" t="n">
        <v>2015</v>
      </c>
      <c r="Q65" s="155" t="n">
        <v>2016</v>
      </c>
      <c r="R65" s="155" t="n">
        <v>2017</v>
      </c>
      <c r="S65" s="155" t="n">
        <v>2018</v>
      </c>
      <c r="T65" s="155" t="n">
        <v>2019</v>
      </c>
      <c r="U65" s="155" t="n">
        <v>2020</v>
      </c>
    </row>
    <row r="66" customFormat="false" ht="12.75" hidden="false" customHeight="false" outlineLevel="0" collapsed="false">
      <c r="A66" s="248"/>
      <c r="B66" s="300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</row>
    <row r="67" customFormat="false" ht="12.75" hidden="false" customHeight="false" outlineLevel="0" collapsed="false">
      <c r="A67" s="301" t="s">
        <v>221</v>
      </c>
      <c r="B67" s="300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</row>
    <row r="68" customFormat="false" ht="12.75" hidden="false" customHeight="false" outlineLevel="0" collapsed="false">
      <c r="A68" s="248"/>
      <c r="B68" s="300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</row>
    <row r="69" customFormat="false" ht="12.75" hidden="false" customHeight="false" outlineLevel="0" collapsed="false">
      <c r="A69" s="301" t="s">
        <v>79</v>
      </c>
      <c r="B69" s="351"/>
      <c r="C69" s="351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</row>
    <row r="70" customFormat="false" ht="12.75" hidden="false" customHeight="false" outlineLevel="0" collapsed="false">
      <c r="A70" s="24" t="s">
        <v>181</v>
      </c>
      <c r="B70" s="88" t="n">
        <f aca="false">B33</f>
        <v>12883.1134957901</v>
      </c>
      <c r="C70" s="88" t="n">
        <f aca="false">C33</f>
        <v>14657.4334139822</v>
      </c>
      <c r="D70" s="88" t="n">
        <f aca="false">D33</f>
        <v>16606.4662172896</v>
      </c>
      <c r="E70" s="88" t="n">
        <f aca="false">E33</f>
        <v>18680.6077954101</v>
      </c>
      <c r="F70" s="88" t="n">
        <f aca="false">F33</f>
        <v>20993.2002394457</v>
      </c>
      <c r="G70" s="88" t="n">
        <f aca="false">G33</f>
        <v>22020.2514422419</v>
      </c>
      <c r="H70" s="88" t="n">
        <f aca="false">H33</f>
        <v>23021.5340069029</v>
      </c>
      <c r="I70" s="88" t="n">
        <f aca="false">I33</f>
        <v>24088.1462094497</v>
      </c>
      <c r="J70" s="88" t="n">
        <f aca="false">J33</f>
        <v>25342.1499855821</v>
      </c>
      <c r="K70" s="88" t="n">
        <f aca="false">K33</f>
        <v>26690.8124231852</v>
      </c>
      <c r="L70" s="88" t="n">
        <f aca="false">L33</f>
        <v>27526.6377127743</v>
      </c>
      <c r="M70" s="88" t="n">
        <f aca="false">M33</f>
        <v>28545.5941276593</v>
      </c>
      <c r="N70" s="88" t="n">
        <f aca="false">N33</f>
        <v>29651.1024691993</v>
      </c>
      <c r="O70" s="88" t="n">
        <f aca="false">O33</f>
        <v>30787.70465471</v>
      </c>
      <c r="P70" s="88" t="n">
        <f aca="false">P33</f>
        <v>31982.9420486742</v>
      </c>
      <c r="Q70" s="88" t="n">
        <f aca="false">Q33</f>
        <v>33340.5338617211</v>
      </c>
      <c r="R70" s="88" t="n">
        <f aca="false">R33</f>
        <v>34803.9229743403</v>
      </c>
      <c r="S70" s="88" t="n">
        <f aca="false">S33</f>
        <v>36339.3723495218</v>
      </c>
      <c r="T70" s="88" t="n">
        <f aca="false">T33</f>
        <v>37970.1842663265</v>
      </c>
      <c r="U70" s="88" t="n">
        <f aca="false">U33</f>
        <v>39704.4088946745</v>
      </c>
      <c r="V70" s="353"/>
      <c r="W70" s="353"/>
    </row>
    <row r="71" customFormat="false" ht="12.75" hidden="false" customHeight="false" outlineLevel="0" collapsed="false">
      <c r="A71" s="24" t="s">
        <v>222</v>
      </c>
      <c r="B71" s="354" t="n">
        <f aca="false">Assumptions!$D$39</f>
        <v>0.034</v>
      </c>
      <c r="C71" s="354" t="n">
        <f aca="false">Assumptions!$D$39</f>
        <v>0.034</v>
      </c>
      <c r="D71" s="354" t="n">
        <f aca="false">Assumptions!$D$39</f>
        <v>0.034</v>
      </c>
      <c r="E71" s="354" t="n">
        <f aca="false">Assumptions!$D$39</f>
        <v>0.034</v>
      </c>
      <c r="F71" s="354" t="n">
        <f aca="false">Assumptions!$D$39</f>
        <v>0.034</v>
      </c>
      <c r="G71" s="354" t="n">
        <f aca="false">Assumptions!$D$39</f>
        <v>0.034</v>
      </c>
      <c r="H71" s="354" t="n">
        <f aca="false">Assumptions!$D$39</f>
        <v>0.034</v>
      </c>
      <c r="I71" s="354" t="n">
        <f aca="false">Assumptions!$D$39</f>
        <v>0.034</v>
      </c>
      <c r="J71" s="354" t="n">
        <f aca="false">Assumptions!$D$39</f>
        <v>0.034</v>
      </c>
      <c r="K71" s="354" t="n">
        <f aca="false">Assumptions!$D$39</f>
        <v>0.034</v>
      </c>
      <c r="L71" s="354" t="n">
        <f aca="false">Assumptions!$D$39</f>
        <v>0.034</v>
      </c>
      <c r="M71" s="354" t="n">
        <f aca="false">Assumptions!$D$39</f>
        <v>0.034</v>
      </c>
      <c r="N71" s="354" t="n">
        <f aca="false">Assumptions!$D$39</f>
        <v>0.034</v>
      </c>
      <c r="O71" s="354" t="n">
        <f aca="false">Assumptions!$D$39</f>
        <v>0.034</v>
      </c>
      <c r="P71" s="354" t="n">
        <f aca="false">Assumptions!$D$39</f>
        <v>0.034</v>
      </c>
      <c r="Q71" s="354" t="n">
        <f aca="false">Assumptions!$D$39</f>
        <v>0.034</v>
      </c>
      <c r="R71" s="354" t="n">
        <f aca="false">Assumptions!$D$39</f>
        <v>0.034</v>
      </c>
      <c r="S71" s="354" t="n">
        <f aca="false">Assumptions!$D$39</f>
        <v>0.034</v>
      </c>
      <c r="T71" s="354" t="n">
        <f aca="false">Assumptions!$D$39</f>
        <v>0.034</v>
      </c>
      <c r="U71" s="354" t="n">
        <f aca="false">Assumptions!$D$39</f>
        <v>0.034</v>
      </c>
      <c r="V71" s="354"/>
      <c r="W71" s="354"/>
    </row>
    <row r="72" customFormat="false" ht="12.75" hidden="false" customHeight="false" outlineLevel="0" collapsed="false">
      <c r="A72" s="24" t="s">
        <v>223</v>
      </c>
      <c r="B72" s="172" t="n">
        <f aca="false">B70*B71</f>
        <v>438.025858856862</v>
      </c>
      <c r="C72" s="172" t="n">
        <f aca="false">C70*C71</f>
        <v>498.352736075396</v>
      </c>
      <c r="D72" s="172" t="n">
        <f aca="false">D70*D71</f>
        <v>564.619851387847</v>
      </c>
      <c r="E72" s="172" t="n">
        <f aca="false">E70*E71</f>
        <v>635.140665043943</v>
      </c>
      <c r="F72" s="172" t="n">
        <f aca="false">F70*F71</f>
        <v>713.768808141153</v>
      </c>
      <c r="G72" s="172" t="n">
        <f aca="false">G70*G71</f>
        <v>748.688549036224</v>
      </c>
      <c r="H72" s="172" t="n">
        <f aca="false">H70*H71</f>
        <v>782.732156234697</v>
      </c>
      <c r="I72" s="172" t="n">
        <f aca="false">I70*I71</f>
        <v>818.99697112129</v>
      </c>
      <c r="J72" s="172" t="n">
        <f aca="false">J70*J71</f>
        <v>861.633099509791</v>
      </c>
      <c r="K72" s="172" t="n">
        <f aca="false">K70*K71</f>
        <v>907.487622388296</v>
      </c>
      <c r="L72" s="172" t="n">
        <f aca="false">L70*L71</f>
        <v>935.905682234326</v>
      </c>
      <c r="M72" s="172" t="n">
        <f aca="false">M70*M71</f>
        <v>970.550200340416</v>
      </c>
      <c r="N72" s="172" t="n">
        <f aca="false">N70*N71</f>
        <v>1008.13748395278</v>
      </c>
      <c r="O72" s="172" t="n">
        <f aca="false">O70*O71</f>
        <v>1046.78195826014</v>
      </c>
      <c r="P72" s="172" t="n">
        <f aca="false">P70*P71</f>
        <v>1087.42002965492</v>
      </c>
      <c r="Q72" s="172" t="n">
        <f aca="false">Q70*Q71</f>
        <v>1133.57815129852</v>
      </c>
      <c r="R72" s="172" t="n">
        <f aca="false">R70*R71</f>
        <v>1183.33338112757</v>
      </c>
      <c r="S72" s="172" t="n">
        <f aca="false">S70*S71</f>
        <v>1235.53865988374</v>
      </c>
      <c r="T72" s="172" t="n">
        <f aca="false">T70*T71</f>
        <v>1290.9862650551</v>
      </c>
      <c r="U72" s="172" t="n">
        <f aca="false">U70*U71</f>
        <v>1349.94990241893</v>
      </c>
      <c r="V72" s="355"/>
      <c r="W72" s="355"/>
    </row>
    <row r="73" customFormat="false" ht="12.75" hidden="false" customHeight="false" outlineLevel="0" collapsed="false">
      <c r="A73" s="351"/>
      <c r="B73" s="12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customFormat="false" ht="12.75" hidden="false" customHeight="false" outlineLevel="0" collapsed="false">
      <c r="A74" s="301" t="s">
        <v>224</v>
      </c>
      <c r="B74" s="12"/>
      <c r="C74" s="12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6"/>
      <c r="Q74" s="356"/>
      <c r="R74" s="356"/>
      <c r="S74" s="356"/>
      <c r="T74" s="356"/>
      <c r="U74" s="356"/>
      <c r="V74" s="356"/>
      <c r="W74" s="356"/>
    </row>
    <row r="75" customFormat="false" ht="12.75" hidden="false" customHeight="false" outlineLevel="0" collapsed="false">
      <c r="A75" s="24" t="s">
        <v>225</v>
      </c>
      <c r="B75" s="357" t="n">
        <f aca="false">B13</f>
        <v>34665.1108335295</v>
      </c>
      <c r="C75" s="357" t="n">
        <f aca="false">C13</f>
        <v>36465.8146432181</v>
      </c>
      <c r="D75" s="357" t="n">
        <f aca="false">D13</f>
        <v>38361.2355868011</v>
      </c>
      <c r="E75" s="357" t="n">
        <f aca="false">E13</f>
        <v>40356.3579405432</v>
      </c>
      <c r="F75" s="357" t="n">
        <f aca="false">F13</f>
        <v>42456.5361295705</v>
      </c>
      <c r="G75" s="357" t="n">
        <f aca="false">G13</f>
        <v>43334.3910796832</v>
      </c>
      <c r="H75" s="357" t="n">
        <f aca="false">H13</f>
        <v>44229.9908425545</v>
      </c>
      <c r="I75" s="357" t="n">
        <f aca="false">I13</f>
        <v>45145.1015900716</v>
      </c>
      <c r="J75" s="357" t="n">
        <f aca="false">J13</f>
        <v>46080.6184770002</v>
      </c>
      <c r="K75" s="357" t="n">
        <f aca="false">K13</f>
        <v>47036.6717992071</v>
      </c>
      <c r="L75" s="357" t="n">
        <f aca="false">L13</f>
        <v>47672.8262721201</v>
      </c>
      <c r="M75" s="357" t="n">
        <f aca="false">M13</f>
        <v>48320.1462018541</v>
      </c>
      <c r="N75" s="357" t="n">
        <f aca="false">N13</f>
        <v>48976.8419619276</v>
      </c>
      <c r="O75" s="357" t="n">
        <f aca="false">O13</f>
        <v>49643.0664592496</v>
      </c>
      <c r="P75" s="357" t="n">
        <f aca="false">P13</f>
        <v>50318.9751114588</v>
      </c>
      <c r="Q75" s="357" t="n">
        <f aca="false">Q13</f>
        <v>51114.9099854181</v>
      </c>
      <c r="R75" s="357" t="n">
        <f aca="false">R13</f>
        <v>51923.9278379467</v>
      </c>
      <c r="S75" s="357" t="n">
        <f aca="false">S13</f>
        <v>52746.2579358911</v>
      </c>
      <c r="T75" s="357" t="n">
        <f aca="false">T13</f>
        <v>53582.133956162</v>
      </c>
      <c r="U75" s="357" t="n">
        <f aca="false">U13</f>
        <v>54431.7940807213</v>
      </c>
      <c r="V75" s="353"/>
      <c r="W75" s="353"/>
      <c r="X75" s="352"/>
      <c r="Y75" s="352"/>
      <c r="Z75" s="352"/>
      <c r="AA75" s="352"/>
      <c r="AB75" s="352"/>
      <c r="AC75" s="351"/>
      <c r="AD75" s="351"/>
      <c r="AE75" s="358"/>
      <c r="AF75" s="358"/>
      <c r="AG75" s="358"/>
      <c r="AH75" s="358"/>
      <c r="AI75" s="358"/>
      <c r="AJ75" s="358"/>
      <c r="AK75" s="358"/>
      <c r="AL75" s="358"/>
      <c r="AM75" s="358"/>
      <c r="AN75" s="358"/>
      <c r="AO75" s="358"/>
      <c r="AP75" s="358"/>
      <c r="AQ75" s="358"/>
      <c r="AR75" s="358"/>
      <c r="AS75" s="358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5"/>
      <c r="BG75" s="305"/>
      <c r="BH75" s="305"/>
      <c r="BI75" s="305"/>
      <c r="BJ75" s="305"/>
      <c r="BK75" s="305"/>
      <c r="BL75" s="305"/>
      <c r="BM75" s="305"/>
      <c r="BN75" s="305"/>
      <c r="BO75" s="305"/>
      <c r="BP75" s="305"/>
      <c r="BQ75" s="305"/>
      <c r="BR75" s="305"/>
      <c r="BS75" s="305"/>
      <c r="BT75" s="305"/>
      <c r="BU75" s="305"/>
      <c r="BV75" s="305"/>
      <c r="BW75" s="305"/>
      <c r="BX75" s="305"/>
      <c r="BY75" s="305"/>
      <c r="BZ75" s="305"/>
      <c r="CA75" s="305"/>
      <c r="CB75" s="305"/>
      <c r="CC75" s="305"/>
      <c r="CD75" s="305"/>
      <c r="CE75" s="305"/>
      <c r="CF75" s="305"/>
      <c r="CG75" s="305"/>
      <c r="CH75" s="305"/>
      <c r="CI75" s="305"/>
      <c r="CJ75" s="305"/>
      <c r="CK75" s="305"/>
      <c r="CL75" s="305"/>
      <c r="CM75" s="305"/>
      <c r="CN75" s="305"/>
      <c r="CO75" s="305"/>
      <c r="CP75" s="305"/>
      <c r="CQ75" s="305"/>
      <c r="CR75" s="305"/>
      <c r="CS75" s="305"/>
      <c r="CT75" s="305"/>
      <c r="CU75" s="305"/>
      <c r="CV75" s="305"/>
      <c r="CW75" s="305"/>
      <c r="CX75" s="305"/>
      <c r="CY75" s="305"/>
      <c r="CZ75" s="305"/>
      <c r="DA75" s="305"/>
      <c r="DB75" s="305"/>
      <c r="DC75" s="305"/>
      <c r="DD75" s="305"/>
      <c r="DE75" s="305"/>
      <c r="DF75" s="305"/>
      <c r="DG75" s="305"/>
      <c r="DH75" s="305"/>
      <c r="DI75" s="305"/>
      <c r="DJ75" s="305"/>
      <c r="DK75" s="305"/>
      <c r="DL75" s="305"/>
      <c r="DM75" s="305"/>
      <c r="DN75" s="305"/>
      <c r="DO75" s="305"/>
      <c r="DP75" s="305"/>
      <c r="DQ75" s="305"/>
      <c r="DR75" s="305"/>
      <c r="DS75" s="305"/>
      <c r="DT75" s="305"/>
      <c r="DU75" s="305"/>
      <c r="DV75" s="305"/>
      <c r="DW75" s="305"/>
      <c r="DX75" s="305"/>
      <c r="DY75" s="305"/>
      <c r="DZ75" s="305"/>
      <c r="EA75" s="305"/>
      <c r="EB75" s="305"/>
      <c r="EC75" s="305"/>
      <c r="ED75" s="305"/>
      <c r="EE75" s="305"/>
      <c r="EF75" s="305"/>
      <c r="EG75" s="305"/>
      <c r="EH75" s="305"/>
      <c r="EI75" s="305"/>
      <c r="EJ75" s="305"/>
      <c r="EK75" s="305"/>
      <c r="EL75" s="305"/>
      <c r="EM75" s="305"/>
      <c r="EN75" s="305"/>
      <c r="EO75" s="305"/>
      <c r="EP75" s="305"/>
      <c r="EQ75" s="305"/>
      <c r="ER75" s="305"/>
      <c r="ES75" s="305"/>
      <c r="ET75" s="305"/>
      <c r="EU75" s="305"/>
      <c r="EV75" s="305"/>
      <c r="EW75" s="305"/>
      <c r="EX75" s="305"/>
      <c r="EY75" s="305"/>
      <c r="EZ75" s="305"/>
      <c r="FA75" s="305"/>
      <c r="FB75" s="305"/>
      <c r="FC75" s="305"/>
      <c r="FD75" s="305"/>
      <c r="FE75" s="305"/>
      <c r="FF75" s="305"/>
      <c r="FG75" s="305"/>
      <c r="FH75" s="305"/>
      <c r="FI75" s="305"/>
      <c r="FJ75" s="305"/>
      <c r="FK75" s="305"/>
      <c r="FL75" s="305"/>
      <c r="FM75" s="305"/>
      <c r="FN75" s="305"/>
      <c r="FO75" s="305"/>
      <c r="FP75" s="305"/>
      <c r="FQ75" s="305"/>
      <c r="FR75" s="305"/>
      <c r="FS75" s="305"/>
      <c r="FT75" s="305"/>
      <c r="FU75" s="305"/>
      <c r="FV75" s="305"/>
      <c r="FW75" s="305"/>
      <c r="FX75" s="305"/>
      <c r="FY75" s="305"/>
      <c r="FZ75" s="305"/>
      <c r="GA75" s="305"/>
      <c r="GB75" s="305"/>
      <c r="GC75" s="305"/>
      <c r="GD75" s="305"/>
      <c r="GE75" s="305"/>
      <c r="GF75" s="305"/>
      <c r="GG75" s="305"/>
      <c r="GH75" s="305"/>
      <c r="GI75" s="305"/>
      <c r="GJ75" s="305"/>
      <c r="GK75" s="305"/>
      <c r="GL75" s="305"/>
      <c r="GM75" s="305"/>
      <c r="GN75" s="305"/>
      <c r="GO75" s="305"/>
      <c r="GP75" s="305"/>
      <c r="GQ75" s="305"/>
      <c r="GR75" s="305"/>
      <c r="GS75" s="305"/>
      <c r="GT75" s="305"/>
      <c r="GU75" s="305"/>
      <c r="GV75" s="305"/>
      <c r="GW75" s="305"/>
      <c r="GX75" s="305"/>
      <c r="GY75" s="305"/>
      <c r="GZ75" s="305"/>
      <c r="HA75" s="305"/>
      <c r="HB75" s="305"/>
      <c r="HC75" s="305"/>
      <c r="HD75" s="305"/>
      <c r="HE75" s="305"/>
      <c r="HF75" s="305"/>
      <c r="HG75" s="305"/>
      <c r="HH75" s="305"/>
      <c r="HI75" s="305"/>
      <c r="HJ75" s="305"/>
      <c r="HK75" s="305"/>
      <c r="HL75" s="305"/>
      <c r="HM75" s="305"/>
      <c r="HN75" s="305"/>
      <c r="HO75" s="305"/>
      <c r="HP75" s="305"/>
      <c r="HQ75" s="305"/>
      <c r="HR75" s="305"/>
      <c r="HS75" s="305"/>
      <c r="HT75" s="305"/>
      <c r="HU75" s="305"/>
      <c r="HV75" s="305"/>
      <c r="HW75" s="305"/>
      <c r="HX75" s="305"/>
      <c r="HY75" s="305"/>
      <c r="HZ75" s="305"/>
      <c r="IA75" s="305"/>
      <c r="IB75" s="305"/>
      <c r="IC75" s="305"/>
      <c r="ID75" s="305"/>
      <c r="IE75" s="305"/>
      <c r="IF75" s="305"/>
      <c r="IG75" s="305"/>
      <c r="IH75" s="305"/>
      <c r="II75" s="305"/>
      <c r="IJ75" s="305"/>
      <c r="IK75" s="305"/>
      <c r="IL75" s="305"/>
      <c r="IM75" s="305"/>
      <c r="IN75" s="305"/>
      <c r="IO75" s="305"/>
      <c r="IP75" s="305"/>
      <c r="IQ75" s="305"/>
      <c r="IR75" s="305"/>
      <c r="IS75" s="305"/>
      <c r="IT75" s="305"/>
      <c r="IU75" s="305"/>
      <c r="IV75" s="305"/>
      <c r="IW75" s="305"/>
    </row>
    <row r="76" customFormat="false" ht="12.75" hidden="false" customHeight="false" outlineLevel="0" collapsed="false">
      <c r="A76" s="24" t="s">
        <v>81</v>
      </c>
      <c r="B76" s="354" t="n">
        <f aca="false">Assumptions!$D$40</f>
        <v>0.012</v>
      </c>
      <c r="C76" s="354" t="n">
        <f aca="false">Assumptions!$D$40</f>
        <v>0.012</v>
      </c>
      <c r="D76" s="354" t="n">
        <f aca="false">Assumptions!$D$40</f>
        <v>0.012</v>
      </c>
      <c r="E76" s="354" t="n">
        <f aca="false">Assumptions!$D$40</f>
        <v>0.012</v>
      </c>
      <c r="F76" s="354" t="n">
        <f aca="false">Assumptions!$D$40</f>
        <v>0.012</v>
      </c>
      <c r="G76" s="354" t="n">
        <f aca="false">Assumptions!$D$40</f>
        <v>0.012</v>
      </c>
      <c r="H76" s="354" t="n">
        <f aca="false">Assumptions!$D$40</f>
        <v>0.012</v>
      </c>
      <c r="I76" s="354" t="n">
        <f aca="false">Assumptions!$D$40</f>
        <v>0.012</v>
      </c>
      <c r="J76" s="354" t="n">
        <f aca="false">Assumptions!$D$40</f>
        <v>0.012</v>
      </c>
      <c r="K76" s="354" t="n">
        <f aca="false">Assumptions!$D$40</f>
        <v>0.012</v>
      </c>
      <c r="L76" s="354" t="n">
        <f aca="false">Assumptions!$D$40</f>
        <v>0.012</v>
      </c>
      <c r="M76" s="354" t="n">
        <f aca="false">Assumptions!$D$40</f>
        <v>0.012</v>
      </c>
      <c r="N76" s="354" t="n">
        <f aca="false">Assumptions!$D$40</f>
        <v>0.012</v>
      </c>
      <c r="O76" s="354" t="n">
        <f aca="false">Assumptions!$D$40</f>
        <v>0.012</v>
      </c>
      <c r="P76" s="354" t="n">
        <f aca="false">Assumptions!$D$40</f>
        <v>0.012</v>
      </c>
      <c r="Q76" s="354" t="n">
        <f aca="false">Assumptions!$D$40</f>
        <v>0.012</v>
      </c>
      <c r="R76" s="354" t="n">
        <f aca="false">Assumptions!$D$40</f>
        <v>0.012</v>
      </c>
      <c r="S76" s="354" t="n">
        <f aca="false">Assumptions!$D$40</f>
        <v>0.012</v>
      </c>
      <c r="T76" s="354" t="n">
        <f aca="false">Assumptions!$D$40</f>
        <v>0.012</v>
      </c>
      <c r="U76" s="354" t="n">
        <f aca="false">Assumptions!$D$40</f>
        <v>0.012</v>
      </c>
      <c r="V76" s="354"/>
      <c r="W76" s="354"/>
      <c r="X76" s="353"/>
      <c r="Y76" s="353"/>
      <c r="Z76" s="353"/>
      <c r="AA76" s="353"/>
      <c r="AB76" s="353"/>
      <c r="AC76" s="351"/>
      <c r="AD76" s="351"/>
      <c r="AE76" s="358"/>
      <c r="AF76" s="358"/>
      <c r="AG76" s="358"/>
      <c r="AH76" s="358"/>
      <c r="AI76" s="358"/>
      <c r="AJ76" s="358"/>
      <c r="AK76" s="358"/>
      <c r="AL76" s="358"/>
      <c r="AM76" s="358"/>
      <c r="AN76" s="358"/>
      <c r="AO76" s="358"/>
      <c r="AP76" s="358"/>
      <c r="AQ76" s="358"/>
      <c r="AR76" s="358"/>
      <c r="AS76" s="358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5"/>
      <c r="BG76" s="305"/>
      <c r="BH76" s="305"/>
      <c r="BI76" s="305"/>
      <c r="BJ76" s="305"/>
      <c r="BK76" s="305"/>
      <c r="BL76" s="305"/>
      <c r="BM76" s="305"/>
      <c r="BN76" s="305"/>
      <c r="BO76" s="305"/>
      <c r="BP76" s="305"/>
      <c r="BQ76" s="305"/>
      <c r="BR76" s="305"/>
      <c r="BS76" s="305"/>
      <c r="BT76" s="305"/>
      <c r="BU76" s="305"/>
      <c r="BV76" s="305"/>
      <c r="BW76" s="305"/>
      <c r="BX76" s="305"/>
      <c r="BY76" s="305"/>
      <c r="BZ76" s="305"/>
      <c r="CA76" s="305"/>
      <c r="CB76" s="305"/>
      <c r="CC76" s="305"/>
      <c r="CD76" s="305"/>
      <c r="CE76" s="305"/>
      <c r="CF76" s="305"/>
      <c r="CG76" s="305"/>
      <c r="CH76" s="305"/>
      <c r="CI76" s="305"/>
      <c r="CJ76" s="305"/>
      <c r="CK76" s="305"/>
      <c r="CL76" s="305"/>
      <c r="CM76" s="305"/>
      <c r="CN76" s="305"/>
      <c r="CO76" s="305"/>
      <c r="CP76" s="305"/>
      <c r="CQ76" s="305"/>
      <c r="CR76" s="305"/>
      <c r="CS76" s="305"/>
      <c r="CT76" s="305"/>
      <c r="CU76" s="305"/>
      <c r="CV76" s="305"/>
      <c r="CW76" s="305"/>
      <c r="CX76" s="305"/>
      <c r="CY76" s="305"/>
      <c r="CZ76" s="305"/>
      <c r="DA76" s="305"/>
      <c r="DB76" s="305"/>
      <c r="DC76" s="305"/>
      <c r="DD76" s="305"/>
      <c r="DE76" s="305"/>
      <c r="DF76" s="305"/>
      <c r="DG76" s="305"/>
      <c r="DH76" s="305"/>
      <c r="DI76" s="305"/>
      <c r="DJ76" s="305"/>
      <c r="DK76" s="305"/>
      <c r="DL76" s="305"/>
      <c r="DM76" s="305"/>
      <c r="DN76" s="305"/>
      <c r="DO76" s="305"/>
      <c r="DP76" s="305"/>
      <c r="DQ76" s="305"/>
      <c r="DR76" s="305"/>
      <c r="DS76" s="305"/>
      <c r="DT76" s="305"/>
      <c r="DU76" s="305"/>
      <c r="DV76" s="305"/>
      <c r="DW76" s="305"/>
      <c r="DX76" s="305"/>
      <c r="DY76" s="305"/>
      <c r="DZ76" s="305"/>
      <c r="EA76" s="305"/>
      <c r="EB76" s="305"/>
      <c r="EC76" s="305"/>
      <c r="ED76" s="305"/>
      <c r="EE76" s="305"/>
      <c r="EF76" s="305"/>
      <c r="EG76" s="305"/>
      <c r="EH76" s="305"/>
      <c r="EI76" s="305"/>
      <c r="EJ76" s="305"/>
      <c r="EK76" s="305"/>
      <c r="EL76" s="305"/>
      <c r="EM76" s="305"/>
      <c r="EN76" s="305"/>
      <c r="EO76" s="305"/>
      <c r="EP76" s="305"/>
      <c r="EQ76" s="305"/>
      <c r="ER76" s="305"/>
      <c r="ES76" s="305"/>
      <c r="ET76" s="305"/>
      <c r="EU76" s="305"/>
      <c r="EV76" s="305"/>
      <c r="EW76" s="305"/>
      <c r="EX76" s="305"/>
      <c r="EY76" s="305"/>
      <c r="EZ76" s="305"/>
      <c r="FA76" s="305"/>
      <c r="FB76" s="305"/>
      <c r="FC76" s="305"/>
      <c r="FD76" s="305"/>
      <c r="FE76" s="305"/>
      <c r="FF76" s="305"/>
      <c r="FG76" s="305"/>
      <c r="FH76" s="305"/>
      <c r="FI76" s="305"/>
      <c r="FJ76" s="305"/>
      <c r="FK76" s="305"/>
      <c r="FL76" s="305"/>
      <c r="FM76" s="305"/>
      <c r="FN76" s="305"/>
      <c r="FO76" s="305"/>
      <c r="FP76" s="305"/>
      <c r="FQ76" s="305"/>
      <c r="FR76" s="305"/>
      <c r="FS76" s="305"/>
      <c r="FT76" s="305"/>
      <c r="FU76" s="305"/>
      <c r="FV76" s="305"/>
      <c r="FW76" s="305"/>
      <c r="FX76" s="305"/>
      <c r="FY76" s="305"/>
      <c r="FZ76" s="305"/>
      <c r="GA76" s="305"/>
      <c r="GB76" s="305"/>
      <c r="GC76" s="305"/>
      <c r="GD76" s="305"/>
      <c r="GE76" s="305"/>
      <c r="GF76" s="305"/>
      <c r="GG76" s="305"/>
      <c r="GH76" s="305"/>
      <c r="GI76" s="305"/>
      <c r="GJ76" s="305"/>
      <c r="GK76" s="305"/>
      <c r="GL76" s="305"/>
      <c r="GM76" s="305"/>
      <c r="GN76" s="305"/>
      <c r="GO76" s="305"/>
      <c r="GP76" s="305"/>
      <c r="GQ76" s="305"/>
      <c r="GR76" s="305"/>
      <c r="GS76" s="305"/>
      <c r="GT76" s="305"/>
      <c r="GU76" s="305"/>
      <c r="GV76" s="305"/>
      <c r="GW76" s="305"/>
      <c r="GX76" s="305"/>
      <c r="GY76" s="305"/>
      <c r="GZ76" s="305"/>
      <c r="HA76" s="305"/>
      <c r="HB76" s="305"/>
      <c r="HC76" s="305"/>
      <c r="HD76" s="305"/>
      <c r="HE76" s="305"/>
      <c r="HF76" s="305"/>
      <c r="HG76" s="305"/>
      <c r="HH76" s="305"/>
      <c r="HI76" s="305"/>
      <c r="HJ76" s="305"/>
      <c r="HK76" s="305"/>
      <c r="HL76" s="305"/>
      <c r="HM76" s="305"/>
      <c r="HN76" s="305"/>
      <c r="HO76" s="305"/>
      <c r="HP76" s="305"/>
      <c r="HQ76" s="305"/>
      <c r="HR76" s="305"/>
      <c r="HS76" s="305"/>
      <c r="HT76" s="305"/>
      <c r="HU76" s="305"/>
      <c r="HV76" s="305"/>
      <c r="HW76" s="305"/>
      <c r="HX76" s="305"/>
      <c r="HY76" s="305"/>
      <c r="HZ76" s="305"/>
      <c r="IA76" s="305"/>
      <c r="IB76" s="305"/>
      <c r="IC76" s="305"/>
      <c r="ID76" s="305"/>
      <c r="IE76" s="305"/>
      <c r="IF76" s="305"/>
      <c r="IG76" s="305"/>
      <c r="IH76" s="305"/>
      <c r="II76" s="305"/>
      <c r="IJ76" s="305"/>
      <c r="IK76" s="305"/>
      <c r="IL76" s="305"/>
      <c r="IM76" s="305"/>
      <c r="IN76" s="305"/>
      <c r="IO76" s="305"/>
      <c r="IP76" s="305"/>
      <c r="IQ76" s="305"/>
      <c r="IR76" s="305"/>
      <c r="IS76" s="305"/>
      <c r="IT76" s="305"/>
      <c r="IU76" s="305"/>
      <c r="IV76" s="305"/>
      <c r="IW76" s="305"/>
    </row>
    <row r="77" customFormat="false" ht="12.75" hidden="false" customHeight="false" outlineLevel="0" collapsed="false">
      <c r="A77" s="24" t="s">
        <v>226</v>
      </c>
      <c r="B77" s="172" t="n">
        <f aca="false">B75*B76</f>
        <v>415.981330002354</v>
      </c>
      <c r="C77" s="172" t="n">
        <f aca="false">C75*C76</f>
        <v>437.589775718618</v>
      </c>
      <c r="D77" s="172" t="n">
        <f aca="false">D75*D76</f>
        <v>460.334827041613</v>
      </c>
      <c r="E77" s="172" t="n">
        <f aca="false">E75*E76</f>
        <v>484.276295286518</v>
      </c>
      <c r="F77" s="172" t="n">
        <f aca="false">F75*F76</f>
        <v>509.478433554846</v>
      </c>
      <c r="G77" s="172" t="n">
        <f aca="false">G75*G76</f>
        <v>520.012692956198</v>
      </c>
      <c r="H77" s="172" t="n">
        <f aca="false">H75*H76</f>
        <v>530.759890110653</v>
      </c>
      <c r="I77" s="172" t="n">
        <f aca="false">I75*I76</f>
        <v>541.741219080859</v>
      </c>
      <c r="J77" s="172" t="n">
        <f aca="false">J75*J76</f>
        <v>552.967421724003</v>
      </c>
      <c r="K77" s="172" t="n">
        <f aca="false">K75*K76</f>
        <v>564.440061590485</v>
      </c>
      <c r="L77" s="172" t="n">
        <f aca="false">L75*L76</f>
        <v>572.073915265441</v>
      </c>
      <c r="M77" s="172" t="n">
        <f aca="false">M75*M76</f>
        <v>579.841754422249</v>
      </c>
      <c r="N77" s="172" t="n">
        <f aca="false">N75*N76</f>
        <v>587.722103543132</v>
      </c>
      <c r="O77" s="172" t="n">
        <f aca="false">O75*O76</f>
        <v>595.716797510995</v>
      </c>
      <c r="P77" s="172" t="n">
        <f aca="false">P75*P76</f>
        <v>603.827701337506</v>
      </c>
      <c r="Q77" s="172" t="n">
        <f aca="false">Q75*Q76</f>
        <v>613.378919825017</v>
      </c>
      <c r="R77" s="172" t="n">
        <f aca="false">R75*R76</f>
        <v>623.087134055361</v>
      </c>
      <c r="S77" s="172" t="n">
        <f aca="false">S75*S76</f>
        <v>632.955095230693</v>
      </c>
      <c r="T77" s="172" t="n">
        <f aca="false">T75*T76</f>
        <v>642.985607473944</v>
      </c>
      <c r="U77" s="172" t="n">
        <f aca="false">U75*U76</f>
        <v>653.181528968656</v>
      </c>
      <c r="V77" s="355"/>
      <c r="W77" s="355"/>
      <c r="X77" s="354"/>
      <c r="Y77" s="354"/>
      <c r="Z77" s="354"/>
      <c r="AA77" s="354"/>
      <c r="AB77" s="354"/>
      <c r="AC77" s="358"/>
      <c r="AD77" s="358"/>
      <c r="AE77" s="358"/>
      <c r="AF77" s="358"/>
      <c r="AG77" s="358"/>
      <c r="AH77" s="358"/>
      <c r="AI77" s="358"/>
      <c r="AJ77" s="358"/>
      <c r="AK77" s="358"/>
      <c r="AL77" s="358"/>
      <c r="AM77" s="358"/>
      <c r="AN77" s="358"/>
      <c r="AO77" s="358"/>
      <c r="AP77" s="358"/>
      <c r="AQ77" s="358"/>
      <c r="AR77" s="358"/>
      <c r="AS77" s="358"/>
      <c r="AT77" s="351"/>
      <c r="AU77" s="351"/>
      <c r="AV77" s="351"/>
      <c r="AW77" s="351"/>
      <c r="AX77" s="351"/>
      <c r="AY77" s="351"/>
      <c r="AZ77" s="351"/>
      <c r="BA77" s="351"/>
      <c r="BB77" s="351"/>
      <c r="BC77" s="351"/>
      <c r="BD77" s="351"/>
      <c r="BE77" s="351"/>
      <c r="BF77" s="351"/>
      <c r="BG77" s="351"/>
      <c r="BH77" s="351"/>
      <c r="BI77" s="351"/>
      <c r="BJ77" s="351"/>
      <c r="BK77" s="351"/>
      <c r="BL77" s="351"/>
      <c r="BM77" s="351"/>
      <c r="BN77" s="351"/>
      <c r="BO77" s="351"/>
      <c r="BP77" s="351"/>
      <c r="BQ77" s="351"/>
      <c r="BR77" s="351"/>
      <c r="BS77" s="351"/>
      <c r="BT77" s="351"/>
      <c r="BU77" s="351"/>
      <c r="BV77" s="351"/>
      <c r="BW77" s="351"/>
      <c r="BX77" s="351"/>
      <c r="BY77" s="351"/>
      <c r="BZ77" s="351"/>
      <c r="CA77" s="351"/>
      <c r="CB77" s="351"/>
      <c r="CC77" s="351"/>
      <c r="CD77" s="351"/>
      <c r="CE77" s="351"/>
      <c r="CF77" s="351"/>
      <c r="CG77" s="351"/>
      <c r="CH77" s="351"/>
      <c r="CI77" s="351"/>
      <c r="CJ77" s="351"/>
      <c r="CK77" s="351"/>
      <c r="CL77" s="351"/>
      <c r="CM77" s="351"/>
      <c r="CN77" s="351"/>
      <c r="CO77" s="351"/>
      <c r="CP77" s="351"/>
      <c r="CQ77" s="351"/>
      <c r="CR77" s="351"/>
      <c r="CS77" s="351"/>
      <c r="CT77" s="351"/>
      <c r="CU77" s="351"/>
      <c r="CV77" s="351"/>
      <c r="CW77" s="351"/>
      <c r="CX77" s="351"/>
      <c r="CY77" s="351"/>
      <c r="CZ77" s="351"/>
      <c r="DA77" s="351"/>
      <c r="DB77" s="351"/>
      <c r="DC77" s="351"/>
      <c r="DD77" s="351"/>
      <c r="DE77" s="351"/>
      <c r="DF77" s="351"/>
      <c r="DG77" s="351"/>
      <c r="DH77" s="351"/>
      <c r="DI77" s="351"/>
      <c r="DJ77" s="351"/>
      <c r="DK77" s="351"/>
      <c r="DL77" s="351"/>
      <c r="DM77" s="351"/>
      <c r="DN77" s="351"/>
      <c r="DO77" s="351"/>
      <c r="DP77" s="351"/>
      <c r="DQ77" s="351"/>
      <c r="DR77" s="351"/>
      <c r="DS77" s="351"/>
      <c r="DT77" s="351"/>
      <c r="DU77" s="351"/>
      <c r="DV77" s="351"/>
      <c r="DW77" s="351"/>
      <c r="DX77" s="351"/>
      <c r="DY77" s="351"/>
      <c r="DZ77" s="351"/>
      <c r="EA77" s="351"/>
      <c r="EB77" s="351"/>
      <c r="EC77" s="351"/>
      <c r="ED77" s="351"/>
      <c r="EE77" s="351"/>
      <c r="EF77" s="351"/>
      <c r="EG77" s="351"/>
      <c r="EH77" s="351"/>
      <c r="EI77" s="351"/>
      <c r="EJ77" s="351"/>
      <c r="EK77" s="351"/>
      <c r="EL77" s="351"/>
      <c r="EM77" s="351"/>
      <c r="EN77" s="351"/>
      <c r="EO77" s="351"/>
      <c r="EP77" s="351"/>
      <c r="EQ77" s="351"/>
      <c r="ER77" s="351"/>
      <c r="ES77" s="351"/>
      <c r="ET77" s="351"/>
      <c r="EU77" s="351"/>
      <c r="EV77" s="351"/>
      <c r="EW77" s="351"/>
      <c r="EX77" s="351"/>
      <c r="EY77" s="351"/>
      <c r="EZ77" s="351"/>
      <c r="FA77" s="351"/>
      <c r="FB77" s="351"/>
      <c r="FC77" s="351"/>
      <c r="FD77" s="351"/>
      <c r="FE77" s="351"/>
      <c r="FF77" s="351"/>
      <c r="FG77" s="351"/>
      <c r="FH77" s="351"/>
      <c r="FI77" s="351"/>
      <c r="FJ77" s="351"/>
      <c r="FK77" s="351"/>
      <c r="FL77" s="351"/>
      <c r="FM77" s="351"/>
      <c r="FN77" s="351"/>
      <c r="FO77" s="351"/>
      <c r="FP77" s="351"/>
      <c r="FQ77" s="351"/>
      <c r="FR77" s="351"/>
      <c r="FS77" s="351"/>
      <c r="FT77" s="351"/>
      <c r="FU77" s="351"/>
      <c r="FV77" s="351"/>
      <c r="FW77" s="351"/>
      <c r="FX77" s="351"/>
      <c r="FY77" s="351"/>
      <c r="FZ77" s="351"/>
      <c r="GA77" s="351"/>
      <c r="GB77" s="351"/>
      <c r="GC77" s="351"/>
      <c r="GD77" s="351"/>
      <c r="GE77" s="351"/>
      <c r="GF77" s="351"/>
      <c r="GG77" s="351"/>
      <c r="GH77" s="351"/>
      <c r="GI77" s="351"/>
      <c r="GJ77" s="351"/>
      <c r="GK77" s="351"/>
      <c r="GL77" s="351"/>
      <c r="GM77" s="351"/>
      <c r="GN77" s="351"/>
      <c r="GO77" s="351"/>
      <c r="GP77" s="351"/>
      <c r="GQ77" s="351"/>
      <c r="GR77" s="351"/>
      <c r="GS77" s="351"/>
      <c r="GT77" s="351"/>
      <c r="GU77" s="351"/>
      <c r="GV77" s="351"/>
      <c r="GW77" s="351"/>
      <c r="GX77" s="351"/>
      <c r="GY77" s="351"/>
      <c r="GZ77" s="351"/>
      <c r="HA77" s="351"/>
      <c r="HB77" s="351"/>
      <c r="HC77" s="351"/>
      <c r="HD77" s="351"/>
      <c r="HE77" s="351"/>
      <c r="HF77" s="351"/>
      <c r="HG77" s="351"/>
      <c r="HH77" s="351"/>
      <c r="HI77" s="351"/>
      <c r="HJ77" s="351"/>
      <c r="HK77" s="351"/>
      <c r="HL77" s="351"/>
      <c r="HM77" s="351"/>
      <c r="HN77" s="351"/>
      <c r="HO77" s="351"/>
      <c r="HP77" s="351"/>
      <c r="HQ77" s="351"/>
      <c r="HR77" s="351"/>
      <c r="HS77" s="351"/>
      <c r="HT77" s="351"/>
      <c r="HU77" s="351"/>
      <c r="HV77" s="351"/>
      <c r="HW77" s="351"/>
      <c r="HX77" s="351"/>
      <c r="HY77" s="351"/>
      <c r="HZ77" s="351"/>
      <c r="IA77" s="351"/>
      <c r="IB77" s="351"/>
      <c r="IC77" s="351"/>
      <c r="ID77" s="351"/>
      <c r="IE77" s="351"/>
      <c r="IF77" s="351"/>
      <c r="IG77" s="351"/>
      <c r="IH77" s="351"/>
      <c r="II77" s="351"/>
      <c r="IJ77" s="351"/>
      <c r="IK77" s="351"/>
      <c r="IL77" s="351"/>
      <c r="IM77" s="351"/>
      <c r="IN77" s="351"/>
      <c r="IO77" s="351"/>
      <c r="IP77" s="351"/>
      <c r="IQ77" s="351"/>
      <c r="IR77" s="351"/>
      <c r="IS77" s="351"/>
      <c r="IT77" s="351"/>
      <c r="IU77" s="351"/>
      <c r="IV77" s="351"/>
      <c r="IW77" s="351"/>
    </row>
    <row r="78" customFormat="false" ht="12.75" hidden="false" customHeight="false" outlineLevel="0" collapsed="false">
      <c r="A78" s="24"/>
      <c r="B78" s="40"/>
      <c r="C78" s="40"/>
      <c r="D78" s="355"/>
      <c r="E78" s="355"/>
      <c r="F78" s="355"/>
      <c r="G78" s="355"/>
      <c r="H78" s="355"/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  <c r="AA78" s="355"/>
      <c r="AB78" s="355"/>
      <c r="AC78" s="351"/>
      <c r="AD78" s="358"/>
      <c r="AE78" s="358"/>
      <c r="AF78" s="358"/>
      <c r="AG78" s="358"/>
      <c r="AH78" s="358"/>
      <c r="AI78" s="358"/>
      <c r="AJ78" s="358"/>
      <c r="AK78" s="358"/>
      <c r="AL78" s="358"/>
      <c r="AM78" s="358"/>
      <c r="AN78" s="358"/>
      <c r="AO78" s="358"/>
      <c r="AP78" s="358"/>
      <c r="AQ78" s="358"/>
      <c r="AR78" s="358"/>
      <c r="AS78" s="358"/>
      <c r="AT78" s="351"/>
      <c r="AU78" s="351"/>
      <c r="AV78" s="351"/>
      <c r="AW78" s="351"/>
      <c r="AX78" s="351"/>
      <c r="AY78" s="351"/>
      <c r="AZ78" s="351"/>
      <c r="BA78" s="351"/>
      <c r="BB78" s="351"/>
      <c r="BC78" s="351"/>
      <c r="BD78" s="351"/>
      <c r="BE78" s="351"/>
      <c r="BF78" s="351"/>
      <c r="BG78" s="351"/>
      <c r="BH78" s="351"/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1"/>
      <c r="BV78" s="351"/>
      <c r="BW78" s="351"/>
      <c r="BX78" s="351"/>
      <c r="BY78" s="351"/>
      <c r="BZ78" s="351"/>
      <c r="CA78" s="351"/>
      <c r="CB78" s="351"/>
      <c r="CC78" s="351"/>
      <c r="CD78" s="351"/>
      <c r="CE78" s="351"/>
      <c r="CF78" s="351"/>
      <c r="CG78" s="351"/>
      <c r="CH78" s="351"/>
      <c r="CI78" s="351"/>
      <c r="CJ78" s="351"/>
      <c r="CK78" s="351"/>
      <c r="CL78" s="351"/>
      <c r="CM78" s="351"/>
      <c r="CN78" s="351"/>
      <c r="CO78" s="351"/>
      <c r="CP78" s="351"/>
      <c r="CQ78" s="351"/>
      <c r="CR78" s="351"/>
      <c r="CS78" s="351"/>
      <c r="CT78" s="351"/>
      <c r="CU78" s="351"/>
      <c r="CV78" s="351"/>
      <c r="CW78" s="351"/>
      <c r="CX78" s="351"/>
      <c r="CY78" s="351"/>
      <c r="CZ78" s="351"/>
      <c r="DA78" s="351"/>
      <c r="DB78" s="351"/>
      <c r="DC78" s="351"/>
      <c r="DD78" s="351"/>
      <c r="DE78" s="351"/>
      <c r="DF78" s="351"/>
      <c r="DG78" s="351"/>
      <c r="DH78" s="351"/>
      <c r="DI78" s="351"/>
      <c r="DJ78" s="351"/>
      <c r="DK78" s="351"/>
      <c r="DL78" s="351"/>
      <c r="DM78" s="351"/>
      <c r="DN78" s="351"/>
      <c r="DO78" s="351"/>
      <c r="DP78" s="351"/>
      <c r="DQ78" s="351"/>
      <c r="DR78" s="351"/>
      <c r="DS78" s="351"/>
      <c r="DT78" s="351"/>
      <c r="DU78" s="351"/>
      <c r="DV78" s="351"/>
      <c r="DW78" s="351"/>
      <c r="DX78" s="351"/>
      <c r="DY78" s="351"/>
      <c r="DZ78" s="351"/>
      <c r="EA78" s="351"/>
      <c r="EB78" s="351"/>
      <c r="EC78" s="351"/>
      <c r="ED78" s="351"/>
      <c r="EE78" s="351"/>
      <c r="EF78" s="351"/>
      <c r="EG78" s="351"/>
      <c r="EH78" s="351"/>
      <c r="EI78" s="351"/>
      <c r="EJ78" s="351"/>
      <c r="EK78" s="351"/>
      <c r="EL78" s="351"/>
      <c r="EM78" s="351"/>
      <c r="EN78" s="351"/>
      <c r="EO78" s="351"/>
      <c r="EP78" s="351"/>
      <c r="EQ78" s="351"/>
      <c r="ER78" s="351"/>
      <c r="ES78" s="351"/>
      <c r="ET78" s="351"/>
      <c r="EU78" s="351"/>
      <c r="EV78" s="351"/>
      <c r="EW78" s="351"/>
      <c r="EX78" s="351"/>
      <c r="EY78" s="351"/>
      <c r="EZ78" s="351"/>
      <c r="FA78" s="351"/>
      <c r="FB78" s="351"/>
      <c r="FC78" s="351"/>
      <c r="FD78" s="351"/>
      <c r="FE78" s="351"/>
      <c r="FF78" s="351"/>
      <c r="FG78" s="351"/>
      <c r="FH78" s="351"/>
      <c r="FI78" s="351"/>
      <c r="FJ78" s="351"/>
      <c r="FK78" s="351"/>
      <c r="FL78" s="351"/>
      <c r="FM78" s="351"/>
      <c r="FN78" s="351"/>
      <c r="FO78" s="351"/>
      <c r="FP78" s="351"/>
      <c r="FQ78" s="351"/>
      <c r="FR78" s="351"/>
      <c r="FS78" s="351"/>
      <c r="FT78" s="351"/>
      <c r="FU78" s="351"/>
      <c r="FV78" s="351"/>
      <c r="FW78" s="351"/>
      <c r="FX78" s="351"/>
      <c r="FY78" s="351"/>
      <c r="FZ78" s="351"/>
      <c r="GA78" s="351"/>
      <c r="GB78" s="351"/>
      <c r="GC78" s="351"/>
      <c r="GD78" s="351"/>
      <c r="GE78" s="351"/>
      <c r="GF78" s="351"/>
      <c r="GG78" s="351"/>
      <c r="GH78" s="351"/>
      <c r="GI78" s="351"/>
      <c r="GJ78" s="351"/>
      <c r="GK78" s="351"/>
      <c r="GL78" s="351"/>
      <c r="GM78" s="351"/>
      <c r="GN78" s="351"/>
      <c r="GO78" s="351"/>
      <c r="GP78" s="351"/>
      <c r="GQ78" s="351"/>
      <c r="GR78" s="351"/>
      <c r="GS78" s="351"/>
      <c r="GT78" s="351"/>
      <c r="GU78" s="351"/>
      <c r="GV78" s="351"/>
      <c r="GW78" s="351"/>
      <c r="GX78" s="351"/>
      <c r="GY78" s="351"/>
      <c r="GZ78" s="351"/>
      <c r="HA78" s="351"/>
      <c r="HB78" s="351"/>
      <c r="HC78" s="351"/>
      <c r="HD78" s="351"/>
      <c r="HE78" s="351"/>
      <c r="HF78" s="351"/>
      <c r="HG78" s="351"/>
      <c r="HH78" s="351"/>
      <c r="HI78" s="351"/>
      <c r="HJ78" s="351"/>
      <c r="HK78" s="351"/>
      <c r="HL78" s="351"/>
      <c r="HM78" s="351"/>
      <c r="HN78" s="351"/>
      <c r="HO78" s="351"/>
      <c r="HP78" s="351"/>
      <c r="HQ78" s="351"/>
      <c r="HR78" s="351"/>
      <c r="HS78" s="351"/>
      <c r="HT78" s="351"/>
      <c r="HU78" s="351"/>
      <c r="HV78" s="351"/>
      <c r="HW78" s="351"/>
      <c r="HX78" s="351"/>
      <c r="HY78" s="351"/>
      <c r="HZ78" s="351"/>
      <c r="IA78" s="351"/>
      <c r="IB78" s="351"/>
      <c r="IC78" s="351"/>
      <c r="ID78" s="351"/>
      <c r="IE78" s="351"/>
      <c r="IF78" s="351"/>
      <c r="IG78" s="351"/>
      <c r="IH78" s="351"/>
      <c r="II78" s="351"/>
      <c r="IJ78" s="351"/>
      <c r="IK78" s="351"/>
      <c r="IL78" s="351"/>
      <c r="IM78" s="351"/>
      <c r="IN78" s="351"/>
      <c r="IO78" s="351"/>
      <c r="IP78" s="351"/>
      <c r="IQ78" s="351"/>
      <c r="IR78" s="351"/>
      <c r="IS78" s="351"/>
      <c r="IT78" s="351"/>
      <c r="IU78" s="351"/>
      <c r="IV78" s="351"/>
      <c r="IW78" s="351"/>
    </row>
    <row r="79" customFormat="false" ht="12.75" hidden="false" customHeight="false" outlineLevel="0" collapsed="false">
      <c r="A79" s="307" t="s">
        <v>227</v>
      </c>
      <c r="B79" s="359" t="n">
        <f aca="false">MAX(B77,B72)</f>
        <v>438.025858856862</v>
      </c>
      <c r="C79" s="359" t="n">
        <f aca="false">MAX(C77,C72)</f>
        <v>498.352736075396</v>
      </c>
      <c r="D79" s="359" t="n">
        <f aca="false">MAX(D77,D72)</f>
        <v>564.619851387847</v>
      </c>
      <c r="E79" s="359" t="n">
        <f aca="false">MAX(E77,E72)</f>
        <v>635.140665043943</v>
      </c>
      <c r="F79" s="359" t="n">
        <f aca="false">MAX(F77,F72)</f>
        <v>713.768808141153</v>
      </c>
      <c r="G79" s="359" t="n">
        <f aca="false">MAX(G77,G72)</f>
        <v>748.688549036224</v>
      </c>
      <c r="H79" s="359" t="n">
        <f aca="false">MAX(H77,H72)</f>
        <v>782.732156234697</v>
      </c>
      <c r="I79" s="359" t="n">
        <f aca="false">MAX(I77,I72)</f>
        <v>818.99697112129</v>
      </c>
      <c r="J79" s="359" t="n">
        <f aca="false">MAX(J77,J72)</f>
        <v>861.633099509791</v>
      </c>
      <c r="K79" s="359" t="n">
        <f aca="false">MAX(K77,K72)</f>
        <v>907.487622388296</v>
      </c>
      <c r="L79" s="359" t="n">
        <f aca="false">MAX(L77,L72)</f>
        <v>935.905682234326</v>
      </c>
      <c r="M79" s="359" t="n">
        <f aca="false">MAX(M77,M72)</f>
        <v>970.550200340416</v>
      </c>
      <c r="N79" s="359" t="n">
        <f aca="false">MAX(N77,N72)</f>
        <v>1008.13748395278</v>
      </c>
      <c r="O79" s="359" t="n">
        <f aca="false">MAX(O77,O72)</f>
        <v>1046.78195826014</v>
      </c>
      <c r="P79" s="359" t="n">
        <f aca="false">MAX(P77,P72)</f>
        <v>1087.42002965492</v>
      </c>
      <c r="Q79" s="359" t="n">
        <f aca="false">MAX(Q77,Q72)</f>
        <v>1133.57815129852</v>
      </c>
      <c r="R79" s="359" t="n">
        <f aca="false">MAX(R77,R72)</f>
        <v>1183.33338112757</v>
      </c>
      <c r="S79" s="359" t="n">
        <f aca="false">MAX(S77,S72)</f>
        <v>1235.53865988374</v>
      </c>
      <c r="T79" s="359" t="n">
        <f aca="false">MAX(T77,T72)</f>
        <v>1290.9862650551</v>
      </c>
      <c r="U79" s="359" t="n">
        <f aca="false">MAX(U77,U72)</f>
        <v>1349.94990241893</v>
      </c>
      <c r="V79" s="355"/>
      <c r="W79" s="355"/>
      <c r="X79" s="24"/>
      <c r="Y79" s="24"/>
      <c r="Z79" s="24"/>
      <c r="AA79" s="24"/>
      <c r="AB79" s="24"/>
      <c r="AC79" s="360"/>
      <c r="AD79" s="360"/>
      <c r="AE79" s="351"/>
      <c r="AF79" s="351"/>
      <c r="AG79" s="351"/>
      <c r="AH79" s="351"/>
      <c r="AI79" s="351"/>
      <c r="AJ79" s="351"/>
      <c r="AK79" s="351"/>
      <c r="AL79" s="351"/>
      <c r="AM79" s="351"/>
      <c r="AN79" s="351"/>
      <c r="AO79" s="351"/>
      <c r="AP79" s="351"/>
      <c r="AQ79" s="351"/>
      <c r="AR79" s="351"/>
      <c r="AS79" s="351"/>
      <c r="AT79" s="351"/>
      <c r="AU79" s="351"/>
      <c r="AV79" s="351"/>
      <c r="AW79" s="351"/>
      <c r="AX79" s="351"/>
      <c r="AY79" s="351"/>
      <c r="AZ79" s="351"/>
      <c r="BA79" s="351"/>
      <c r="BB79" s="351"/>
      <c r="BC79" s="351"/>
      <c r="BD79" s="351"/>
      <c r="BE79" s="351"/>
      <c r="BF79" s="351"/>
      <c r="BG79" s="351"/>
      <c r="BH79" s="351"/>
      <c r="BI79" s="351"/>
      <c r="BJ79" s="351"/>
      <c r="BK79" s="351"/>
      <c r="BL79" s="351"/>
      <c r="BM79" s="351"/>
      <c r="BN79" s="351"/>
      <c r="BO79" s="351"/>
      <c r="BP79" s="351"/>
      <c r="BQ79" s="351"/>
      <c r="BR79" s="351"/>
      <c r="BS79" s="351"/>
      <c r="BT79" s="351"/>
      <c r="BU79" s="351"/>
      <c r="BV79" s="351"/>
      <c r="BW79" s="351"/>
      <c r="BX79" s="351"/>
      <c r="BY79" s="351"/>
      <c r="BZ79" s="351"/>
      <c r="CA79" s="351"/>
      <c r="CB79" s="351"/>
      <c r="CC79" s="351"/>
      <c r="CD79" s="351"/>
      <c r="CE79" s="351"/>
      <c r="CF79" s="351"/>
      <c r="CG79" s="351"/>
      <c r="CH79" s="351"/>
      <c r="CI79" s="351"/>
      <c r="CJ79" s="351"/>
      <c r="CK79" s="351"/>
      <c r="CL79" s="351"/>
      <c r="CM79" s="351"/>
      <c r="CN79" s="351"/>
      <c r="CO79" s="351"/>
      <c r="CP79" s="351"/>
      <c r="CQ79" s="351"/>
      <c r="CR79" s="351"/>
      <c r="CS79" s="351"/>
      <c r="CT79" s="351"/>
      <c r="CU79" s="351"/>
      <c r="CV79" s="351"/>
      <c r="CW79" s="351"/>
      <c r="CX79" s="351"/>
      <c r="CY79" s="351"/>
      <c r="CZ79" s="351"/>
      <c r="DA79" s="351"/>
      <c r="DB79" s="351"/>
      <c r="DC79" s="351"/>
      <c r="DD79" s="351"/>
      <c r="DE79" s="351"/>
      <c r="DF79" s="351"/>
      <c r="DG79" s="351"/>
      <c r="DH79" s="351"/>
      <c r="DI79" s="351"/>
      <c r="DJ79" s="351"/>
      <c r="DK79" s="351"/>
      <c r="DL79" s="351"/>
      <c r="DM79" s="351"/>
      <c r="DN79" s="351"/>
      <c r="DO79" s="351"/>
      <c r="DP79" s="351"/>
      <c r="DQ79" s="351"/>
      <c r="DR79" s="351"/>
      <c r="DS79" s="351"/>
      <c r="DT79" s="351"/>
      <c r="DU79" s="351"/>
      <c r="DV79" s="351"/>
      <c r="DW79" s="351"/>
      <c r="DX79" s="351"/>
      <c r="DY79" s="351"/>
      <c r="DZ79" s="351"/>
      <c r="EA79" s="351"/>
      <c r="EB79" s="351"/>
      <c r="EC79" s="351"/>
      <c r="ED79" s="351"/>
      <c r="EE79" s="351"/>
      <c r="EF79" s="351"/>
      <c r="EG79" s="351"/>
      <c r="EH79" s="351"/>
      <c r="EI79" s="351"/>
      <c r="EJ79" s="351"/>
      <c r="EK79" s="351"/>
      <c r="EL79" s="351"/>
      <c r="EM79" s="351"/>
      <c r="EN79" s="351"/>
      <c r="EO79" s="351"/>
      <c r="EP79" s="351"/>
      <c r="EQ79" s="351"/>
      <c r="ER79" s="351"/>
      <c r="ES79" s="351"/>
      <c r="ET79" s="351"/>
      <c r="EU79" s="351"/>
      <c r="EV79" s="351"/>
      <c r="EW79" s="351"/>
      <c r="EX79" s="351"/>
      <c r="EY79" s="351"/>
      <c r="EZ79" s="351"/>
      <c r="FA79" s="351"/>
      <c r="FB79" s="351"/>
      <c r="FC79" s="351"/>
      <c r="FD79" s="351"/>
      <c r="FE79" s="351"/>
      <c r="FF79" s="351"/>
      <c r="FG79" s="351"/>
      <c r="FH79" s="351"/>
      <c r="FI79" s="351"/>
      <c r="FJ79" s="351"/>
      <c r="FK79" s="351"/>
      <c r="FL79" s="351"/>
      <c r="FM79" s="351"/>
      <c r="FN79" s="351"/>
      <c r="FO79" s="351"/>
      <c r="FP79" s="351"/>
      <c r="FQ79" s="351"/>
      <c r="FR79" s="351"/>
      <c r="FS79" s="351"/>
      <c r="FT79" s="351"/>
      <c r="FU79" s="351"/>
      <c r="FV79" s="351"/>
      <c r="FW79" s="351"/>
      <c r="FX79" s="351"/>
      <c r="FY79" s="351"/>
      <c r="FZ79" s="351"/>
      <c r="GA79" s="351"/>
      <c r="GB79" s="351"/>
      <c r="GC79" s="351"/>
      <c r="GD79" s="351"/>
      <c r="GE79" s="351"/>
      <c r="GF79" s="351"/>
      <c r="GG79" s="351"/>
      <c r="GH79" s="351"/>
      <c r="GI79" s="351"/>
      <c r="GJ79" s="351"/>
      <c r="GK79" s="351"/>
      <c r="GL79" s="351"/>
      <c r="GM79" s="351"/>
      <c r="GN79" s="351"/>
      <c r="GO79" s="351"/>
      <c r="GP79" s="351"/>
      <c r="GQ79" s="351"/>
      <c r="GR79" s="351"/>
      <c r="GS79" s="351"/>
      <c r="GT79" s="351"/>
      <c r="GU79" s="351"/>
      <c r="GV79" s="351"/>
      <c r="GW79" s="351"/>
      <c r="GX79" s="351"/>
      <c r="GY79" s="351"/>
      <c r="GZ79" s="351"/>
      <c r="HA79" s="351"/>
      <c r="HB79" s="351"/>
      <c r="HC79" s="351"/>
      <c r="HD79" s="351"/>
      <c r="HE79" s="351"/>
      <c r="HF79" s="351"/>
      <c r="HG79" s="351"/>
      <c r="HH79" s="351"/>
      <c r="HI79" s="351"/>
      <c r="HJ79" s="351"/>
      <c r="HK79" s="351"/>
      <c r="HL79" s="351"/>
      <c r="HM79" s="351"/>
      <c r="HN79" s="351"/>
      <c r="HO79" s="351"/>
      <c r="HP79" s="351"/>
      <c r="HQ79" s="351"/>
      <c r="HR79" s="351"/>
      <c r="HS79" s="351"/>
      <c r="HT79" s="351"/>
      <c r="HU79" s="351"/>
      <c r="HV79" s="351"/>
      <c r="HW79" s="351"/>
      <c r="HX79" s="351"/>
      <c r="HY79" s="351"/>
      <c r="HZ79" s="351"/>
      <c r="IA79" s="351"/>
      <c r="IB79" s="351"/>
      <c r="IC79" s="351"/>
      <c r="ID79" s="351"/>
      <c r="IE79" s="351"/>
      <c r="IF79" s="351"/>
      <c r="IG79" s="351"/>
      <c r="IH79" s="351"/>
      <c r="II79" s="351"/>
      <c r="IJ79" s="351"/>
      <c r="IK79" s="351"/>
      <c r="IL79" s="351"/>
      <c r="IM79" s="351"/>
      <c r="IN79" s="351"/>
      <c r="IO79" s="351"/>
      <c r="IP79" s="351"/>
      <c r="IQ79" s="351"/>
      <c r="IR79" s="351"/>
      <c r="IS79" s="351"/>
      <c r="IT79" s="351"/>
      <c r="IU79" s="351"/>
      <c r="IV79" s="351"/>
      <c r="IW79" s="351"/>
    </row>
    <row r="80" customFormat="false" ht="12.75" hidden="false" customHeight="false" outlineLevel="0" collapsed="false">
      <c r="A80" s="361"/>
      <c r="B80" s="40"/>
      <c r="C80" s="40"/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356"/>
      <c r="Y80" s="356"/>
      <c r="Z80" s="356"/>
      <c r="AA80" s="356"/>
      <c r="AB80" s="356"/>
      <c r="AC80" s="351"/>
      <c r="AD80" s="351"/>
      <c r="AE80" s="358"/>
      <c r="AF80" s="358"/>
      <c r="AG80" s="358"/>
      <c r="AH80" s="358"/>
      <c r="AI80" s="358"/>
      <c r="AJ80" s="358"/>
      <c r="AK80" s="358"/>
      <c r="AL80" s="358"/>
      <c r="AM80" s="358"/>
      <c r="AN80" s="358"/>
      <c r="AO80" s="358"/>
      <c r="AP80" s="358"/>
      <c r="AQ80" s="358"/>
      <c r="AR80" s="358"/>
      <c r="AS80" s="358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5"/>
      <c r="BG80" s="305"/>
      <c r="BH80" s="305"/>
      <c r="BI80" s="305"/>
      <c r="BJ80" s="305"/>
      <c r="BK80" s="305"/>
      <c r="BL80" s="305"/>
      <c r="BM80" s="305"/>
      <c r="BN80" s="305"/>
      <c r="BO80" s="305"/>
      <c r="BP80" s="305"/>
      <c r="BQ80" s="305"/>
      <c r="BR80" s="305"/>
      <c r="BS80" s="305"/>
      <c r="BT80" s="305"/>
      <c r="BU80" s="305"/>
      <c r="BV80" s="305"/>
      <c r="BW80" s="305"/>
      <c r="BX80" s="305"/>
      <c r="BY80" s="305"/>
      <c r="BZ80" s="305"/>
      <c r="CA80" s="305"/>
      <c r="CB80" s="305"/>
      <c r="CC80" s="305"/>
      <c r="CD80" s="305"/>
      <c r="CE80" s="305"/>
      <c r="CF80" s="305"/>
      <c r="CG80" s="305"/>
      <c r="CH80" s="305"/>
      <c r="CI80" s="305"/>
      <c r="CJ80" s="305"/>
      <c r="CK80" s="305"/>
      <c r="CL80" s="305"/>
      <c r="CM80" s="305"/>
      <c r="CN80" s="305"/>
      <c r="CO80" s="305"/>
      <c r="CP80" s="305"/>
      <c r="CQ80" s="305"/>
      <c r="CR80" s="305"/>
      <c r="CS80" s="305"/>
      <c r="CT80" s="305"/>
      <c r="CU80" s="305"/>
      <c r="CV80" s="305"/>
      <c r="CW80" s="305"/>
      <c r="CX80" s="305"/>
      <c r="CY80" s="305"/>
      <c r="CZ80" s="305"/>
      <c r="DA80" s="305"/>
      <c r="DB80" s="305"/>
      <c r="DC80" s="305"/>
      <c r="DD80" s="305"/>
      <c r="DE80" s="305"/>
      <c r="DF80" s="305"/>
      <c r="DG80" s="305"/>
      <c r="DH80" s="305"/>
      <c r="DI80" s="305"/>
      <c r="DJ80" s="305"/>
      <c r="DK80" s="305"/>
      <c r="DL80" s="305"/>
      <c r="DM80" s="305"/>
      <c r="DN80" s="305"/>
      <c r="DO80" s="305"/>
      <c r="DP80" s="305"/>
      <c r="DQ80" s="305"/>
      <c r="DR80" s="305"/>
      <c r="DS80" s="305"/>
      <c r="DT80" s="305"/>
      <c r="DU80" s="305"/>
      <c r="DV80" s="305"/>
      <c r="DW80" s="305"/>
      <c r="DX80" s="305"/>
      <c r="DY80" s="305"/>
      <c r="DZ80" s="305"/>
      <c r="EA80" s="305"/>
      <c r="EB80" s="305"/>
      <c r="EC80" s="305"/>
      <c r="ED80" s="305"/>
      <c r="EE80" s="305"/>
      <c r="EF80" s="305"/>
      <c r="EG80" s="305"/>
      <c r="EH80" s="305"/>
      <c r="EI80" s="305"/>
      <c r="EJ80" s="305"/>
      <c r="EK80" s="305"/>
      <c r="EL80" s="305"/>
      <c r="EM80" s="305"/>
      <c r="EN80" s="305"/>
      <c r="EO80" s="305"/>
      <c r="EP80" s="305"/>
      <c r="EQ80" s="305"/>
      <c r="ER80" s="305"/>
      <c r="ES80" s="305"/>
      <c r="ET80" s="305"/>
      <c r="EU80" s="305"/>
      <c r="EV80" s="305"/>
      <c r="EW80" s="305"/>
      <c r="EX80" s="305"/>
      <c r="EY80" s="305"/>
      <c r="EZ80" s="305"/>
      <c r="FA80" s="305"/>
      <c r="FB80" s="305"/>
      <c r="FC80" s="305"/>
      <c r="FD80" s="305"/>
      <c r="FE80" s="305"/>
      <c r="FF80" s="305"/>
      <c r="FG80" s="305"/>
      <c r="FH80" s="305"/>
      <c r="FI80" s="305"/>
      <c r="FJ80" s="305"/>
      <c r="FK80" s="305"/>
      <c r="FL80" s="305"/>
      <c r="FM80" s="305"/>
      <c r="FN80" s="305"/>
      <c r="FO80" s="305"/>
      <c r="FP80" s="305"/>
      <c r="FQ80" s="305"/>
      <c r="FR80" s="305"/>
      <c r="FS80" s="305"/>
      <c r="FT80" s="305"/>
      <c r="FU80" s="305"/>
      <c r="FV80" s="305"/>
      <c r="FW80" s="305"/>
      <c r="FX80" s="305"/>
      <c r="FY80" s="305"/>
      <c r="FZ80" s="305"/>
      <c r="GA80" s="305"/>
      <c r="GB80" s="305"/>
      <c r="GC80" s="305"/>
      <c r="GD80" s="305"/>
      <c r="GE80" s="305"/>
      <c r="GF80" s="305"/>
      <c r="GG80" s="305"/>
      <c r="GH80" s="305"/>
      <c r="GI80" s="305"/>
      <c r="GJ80" s="305"/>
      <c r="GK80" s="305"/>
      <c r="GL80" s="305"/>
      <c r="GM80" s="305"/>
      <c r="GN80" s="305"/>
      <c r="GO80" s="305"/>
      <c r="GP80" s="305"/>
      <c r="GQ80" s="305"/>
      <c r="GR80" s="305"/>
      <c r="GS80" s="305"/>
      <c r="GT80" s="305"/>
      <c r="GU80" s="305"/>
      <c r="GV80" s="305"/>
      <c r="GW80" s="305"/>
      <c r="GX80" s="305"/>
      <c r="GY80" s="305"/>
      <c r="GZ80" s="305"/>
      <c r="HA80" s="305"/>
      <c r="HB80" s="305"/>
      <c r="HC80" s="305"/>
      <c r="HD80" s="305"/>
      <c r="HE80" s="305"/>
      <c r="HF80" s="305"/>
      <c r="HG80" s="305"/>
      <c r="HH80" s="305"/>
      <c r="HI80" s="305"/>
      <c r="HJ80" s="305"/>
      <c r="HK80" s="305"/>
      <c r="HL80" s="305"/>
      <c r="HM80" s="305"/>
      <c r="HN80" s="305"/>
      <c r="HO80" s="305"/>
      <c r="HP80" s="305"/>
      <c r="HQ80" s="305"/>
      <c r="HR80" s="305"/>
      <c r="HS80" s="305"/>
      <c r="HT80" s="305"/>
      <c r="HU80" s="305"/>
      <c r="HV80" s="305"/>
      <c r="HW80" s="305"/>
      <c r="HX80" s="305"/>
      <c r="HY80" s="305"/>
      <c r="HZ80" s="305"/>
      <c r="IA80" s="305"/>
      <c r="IB80" s="305"/>
      <c r="IC80" s="305"/>
      <c r="ID80" s="305"/>
      <c r="IE80" s="305"/>
      <c r="IF80" s="305"/>
      <c r="IG80" s="305"/>
      <c r="IH80" s="305"/>
      <c r="II80" s="305"/>
      <c r="IJ80" s="305"/>
      <c r="IK80" s="305"/>
      <c r="IL80" s="305"/>
      <c r="IM80" s="305"/>
      <c r="IN80" s="305"/>
      <c r="IO80" s="305"/>
      <c r="IP80" s="305"/>
      <c r="IQ80" s="305"/>
      <c r="IR80" s="305"/>
      <c r="IS80" s="305"/>
      <c r="IT80" s="305"/>
      <c r="IU80" s="305"/>
      <c r="IV80" s="305"/>
      <c r="IW80" s="305"/>
    </row>
    <row r="81" customFormat="false" ht="12.75" hidden="false" customHeight="false" outlineLevel="0" collapsed="false">
      <c r="A81" s="362"/>
      <c r="B81" s="351"/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351"/>
      <c r="W81" s="351"/>
      <c r="X81" s="353"/>
      <c r="Y81" s="353"/>
      <c r="Z81" s="353"/>
      <c r="AA81" s="353"/>
      <c r="AB81" s="353"/>
      <c r="AC81" s="351"/>
      <c r="AD81" s="351"/>
      <c r="AE81" s="358"/>
      <c r="AF81" s="358"/>
      <c r="AG81" s="358"/>
      <c r="AH81" s="358"/>
      <c r="AI81" s="358"/>
      <c r="AJ81" s="358"/>
      <c r="AK81" s="358"/>
      <c r="AL81" s="358"/>
      <c r="AM81" s="358"/>
      <c r="AN81" s="358"/>
      <c r="AO81" s="358"/>
      <c r="AP81" s="358"/>
      <c r="AQ81" s="358"/>
      <c r="AR81" s="358"/>
      <c r="AS81" s="358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5"/>
      <c r="BG81" s="305"/>
      <c r="BH81" s="305"/>
      <c r="BI81" s="305"/>
      <c r="BJ81" s="305"/>
      <c r="BK81" s="305"/>
      <c r="BL81" s="305"/>
      <c r="BM81" s="305"/>
      <c r="BN81" s="305"/>
      <c r="BO81" s="305"/>
      <c r="BP81" s="305"/>
      <c r="BQ81" s="305"/>
      <c r="BR81" s="305"/>
      <c r="BS81" s="305"/>
      <c r="BT81" s="305"/>
      <c r="BU81" s="305"/>
      <c r="BV81" s="305"/>
      <c r="BW81" s="305"/>
      <c r="BX81" s="305"/>
      <c r="BY81" s="305"/>
      <c r="BZ81" s="305"/>
      <c r="CA81" s="305"/>
      <c r="CB81" s="305"/>
      <c r="CC81" s="305"/>
      <c r="CD81" s="305"/>
      <c r="CE81" s="305"/>
      <c r="CF81" s="305"/>
      <c r="CG81" s="305"/>
      <c r="CH81" s="305"/>
      <c r="CI81" s="305"/>
      <c r="CJ81" s="305"/>
      <c r="CK81" s="305"/>
      <c r="CL81" s="305"/>
      <c r="CM81" s="305"/>
      <c r="CN81" s="305"/>
      <c r="CO81" s="305"/>
      <c r="CP81" s="305"/>
      <c r="CQ81" s="305"/>
      <c r="CR81" s="305"/>
      <c r="CS81" s="305"/>
      <c r="CT81" s="305"/>
      <c r="CU81" s="305"/>
      <c r="CV81" s="305"/>
      <c r="CW81" s="305"/>
      <c r="CX81" s="305"/>
      <c r="CY81" s="305"/>
      <c r="CZ81" s="305"/>
      <c r="DA81" s="305"/>
      <c r="DB81" s="305"/>
      <c r="DC81" s="305"/>
      <c r="DD81" s="305"/>
      <c r="DE81" s="305"/>
      <c r="DF81" s="305"/>
      <c r="DG81" s="305"/>
      <c r="DH81" s="305"/>
      <c r="DI81" s="305"/>
      <c r="DJ81" s="305"/>
      <c r="DK81" s="305"/>
      <c r="DL81" s="305"/>
      <c r="DM81" s="305"/>
      <c r="DN81" s="305"/>
      <c r="DO81" s="305"/>
      <c r="DP81" s="305"/>
      <c r="DQ81" s="305"/>
      <c r="DR81" s="305"/>
      <c r="DS81" s="305"/>
      <c r="DT81" s="305"/>
      <c r="DU81" s="305"/>
      <c r="DV81" s="305"/>
      <c r="DW81" s="305"/>
      <c r="DX81" s="305"/>
      <c r="DY81" s="305"/>
      <c r="DZ81" s="305"/>
      <c r="EA81" s="305"/>
      <c r="EB81" s="305"/>
      <c r="EC81" s="305"/>
      <c r="ED81" s="305"/>
      <c r="EE81" s="305"/>
      <c r="EF81" s="305"/>
      <c r="EG81" s="305"/>
      <c r="EH81" s="305"/>
      <c r="EI81" s="305"/>
      <c r="EJ81" s="305"/>
      <c r="EK81" s="305"/>
      <c r="EL81" s="305"/>
      <c r="EM81" s="305"/>
      <c r="EN81" s="305"/>
      <c r="EO81" s="305"/>
      <c r="EP81" s="305"/>
      <c r="EQ81" s="305"/>
      <c r="ER81" s="305"/>
      <c r="ES81" s="305"/>
      <c r="ET81" s="305"/>
      <c r="EU81" s="305"/>
      <c r="EV81" s="305"/>
      <c r="EW81" s="305"/>
      <c r="EX81" s="305"/>
      <c r="EY81" s="305"/>
      <c r="EZ81" s="305"/>
      <c r="FA81" s="305"/>
      <c r="FB81" s="305"/>
      <c r="FC81" s="305"/>
      <c r="FD81" s="305"/>
      <c r="FE81" s="305"/>
      <c r="FF81" s="305"/>
      <c r="FG81" s="305"/>
      <c r="FH81" s="305"/>
      <c r="FI81" s="305"/>
      <c r="FJ81" s="305"/>
      <c r="FK81" s="305"/>
      <c r="FL81" s="305"/>
      <c r="FM81" s="305"/>
      <c r="FN81" s="305"/>
      <c r="FO81" s="305"/>
      <c r="FP81" s="305"/>
      <c r="FQ81" s="305"/>
      <c r="FR81" s="305"/>
      <c r="FS81" s="305"/>
      <c r="FT81" s="305"/>
      <c r="FU81" s="305"/>
      <c r="FV81" s="305"/>
      <c r="FW81" s="305"/>
      <c r="FX81" s="305"/>
      <c r="FY81" s="305"/>
      <c r="FZ81" s="305"/>
      <c r="GA81" s="305"/>
      <c r="GB81" s="305"/>
      <c r="GC81" s="305"/>
      <c r="GD81" s="305"/>
      <c r="GE81" s="305"/>
      <c r="GF81" s="305"/>
      <c r="GG81" s="305"/>
      <c r="GH81" s="305"/>
      <c r="GI81" s="305"/>
      <c r="GJ81" s="305"/>
      <c r="GK81" s="305"/>
      <c r="GL81" s="305"/>
      <c r="GM81" s="305"/>
      <c r="GN81" s="305"/>
      <c r="GO81" s="305"/>
      <c r="GP81" s="305"/>
      <c r="GQ81" s="305"/>
      <c r="GR81" s="305"/>
      <c r="GS81" s="305"/>
      <c r="GT81" s="305"/>
      <c r="GU81" s="305"/>
      <c r="GV81" s="305"/>
      <c r="GW81" s="305"/>
      <c r="GX81" s="305"/>
      <c r="GY81" s="305"/>
      <c r="GZ81" s="305"/>
      <c r="HA81" s="305"/>
      <c r="HB81" s="305"/>
      <c r="HC81" s="305"/>
      <c r="HD81" s="305"/>
      <c r="HE81" s="305"/>
      <c r="HF81" s="305"/>
      <c r="HG81" s="305"/>
      <c r="HH81" s="305"/>
      <c r="HI81" s="305"/>
      <c r="HJ81" s="305"/>
      <c r="HK81" s="305"/>
      <c r="HL81" s="305"/>
      <c r="HM81" s="305"/>
      <c r="HN81" s="305"/>
      <c r="HO81" s="305"/>
      <c r="HP81" s="305"/>
      <c r="HQ81" s="305"/>
      <c r="HR81" s="305"/>
      <c r="HS81" s="305"/>
      <c r="HT81" s="305"/>
      <c r="HU81" s="305"/>
      <c r="HV81" s="305"/>
      <c r="HW81" s="305"/>
      <c r="HX81" s="305"/>
      <c r="HY81" s="305"/>
      <c r="HZ81" s="305"/>
      <c r="IA81" s="305"/>
      <c r="IB81" s="305"/>
      <c r="IC81" s="305"/>
      <c r="ID81" s="305"/>
      <c r="IE81" s="305"/>
      <c r="IF81" s="305"/>
      <c r="IG81" s="305"/>
      <c r="IH81" s="305"/>
      <c r="II81" s="305"/>
      <c r="IJ81" s="305"/>
      <c r="IK81" s="305"/>
      <c r="IL81" s="305"/>
      <c r="IM81" s="305"/>
      <c r="IN81" s="305"/>
      <c r="IO81" s="305"/>
      <c r="IP81" s="305"/>
      <c r="IQ81" s="305"/>
      <c r="IR81" s="305"/>
      <c r="IS81" s="305"/>
      <c r="IT81" s="305"/>
      <c r="IU81" s="305"/>
      <c r="IV81" s="305"/>
      <c r="IW81" s="305"/>
    </row>
    <row r="82" customFormat="false" ht="12.75" hidden="false" customHeight="false" outlineLevel="0" collapsed="false">
      <c r="A82" s="301" t="s">
        <v>178</v>
      </c>
      <c r="B82" s="351"/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4"/>
      <c r="Y82" s="354"/>
      <c r="Z82" s="354"/>
      <c r="AA82" s="354"/>
      <c r="AB82" s="354"/>
      <c r="AC82" s="351"/>
      <c r="AD82" s="351"/>
      <c r="AE82" s="358"/>
      <c r="AF82" s="358"/>
      <c r="AG82" s="358"/>
      <c r="AH82" s="358"/>
      <c r="AI82" s="358"/>
      <c r="AJ82" s="358"/>
      <c r="AK82" s="358"/>
      <c r="AL82" s="358"/>
      <c r="AM82" s="358"/>
      <c r="AN82" s="358"/>
      <c r="AO82" s="358"/>
      <c r="AP82" s="358"/>
      <c r="AQ82" s="358"/>
      <c r="AR82" s="358"/>
      <c r="AS82" s="358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5"/>
      <c r="BG82" s="305"/>
      <c r="BH82" s="305"/>
      <c r="BI82" s="305"/>
      <c r="BJ82" s="305"/>
      <c r="BK82" s="305"/>
      <c r="BL82" s="305"/>
      <c r="BM82" s="305"/>
      <c r="BN82" s="305"/>
      <c r="BO82" s="305"/>
      <c r="BP82" s="305"/>
      <c r="BQ82" s="305"/>
      <c r="BR82" s="305"/>
      <c r="BS82" s="305"/>
      <c r="BT82" s="305"/>
      <c r="BU82" s="305"/>
      <c r="BV82" s="305"/>
      <c r="BW82" s="305"/>
      <c r="BX82" s="305"/>
      <c r="BY82" s="305"/>
      <c r="BZ82" s="305"/>
      <c r="CA82" s="305"/>
      <c r="CB82" s="305"/>
      <c r="CC82" s="305"/>
      <c r="CD82" s="305"/>
      <c r="CE82" s="305"/>
      <c r="CF82" s="305"/>
      <c r="CG82" s="305"/>
      <c r="CH82" s="305"/>
      <c r="CI82" s="305"/>
      <c r="CJ82" s="305"/>
      <c r="CK82" s="305"/>
      <c r="CL82" s="305"/>
      <c r="CM82" s="305"/>
      <c r="CN82" s="305"/>
      <c r="CO82" s="305"/>
      <c r="CP82" s="305"/>
      <c r="CQ82" s="305"/>
      <c r="CR82" s="305"/>
      <c r="CS82" s="305"/>
      <c r="CT82" s="305"/>
      <c r="CU82" s="305"/>
      <c r="CV82" s="305"/>
      <c r="CW82" s="305"/>
      <c r="CX82" s="305"/>
      <c r="CY82" s="305"/>
      <c r="CZ82" s="305"/>
      <c r="DA82" s="305"/>
      <c r="DB82" s="305"/>
      <c r="DC82" s="305"/>
      <c r="DD82" s="305"/>
      <c r="DE82" s="305"/>
      <c r="DF82" s="305"/>
      <c r="DG82" s="305"/>
      <c r="DH82" s="305"/>
      <c r="DI82" s="305"/>
      <c r="DJ82" s="305"/>
      <c r="DK82" s="305"/>
      <c r="DL82" s="305"/>
      <c r="DM82" s="305"/>
      <c r="DN82" s="305"/>
      <c r="DO82" s="305"/>
      <c r="DP82" s="305"/>
      <c r="DQ82" s="305"/>
      <c r="DR82" s="305"/>
      <c r="DS82" s="305"/>
      <c r="DT82" s="305"/>
      <c r="DU82" s="305"/>
      <c r="DV82" s="305"/>
      <c r="DW82" s="305"/>
      <c r="DX82" s="305"/>
      <c r="DY82" s="305"/>
      <c r="DZ82" s="305"/>
      <c r="EA82" s="305"/>
      <c r="EB82" s="305"/>
      <c r="EC82" s="305"/>
      <c r="ED82" s="305"/>
      <c r="EE82" s="305"/>
      <c r="EF82" s="305"/>
      <c r="EG82" s="305"/>
      <c r="EH82" s="305"/>
      <c r="EI82" s="305"/>
      <c r="EJ82" s="305"/>
      <c r="EK82" s="305"/>
      <c r="EL82" s="305"/>
      <c r="EM82" s="305"/>
      <c r="EN82" s="305"/>
      <c r="EO82" s="305"/>
      <c r="EP82" s="305"/>
      <c r="EQ82" s="305"/>
      <c r="ER82" s="305"/>
      <c r="ES82" s="305"/>
      <c r="ET82" s="305"/>
      <c r="EU82" s="305"/>
      <c r="EV82" s="305"/>
      <c r="EW82" s="305"/>
      <c r="EX82" s="305"/>
      <c r="EY82" s="305"/>
      <c r="EZ82" s="305"/>
      <c r="FA82" s="305"/>
      <c r="FB82" s="305"/>
      <c r="FC82" s="305"/>
      <c r="FD82" s="305"/>
      <c r="FE82" s="305"/>
      <c r="FF82" s="305"/>
      <c r="FG82" s="305"/>
      <c r="FH82" s="305"/>
      <c r="FI82" s="305"/>
      <c r="FJ82" s="305"/>
      <c r="FK82" s="305"/>
      <c r="FL82" s="305"/>
      <c r="FM82" s="305"/>
      <c r="FN82" s="305"/>
      <c r="FO82" s="305"/>
      <c r="FP82" s="305"/>
      <c r="FQ82" s="305"/>
      <c r="FR82" s="305"/>
      <c r="FS82" s="305"/>
      <c r="FT82" s="305"/>
      <c r="FU82" s="305"/>
      <c r="FV82" s="305"/>
      <c r="FW82" s="305"/>
      <c r="FX82" s="305"/>
      <c r="FY82" s="305"/>
      <c r="FZ82" s="305"/>
      <c r="GA82" s="305"/>
      <c r="GB82" s="305"/>
      <c r="GC82" s="305"/>
      <c r="GD82" s="305"/>
      <c r="GE82" s="305"/>
      <c r="GF82" s="305"/>
      <c r="GG82" s="305"/>
      <c r="GH82" s="305"/>
      <c r="GI82" s="305"/>
      <c r="GJ82" s="305"/>
      <c r="GK82" s="305"/>
      <c r="GL82" s="305"/>
      <c r="GM82" s="305"/>
      <c r="GN82" s="305"/>
      <c r="GO82" s="305"/>
      <c r="GP82" s="305"/>
      <c r="GQ82" s="305"/>
      <c r="GR82" s="305"/>
      <c r="GS82" s="305"/>
      <c r="GT82" s="305"/>
      <c r="GU82" s="305"/>
      <c r="GV82" s="305"/>
      <c r="GW82" s="305"/>
      <c r="GX82" s="305"/>
      <c r="GY82" s="305"/>
      <c r="GZ82" s="305"/>
      <c r="HA82" s="305"/>
      <c r="HB82" s="305"/>
      <c r="HC82" s="305"/>
      <c r="HD82" s="305"/>
      <c r="HE82" s="305"/>
      <c r="HF82" s="305"/>
      <c r="HG82" s="305"/>
      <c r="HH82" s="305"/>
      <c r="HI82" s="305"/>
      <c r="HJ82" s="305"/>
      <c r="HK82" s="305"/>
      <c r="HL82" s="305"/>
      <c r="HM82" s="305"/>
      <c r="HN82" s="305"/>
      <c r="HO82" s="305"/>
      <c r="HP82" s="305"/>
      <c r="HQ82" s="305"/>
      <c r="HR82" s="305"/>
      <c r="HS82" s="305"/>
      <c r="HT82" s="305"/>
      <c r="HU82" s="305"/>
      <c r="HV82" s="305"/>
      <c r="HW82" s="305"/>
      <c r="HX82" s="305"/>
      <c r="HY82" s="305"/>
      <c r="HZ82" s="305"/>
      <c r="IA82" s="305"/>
      <c r="IB82" s="305"/>
      <c r="IC82" s="305"/>
      <c r="ID82" s="305"/>
      <c r="IE82" s="305"/>
      <c r="IF82" s="305"/>
      <c r="IG82" s="305"/>
      <c r="IH82" s="305"/>
      <c r="II82" s="305"/>
      <c r="IJ82" s="305"/>
      <c r="IK82" s="305"/>
      <c r="IL82" s="305"/>
      <c r="IM82" s="305"/>
      <c r="IN82" s="305"/>
      <c r="IO82" s="305"/>
      <c r="IP82" s="305"/>
      <c r="IQ82" s="305"/>
      <c r="IR82" s="305"/>
      <c r="IS82" s="305"/>
      <c r="IT82" s="305"/>
      <c r="IU82" s="305"/>
      <c r="IV82" s="305"/>
      <c r="IW82" s="305"/>
    </row>
    <row r="83" customFormat="false" ht="12.75" hidden="false" customHeight="false" outlineLevel="0" collapsed="false">
      <c r="A83" s="301"/>
      <c r="B83" s="351"/>
      <c r="C83" s="351"/>
      <c r="D83" s="35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5"/>
      <c r="Y83" s="355"/>
      <c r="Z83" s="355"/>
      <c r="AA83" s="355"/>
      <c r="AB83" s="355"/>
      <c r="AC83" s="351"/>
      <c r="AD83" s="351"/>
      <c r="AE83" s="358"/>
      <c r="AF83" s="358"/>
      <c r="AG83" s="358"/>
      <c r="AH83" s="358"/>
      <c r="AI83" s="358"/>
      <c r="AJ83" s="358"/>
      <c r="AK83" s="358"/>
      <c r="AL83" s="358"/>
      <c r="AM83" s="358"/>
      <c r="AN83" s="358"/>
      <c r="AO83" s="358"/>
      <c r="AP83" s="358"/>
      <c r="AQ83" s="358"/>
      <c r="AR83" s="358"/>
      <c r="AS83" s="358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5"/>
      <c r="BG83" s="305"/>
      <c r="BH83" s="305"/>
      <c r="BI83" s="305"/>
      <c r="BJ83" s="305"/>
      <c r="BK83" s="305"/>
      <c r="BL83" s="305"/>
      <c r="BM83" s="305"/>
      <c r="BN83" s="305"/>
      <c r="BO83" s="305"/>
      <c r="BP83" s="305"/>
      <c r="BQ83" s="305"/>
      <c r="BR83" s="305"/>
      <c r="BS83" s="305"/>
      <c r="BT83" s="305"/>
      <c r="BU83" s="305"/>
      <c r="BV83" s="305"/>
      <c r="BW83" s="305"/>
      <c r="BX83" s="305"/>
      <c r="BY83" s="305"/>
      <c r="BZ83" s="305"/>
      <c r="CA83" s="305"/>
      <c r="CB83" s="305"/>
      <c r="CC83" s="305"/>
      <c r="CD83" s="305"/>
      <c r="CE83" s="305"/>
      <c r="CF83" s="305"/>
      <c r="CG83" s="305"/>
      <c r="CH83" s="305"/>
      <c r="CI83" s="305"/>
      <c r="CJ83" s="305"/>
      <c r="CK83" s="305"/>
      <c r="CL83" s="305"/>
      <c r="CM83" s="305"/>
      <c r="CN83" s="305"/>
      <c r="CO83" s="305"/>
      <c r="CP83" s="305"/>
      <c r="CQ83" s="305"/>
      <c r="CR83" s="305"/>
      <c r="CS83" s="305"/>
      <c r="CT83" s="305"/>
      <c r="CU83" s="305"/>
      <c r="CV83" s="305"/>
      <c r="CW83" s="305"/>
      <c r="CX83" s="305"/>
      <c r="CY83" s="305"/>
      <c r="CZ83" s="305"/>
      <c r="DA83" s="305"/>
      <c r="DB83" s="305"/>
      <c r="DC83" s="305"/>
      <c r="DD83" s="305"/>
      <c r="DE83" s="305"/>
      <c r="DF83" s="305"/>
      <c r="DG83" s="305"/>
      <c r="DH83" s="305"/>
      <c r="DI83" s="305"/>
      <c r="DJ83" s="305"/>
      <c r="DK83" s="305"/>
      <c r="DL83" s="305"/>
      <c r="DM83" s="305"/>
      <c r="DN83" s="305"/>
      <c r="DO83" s="305"/>
      <c r="DP83" s="305"/>
      <c r="DQ83" s="305"/>
      <c r="DR83" s="305"/>
      <c r="DS83" s="305"/>
      <c r="DT83" s="305"/>
      <c r="DU83" s="305"/>
      <c r="DV83" s="305"/>
      <c r="DW83" s="305"/>
      <c r="DX83" s="305"/>
      <c r="DY83" s="305"/>
      <c r="DZ83" s="305"/>
      <c r="EA83" s="305"/>
      <c r="EB83" s="305"/>
      <c r="EC83" s="305"/>
      <c r="ED83" s="305"/>
      <c r="EE83" s="305"/>
      <c r="EF83" s="305"/>
      <c r="EG83" s="305"/>
      <c r="EH83" s="305"/>
      <c r="EI83" s="305"/>
      <c r="EJ83" s="305"/>
      <c r="EK83" s="305"/>
      <c r="EL83" s="305"/>
      <c r="EM83" s="305"/>
      <c r="EN83" s="305"/>
      <c r="EO83" s="305"/>
      <c r="EP83" s="305"/>
      <c r="EQ83" s="305"/>
      <c r="ER83" s="305"/>
      <c r="ES83" s="305"/>
      <c r="ET83" s="305"/>
      <c r="EU83" s="305"/>
      <c r="EV83" s="305"/>
      <c r="EW83" s="305"/>
      <c r="EX83" s="305"/>
      <c r="EY83" s="305"/>
      <c r="EZ83" s="305"/>
      <c r="FA83" s="305"/>
      <c r="FB83" s="305"/>
      <c r="FC83" s="305"/>
      <c r="FD83" s="305"/>
      <c r="FE83" s="305"/>
      <c r="FF83" s="305"/>
      <c r="FG83" s="305"/>
      <c r="FH83" s="305"/>
      <c r="FI83" s="305"/>
      <c r="FJ83" s="305"/>
      <c r="FK83" s="305"/>
      <c r="FL83" s="305"/>
      <c r="FM83" s="305"/>
      <c r="FN83" s="305"/>
      <c r="FO83" s="305"/>
      <c r="FP83" s="305"/>
      <c r="FQ83" s="305"/>
      <c r="FR83" s="305"/>
      <c r="FS83" s="305"/>
      <c r="FT83" s="305"/>
      <c r="FU83" s="305"/>
      <c r="FV83" s="305"/>
      <c r="FW83" s="305"/>
      <c r="FX83" s="305"/>
      <c r="FY83" s="305"/>
      <c r="FZ83" s="305"/>
      <c r="GA83" s="305"/>
      <c r="GB83" s="305"/>
      <c r="GC83" s="305"/>
      <c r="GD83" s="305"/>
      <c r="GE83" s="305"/>
      <c r="GF83" s="305"/>
      <c r="GG83" s="305"/>
      <c r="GH83" s="305"/>
      <c r="GI83" s="305"/>
      <c r="GJ83" s="305"/>
      <c r="GK83" s="305"/>
      <c r="GL83" s="305"/>
      <c r="GM83" s="305"/>
      <c r="GN83" s="305"/>
      <c r="GO83" s="305"/>
      <c r="GP83" s="305"/>
      <c r="GQ83" s="305"/>
      <c r="GR83" s="305"/>
      <c r="GS83" s="305"/>
      <c r="GT83" s="305"/>
      <c r="GU83" s="305"/>
      <c r="GV83" s="305"/>
      <c r="GW83" s="305"/>
      <c r="GX83" s="305"/>
      <c r="GY83" s="305"/>
      <c r="GZ83" s="305"/>
      <c r="HA83" s="305"/>
      <c r="HB83" s="305"/>
      <c r="HC83" s="305"/>
      <c r="HD83" s="305"/>
      <c r="HE83" s="305"/>
      <c r="HF83" s="305"/>
      <c r="HG83" s="305"/>
      <c r="HH83" s="305"/>
      <c r="HI83" s="305"/>
      <c r="HJ83" s="305"/>
      <c r="HK83" s="305"/>
      <c r="HL83" s="305"/>
      <c r="HM83" s="305"/>
      <c r="HN83" s="305"/>
      <c r="HO83" s="305"/>
      <c r="HP83" s="305"/>
      <c r="HQ83" s="305"/>
      <c r="HR83" s="305"/>
      <c r="HS83" s="305"/>
      <c r="HT83" s="305"/>
      <c r="HU83" s="305"/>
      <c r="HV83" s="305"/>
      <c r="HW83" s="305"/>
      <c r="HX83" s="305"/>
      <c r="HY83" s="305"/>
      <c r="HZ83" s="305"/>
      <c r="IA83" s="305"/>
      <c r="IB83" s="305"/>
      <c r="IC83" s="305"/>
      <c r="ID83" s="305"/>
      <c r="IE83" s="305"/>
      <c r="IF83" s="305"/>
      <c r="IG83" s="305"/>
      <c r="IH83" s="305"/>
      <c r="II83" s="305"/>
      <c r="IJ83" s="305"/>
      <c r="IK83" s="305"/>
      <c r="IL83" s="305"/>
      <c r="IM83" s="305"/>
      <c r="IN83" s="305"/>
      <c r="IO83" s="305"/>
      <c r="IP83" s="305"/>
      <c r="IQ83" s="305"/>
      <c r="IR83" s="305"/>
      <c r="IS83" s="305"/>
      <c r="IT83" s="305"/>
      <c r="IU83" s="305"/>
      <c r="IV83" s="305"/>
      <c r="IW83" s="305"/>
    </row>
    <row r="84" customFormat="false" ht="12.75" hidden="false" customHeight="false" outlineLevel="0" collapsed="false">
      <c r="A84" s="24" t="s">
        <v>181</v>
      </c>
      <c r="B84" s="172" t="n">
        <f aca="false">B33</f>
        <v>12883.1134957901</v>
      </c>
      <c r="C84" s="172" t="n">
        <f aca="false">C33</f>
        <v>14657.4334139822</v>
      </c>
      <c r="D84" s="172" t="n">
        <f aca="false">D33</f>
        <v>16606.4662172896</v>
      </c>
      <c r="E84" s="172" t="n">
        <f aca="false">E33</f>
        <v>18680.6077954101</v>
      </c>
      <c r="F84" s="172" t="n">
        <f aca="false">F33</f>
        <v>20993.2002394457</v>
      </c>
      <c r="G84" s="172" t="n">
        <f aca="false">G33</f>
        <v>22020.2514422419</v>
      </c>
      <c r="H84" s="172" t="n">
        <f aca="false">H33</f>
        <v>23021.5340069029</v>
      </c>
      <c r="I84" s="172" t="n">
        <f aca="false">I33</f>
        <v>24088.1462094497</v>
      </c>
      <c r="J84" s="172" t="n">
        <f aca="false">J33</f>
        <v>25342.1499855821</v>
      </c>
      <c r="K84" s="172" t="n">
        <f aca="false">K33</f>
        <v>26690.8124231852</v>
      </c>
      <c r="L84" s="172" t="n">
        <f aca="false">L33</f>
        <v>27526.6377127743</v>
      </c>
      <c r="M84" s="172" t="n">
        <f aca="false">M33</f>
        <v>28545.5941276593</v>
      </c>
      <c r="N84" s="172" t="n">
        <f aca="false">N33</f>
        <v>29651.1024691993</v>
      </c>
      <c r="O84" s="172" t="n">
        <f aca="false">O33</f>
        <v>30787.70465471</v>
      </c>
      <c r="P84" s="172" t="n">
        <f aca="false">P33</f>
        <v>31982.9420486742</v>
      </c>
      <c r="Q84" s="172" t="n">
        <f aca="false">Q33</f>
        <v>33340.5338617211</v>
      </c>
      <c r="R84" s="172" t="n">
        <f aca="false">R33</f>
        <v>34803.9229743403</v>
      </c>
      <c r="S84" s="172" t="n">
        <f aca="false">S33</f>
        <v>36339.3723495218</v>
      </c>
      <c r="T84" s="172" t="n">
        <f aca="false">T33</f>
        <v>37970.1842663265</v>
      </c>
      <c r="U84" s="172" t="n">
        <f aca="false">U33</f>
        <v>39704.4088946745</v>
      </c>
      <c r="W84" s="335" t="n">
        <f aca="false">SUM(B84:U84)</f>
        <v>535636.118588881</v>
      </c>
      <c r="X84" s="355"/>
      <c r="Y84" s="355"/>
      <c r="Z84" s="355"/>
      <c r="AA84" s="355"/>
      <c r="AB84" s="355"/>
      <c r="AC84" s="351"/>
      <c r="AD84" s="351"/>
      <c r="AE84" s="358"/>
      <c r="AF84" s="358"/>
      <c r="AG84" s="358"/>
      <c r="AH84" s="358"/>
      <c r="AI84" s="358"/>
      <c r="AJ84" s="358"/>
      <c r="AK84" s="358"/>
      <c r="AL84" s="358"/>
      <c r="AM84" s="358"/>
      <c r="AN84" s="358"/>
      <c r="AO84" s="358"/>
      <c r="AP84" s="358"/>
      <c r="AQ84" s="358"/>
      <c r="AR84" s="358"/>
      <c r="AS84" s="358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5"/>
      <c r="BG84" s="305"/>
      <c r="BH84" s="305"/>
      <c r="BI84" s="305"/>
      <c r="BJ84" s="305"/>
      <c r="BK84" s="305"/>
      <c r="BL84" s="305"/>
      <c r="BM84" s="305"/>
      <c r="BN84" s="305"/>
      <c r="BO84" s="305"/>
      <c r="BP84" s="305"/>
      <c r="BQ84" s="305"/>
      <c r="BR84" s="305"/>
      <c r="BS84" s="305"/>
      <c r="BT84" s="305"/>
      <c r="BU84" s="305"/>
      <c r="BV84" s="305"/>
      <c r="BW84" s="305"/>
      <c r="BX84" s="305"/>
      <c r="BY84" s="305"/>
      <c r="BZ84" s="305"/>
      <c r="CA84" s="305"/>
      <c r="CB84" s="305"/>
      <c r="CC84" s="305"/>
      <c r="CD84" s="305"/>
      <c r="CE84" s="305"/>
      <c r="CF84" s="305"/>
      <c r="CG84" s="305"/>
      <c r="CH84" s="305"/>
      <c r="CI84" s="305"/>
      <c r="CJ84" s="305"/>
      <c r="CK84" s="305"/>
      <c r="CL84" s="305"/>
      <c r="CM84" s="305"/>
      <c r="CN84" s="305"/>
      <c r="CO84" s="305"/>
      <c r="CP84" s="305"/>
      <c r="CQ84" s="305"/>
      <c r="CR84" s="305"/>
      <c r="CS84" s="305"/>
      <c r="CT84" s="305"/>
      <c r="CU84" s="305"/>
      <c r="CV84" s="305"/>
      <c r="CW84" s="305"/>
      <c r="CX84" s="305"/>
      <c r="CY84" s="305"/>
      <c r="CZ84" s="305"/>
      <c r="DA84" s="305"/>
      <c r="DB84" s="305"/>
      <c r="DC84" s="305"/>
      <c r="DD84" s="305"/>
      <c r="DE84" s="305"/>
      <c r="DF84" s="305"/>
      <c r="DG84" s="305"/>
      <c r="DH84" s="305"/>
      <c r="DI84" s="305"/>
      <c r="DJ84" s="305"/>
      <c r="DK84" s="305"/>
      <c r="DL84" s="305"/>
      <c r="DM84" s="305"/>
      <c r="DN84" s="305"/>
      <c r="DO84" s="305"/>
      <c r="DP84" s="305"/>
      <c r="DQ84" s="305"/>
      <c r="DR84" s="305"/>
      <c r="DS84" s="305"/>
      <c r="DT84" s="305"/>
      <c r="DU84" s="305"/>
      <c r="DV84" s="305"/>
      <c r="DW84" s="305"/>
      <c r="DX84" s="305"/>
      <c r="DY84" s="305"/>
      <c r="DZ84" s="305"/>
      <c r="EA84" s="305"/>
      <c r="EB84" s="305"/>
      <c r="EC84" s="305"/>
      <c r="ED84" s="305"/>
      <c r="EE84" s="305"/>
      <c r="EF84" s="305"/>
      <c r="EG84" s="305"/>
      <c r="EH84" s="305"/>
      <c r="EI84" s="305"/>
      <c r="EJ84" s="305"/>
      <c r="EK84" s="305"/>
      <c r="EL84" s="305"/>
      <c r="EM84" s="305"/>
      <c r="EN84" s="305"/>
      <c r="EO84" s="305"/>
      <c r="EP84" s="305"/>
      <c r="EQ84" s="305"/>
      <c r="ER84" s="305"/>
      <c r="ES84" s="305"/>
      <c r="ET84" s="305"/>
      <c r="EU84" s="305"/>
      <c r="EV84" s="305"/>
      <c r="EW84" s="305"/>
      <c r="EX84" s="305"/>
      <c r="EY84" s="305"/>
      <c r="EZ84" s="305"/>
      <c r="FA84" s="305"/>
      <c r="FB84" s="305"/>
      <c r="FC84" s="305"/>
      <c r="FD84" s="305"/>
      <c r="FE84" s="305"/>
      <c r="FF84" s="305"/>
      <c r="FG84" s="305"/>
      <c r="FH84" s="305"/>
      <c r="FI84" s="305"/>
      <c r="FJ84" s="305"/>
      <c r="FK84" s="305"/>
      <c r="FL84" s="305"/>
      <c r="FM84" s="305"/>
      <c r="FN84" s="305"/>
      <c r="FO84" s="305"/>
      <c r="FP84" s="305"/>
      <c r="FQ84" s="305"/>
      <c r="FR84" s="305"/>
      <c r="FS84" s="305"/>
      <c r="FT84" s="305"/>
      <c r="FU84" s="305"/>
      <c r="FV84" s="305"/>
      <c r="FW84" s="305"/>
      <c r="FX84" s="305"/>
      <c r="FY84" s="305"/>
      <c r="FZ84" s="305"/>
      <c r="GA84" s="305"/>
      <c r="GB84" s="305"/>
      <c r="GC84" s="305"/>
      <c r="GD84" s="305"/>
      <c r="GE84" s="305"/>
      <c r="GF84" s="305"/>
      <c r="GG84" s="305"/>
      <c r="GH84" s="305"/>
      <c r="GI84" s="305"/>
      <c r="GJ84" s="305"/>
      <c r="GK84" s="305"/>
      <c r="GL84" s="305"/>
      <c r="GM84" s="305"/>
      <c r="GN84" s="305"/>
      <c r="GO84" s="305"/>
      <c r="GP84" s="305"/>
      <c r="GQ84" s="305"/>
      <c r="GR84" s="305"/>
      <c r="GS84" s="305"/>
      <c r="GT84" s="305"/>
      <c r="GU84" s="305"/>
      <c r="GV84" s="305"/>
      <c r="GW84" s="305"/>
      <c r="GX84" s="305"/>
      <c r="GY84" s="305"/>
      <c r="GZ84" s="305"/>
      <c r="HA84" s="305"/>
      <c r="HB84" s="305"/>
      <c r="HC84" s="305"/>
      <c r="HD84" s="305"/>
      <c r="HE84" s="305"/>
      <c r="HF84" s="305"/>
      <c r="HG84" s="305"/>
      <c r="HH84" s="305"/>
      <c r="HI84" s="305"/>
      <c r="HJ84" s="305"/>
      <c r="HK84" s="305"/>
      <c r="HL84" s="305"/>
      <c r="HM84" s="305"/>
      <c r="HN84" s="305"/>
      <c r="HO84" s="305"/>
      <c r="HP84" s="305"/>
      <c r="HQ84" s="305"/>
      <c r="HR84" s="305"/>
      <c r="HS84" s="305"/>
      <c r="HT84" s="305"/>
      <c r="HU84" s="305"/>
      <c r="HV84" s="305"/>
      <c r="HW84" s="305"/>
      <c r="HX84" s="305"/>
      <c r="HY84" s="305"/>
      <c r="HZ84" s="305"/>
      <c r="IA84" s="305"/>
      <c r="IB84" s="305"/>
      <c r="IC84" s="305"/>
      <c r="ID84" s="305"/>
      <c r="IE84" s="305"/>
      <c r="IF84" s="305"/>
      <c r="IG84" s="305"/>
      <c r="IH84" s="305"/>
      <c r="II84" s="305"/>
      <c r="IJ84" s="305"/>
      <c r="IK84" s="305"/>
      <c r="IL84" s="305"/>
      <c r="IM84" s="305"/>
      <c r="IN84" s="305"/>
      <c r="IO84" s="305"/>
      <c r="IP84" s="305"/>
      <c r="IQ84" s="305"/>
      <c r="IR84" s="305"/>
      <c r="IS84" s="305"/>
      <c r="IT84" s="305"/>
      <c r="IU84" s="305"/>
      <c r="IV84" s="305"/>
      <c r="IW84" s="305"/>
    </row>
    <row r="85" customFormat="false" ht="12.75" hidden="false" customHeight="false" outlineLevel="0" collapsed="false">
      <c r="A85" s="24" t="s">
        <v>182</v>
      </c>
      <c r="B85" s="172" t="n">
        <f aca="false">B27</f>
        <v>6399.22263913304</v>
      </c>
      <c r="C85" s="172" t="n">
        <f aca="false">C27</f>
        <v>6399.22263913304</v>
      </c>
      <c r="D85" s="172" t="n">
        <f aca="false">D27</f>
        <v>6399.22263913304</v>
      </c>
      <c r="E85" s="172" t="n">
        <f aca="false">E27</f>
        <v>6399.22263913304</v>
      </c>
      <c r="F85" s="172" t="n">
        <f aca="false">F27</f>
        <v>6399.22263913304</v>
      </c>
      <c r="G85" s="172" t="n">
        <f aca="false">G27</f>
        <v>6399.22263913304</v>
      </c>
      <c r="H85" s="172" t="n">
        <f aca="false">H27</f>
        <v>6399.22263913304</v>
      </c>
      <c r="I85" s="172" t="n">
        <f aca="false">I27</f>
        <v>6399.22263913304</v>
      </c>
      <c r="J85" s="172" t="n">
        <f aca="false">J27</f>
        <v>6399.22263913304</v>
      </c>
      <c r="K85" s="172" t="n">
        <f aca="false">K27</f>
        <v>6399.22263913304</v>
      </c>
      <c r="L85" s="172" t="n">
        <f aca="false">L27</f>
        <v>6399.22263913304</v>
      </c>
      <c r="M85" s="172" t="n">
        <f aca="false">M27</f>
        <v>6399.22263913304</v>
      </c>
      <c r="N85" s="172" t="n">
        <f aca="false">N27</f>
        <v>6399.22263913304</v>
      </c>
      <c r="O85" s="172" t="n">
        <f aca="false">O27</f>
        <v>6399.22263913304</v>
      </c>
      <c r="P85" s="172" t="n">
        <f aca="false">P27</f>
        <v>6399.22263913304</v>
      </c>
      <c r="Q85" s="172" t="n">
        <f aca="false">Q27</f>
        <v>6399.22263913304</v>
      </c>
      <c r="R85" s="172" t="n">
        <f aca="false">R27</f>
        <v>6399.22263913304</v>
      </c>
      <c r="S85" s="172" t="n">
        <f aca="false">S27</f>
        <v>6399.22263913304</v>
      </c>
      <c r="T85" s="172" t="n">
        <f aca="false">T27</f>
        <v>6399.22263913304</v>
      </c>
      <c r="U85" s="172" t="n">
        <f aca="false">U27</f>
        <v>6399.22263913304</v>
      </c>
      <c r="W85" s="335" t="n">
        <f aca="false">SUM(B85:U85)</f>
        <v>127984.452782661</v>
      </c>
      <c r="X85" s="359" t="n">
        <f aca="false">MAX(X83,X78)</f>
        <v>0</v>
      </c>
      <c r="Y85" s="359" t="n">
        <f aca="false">MAX(Y83,Y78)</f>
        <v>0</v>
      </c>
      <c r="Z85" s="359" t="n">
        <f aca="false">MAX(Z83,Z78)</f>
        <v>0</v>
      </c>
      <c r="AA85" s="359" t="n">
        <f aca="false">MAX(AA83,AA78)</f>
        <v>0</v>
      </c>
      <c r="AB85" s="359" t="n">
        <f aca="false">MAX(AB83,AB78)</f>
        <v>0</v>
      </c>
      <c r="AC85" s="359" t="n">
        <f aca="false">MAX(AC83,AC78)</f>
        <v>0</v>
      </c>
      <c r="AD85" s="359" t="n">
        <f aca="false">MAX(AD83,AD78)</f>
        <v>0</v>
      </c>
      <c r="AE85" s="359" t="n">
        <f aca="false">MAX(AE83,AE78)</f>
        <v>0</v>
      </c>
      <c r="AF85" s="359" t="n">
        <f aca="false">MAX(AF83,AF78)</f>
        <v>0</v>
      </c>
      <c r="AG85" s="359" t="n">
        <f aca="false">MAX(AG83,AG78)</f>
        <v>0</v>
      </c>
      <c r="AH85" s="359" t="n">
        <f aca="false">MAX(AH83,AH78)</f>
        <v>0</v>
      </c>
      <c r="AI85" s="359" t="n">
        <f aca="false">MAX(AI83,AI78)</f>
        <v>0</v>
      </c>
      <c r="AJ85" s="359" t="n">
        <f aca="false">MAX(AJ83,AJ78)</f>
        <v>0</v>
      </c>
      <c r="AK85" s="359" t="n">
        <f aca="false">MAX(AK83,AK78)</f>
        <v>0</v>
      </c>
      <c r="AL85" s="359" t="n">
        <f aca="false">MAX(AL83,AL78)</f>
        <v>0</v>
      </c>
      <c r="AM85" s="359" t="n">
        <f aca="false">MAX(AM83,AM78)</f>
        <v>0</v>
      </c>
      <c r="AN85" s="359" t="n">
        <f aca="false">MAX(AN83,AN78)</f>
        <v>0</v>
      </c>
      <c r="AO85" s="359" t="n">
        <f aca="false">MAX(AO83,AO78)</f>
        <v>0</v>
      </c>
      <c r="AP85" s="359" t="n">
        <f aca="false">MAX(AP83,AP78)</f>
        <v>0</v>
      </c>
      <c r="AQ85" s="359" t="n">
        <f aca="false">MAX(AQ83,AQ78)</f>
        <v>0</v>
      </c>
      <c r="AR85" s="358"/>
      <c r="AS85" s="358"/>
      <c r="AT85" s="305"/>
      <c r="AU85" s="305"/>
      <c r="AV85" s="305"/>
      <c r="AW85" s="305"/>
      <c r="AX85" s="305"/>
      <c r="AY85" s="305"/>
      <c r="AZ85" s="305"/>
      <c r="BA85" s="305"/>
      <c r="BB85" s="305"/>
      <c r="BC85" s="305"/>
      <c r="BD85" s="305"/>
      <c r="BE85" s="305"/>
      <c r="BF85" s="305"/>
      <c r="BG85" s="305"/>
      <c r="BH85" s="305"/>
      <c r="BI85" s="305"/>
      <c r="BJ85" s="305"/>
      <c r="BK85" s="305"/>
      <c r="BL85" s="305"/>
      <c r="BM85" s="305"/>
      <c r="BN85" s="305"/>
      <c r="BO85" s="305"/>
      <c r="BP85" s="305"/>
      <c r="BQ85" s="305"/>
      <c r="BR85" s="305"/>
      <c r="BS85" s="305"/>
      <c r="BT85" s="305"/>
      <c r="BU85" s="305"/>
      <c r="BV85" s="305"/>
      <c r="BW85" s="305"/>
      <c r="BX85" s="305"/>
      <c r="BY85" s="305"/>
      <c r="BZ85" s="305"/>
      <c r="CA85" s="305"/>
      <c r="CB85" s="305"/>
      <c r="CC85" s="305"/>
      <c r="CD85" s="305"/>
      <c r="CE85" s="305"/>
      <c r="CF85" s="305"/>
      <c r="CG85" s="305"/>
      <c r="CH85" s="305"/>
      <c r="CI85" s="305"/>
      <c r="CJ85" s="305"/>
      <c r="CK85" s="305"/>
      <c r="CL85" s="305"/>
      <c r="CM85" s="305"/>
      <c r="CN85" s="305"/>
      <c r="CO85" s="305"/>
      <c r="CP85" s="305"/>
      <c r="CQ85" s="305"/>
      <c r="CR85" s="305"/>
      <c r="CS85" s="305"/>
      <c r="CT85" s="305"/>
      <c r="CU85" s="305"/>
      <c r="CV85" s="305"/>
      <c r="CW85" s="305"/>
      <c r="CX85" s="305"/>
      <c r="CY85" s="305"/>
      <c r="CZ85" s="305"/>
      <c r="DA85" s="305"/>
      <c r="DB85" s="305"/>
      <c r="DC85" s="305"/>
      <c r="DD85" s="305"/>
      <c r="DE85" s="305"/>
      <c r="DF85" s="305"/>
      <c r="DG85" s="305"/>
      <c r="DH85" s="305"/>
      <c r="DI85" s="305"/>
      <c r="DJ85" s="305"/>
      <c r="DK85" s="305"/>
      <c r="DL85" s="305"/>
      <c r="DM85" s="305"/>
      <c r="DN85" s="305"/>
      <c r="DO85" s="305"/>
      <c r="DP85" s="305"/>
      <c r="DQ85" s="305"/>
      <c r="DR85" s="305"/>
      <c r="DS85" s="305"/>
      <c r="DT85" s="305"/>
      <c r="DU85" s="305"/>
      <c r="DV85" s="305"/>
      <c r="DW85" s="305"/>
      <c r="DX85" s="305"/>
      <c r="DY85" s="305"/>
      <c r="DZ85" s="305"/>
      <c r="EA85" s="305"/>
      <c r="EB85" s="305"/>
      <c r="EC85" s="305"/>
      <c r="ED85" s="305"/>
      <c r="EE85" s="305"/>
      <c r="EF85" s="305"/>
      <c r="EG85" s="305"/>
      <c r="EH85" s="305"/>
      <c r="EI85" s="305"/>
      <c r="EJ85" s="305"/>
      <c r="EK85" s="305"/>
      <c r="EL85" s="305"/>
      <c r="EM85" s="305"/>
      <c r="EN85" s="305"/>
      <c r="EO85" s="305"/>
      <c r="EP85" s="305"/>
      <c r="EQ85" s="305"/>
      <c r="ER85" s="305"/>
      <c r="ES85" s="305"/>
      <c r="ET85" s="305"/>
      <c r="EU85" s="305"/>
      <c r="EV85" s="305"/>
      <c r="EW85" s="305"/>
      <c r="EX85" s="305"/>
      <c r="EY85" s="305"/>
      <c r="EZ85" s="305"/>
      <c r="FA85" s="305"/>
      <c r="FB85" s="305"/>
      <c r="FC85" s="305"/>
      <c r="FD85" s="305"/>
      <c r="FE85" s="305"/>
      <c r="FF85" s="305"/>
      <c r="FG85" s="305"/>
      <c r="FH85" s="305"/>
      <c r="FI85" s="305"/>
      <c r="FJ85" s="305"/>
      <c r="FK85" s="305"/>
      <c r="FL85" s="305"/>
      <c r="FM85" s="305"/>
      <c r="FN85" s="305"/>
      <c r="FO85" s="305"/>
      <c r="FP85" s="305"/>
      <c r="FQ85" s="305"/>
      <c r="FR85" s="305"/>
      <c r="FS85" s="305"/>
      <c r="FT85" s="305"/>
      <c r="FU85" s="305"/>
      <c r="FV85" s="305"/>
      <c r="FW85" s="305"/>
      <c r="FX85" s="305"/>
      <c r="FY85" s="305"/>
      <c r="FZ85" s="305"/>
      <c r="GA85" s="305"/>
      <c r="GB85" s="305"/>
      <c r="GC85" s="305"/>
      <c r="GD85" s="305"/>
      <c r="GE85" s="305"/>
      <c r="GF85" s="305"/>
      <c r="GG85" s="305"/>
      <c r="GH85" s="305"/>
      <c r="GI85" s="305"/>
      <c r="GJ85" s="305"/>
      <c r="GK85" s="305"/>
      <c r="GL85" s="305"/>
      <c r="GM85" s="305"/>
      <c r="GN85" s="305"/>
      <c r="GO85" s="305"/>
      <c r="GP85" s="305"/>
      <c r="GQ85" s="305"/>
      <c r="GR85" s="305"/>
      <c r="GS85" s="305"/>
      <c r="GT85" s="305"/>
      <c r="GU85" s="305"/>
      <c r="GV85" s="305"/>
      <c r="GW85" s="305"/>
      <c r="GX85" s="305"/>
      <c r="GY85" s="305"/>
      <c r="GZ85" s="305"/>
      <c r="HA85" s="305"/>
      <c r="HB85" s="305"/>
      <c r="HC85" s="305"/>
      <c r="HD85" s="305"/>
      <c r="HE85" s="305"/>
      <c r="HF85" s="305"/>
      <c r="HG85" s="305"/>
      <c r="HH85" s="305"/>
      <c r="HI85" s="305"/>
      <c r="HJ85" s="305"/>
      <c r="HK85" s="305"/>
      <c r="HL85" s="305"/>
      <c r="HM85" s="305"/>
      <c r="HN85" s="305"/>
      <c r="HO85" s="305"/>
      <c r="HP85" s="305"/>
      <c r="HQ85" s="305"/>
      <c r="HR85" s="305"/>
      <c r="HS85" s="305"/>
      <c r="HT85" s="305"/>
      <c r="HU85" s="305"/>
      <c r="HV85" s="305"/>
      <c r="HW85" s="305"/>
      <c r="HX85" s="305"/>
      <c r="HY85" s="305"/>
      <c r="HZ85" s="305"/>
      <c r="IA85" s="305"/>
      <c r="IB85" s="305"/>
      <c r="IC85" s="305"/>
      <c r="ID85" s="305"/>
      <c r="IE85" s="305"/>
      <c r="IF85" s="305"/>
      <c r="IG85" s="305"/>
      <c r="IH85" s="305"/>
      <c r="II85" s="305"/>
      <c r="IJ85" s="305"/>
      <c r="IK85" s="305"/>
      <c r="IL85" s="305"/>
      <c r="IM85" s="305"/>
      <c r="IN85" s="305"/>
      <c r="IO85" s="305"/>
      <c r="IP85" s="305"/>
      <c r="IQ85" s="305"/>
      <c r="IR85" s="305"/>
      <c r="IS85" s="305"/>
      <c r="IT85" s="305"/>
      <c r="IU85" s="305"/>
      <c r="IV85" s="305"/>
      <c r="IW85" s="305"/>
    </row>
    <row r="86" customFormat="false" ht="15" hidden="false" customHeight="false" outlineLevel="0" collapsed="false">
      <c r="A86" s="24" t="s">
        <v>211</v>
      </c>
      <c r="B86" s="197" t="n">
        <f aca="false">-Depreciation!C51</f>
        <v>-10665.3710652217</v>
      </c>
      <c r="C86" s="197" t="n">
        <f aca="false">-Depreciation!D51</f>
        <v>-20264.2050239213</v>
      </c>
      <c r="D86" s="197" t="n">
        <f aca="false">-Depreciation!E51</f>
        <v>-18237.7845215292</v>
      </c>
      <c r="E86" s="197" t="n">
        <f aca="false">-Depreciation!F51</f>
        <v>-16424.6714404415</v>
      </c>
      <c r="F86" s="197" t="n">
        <f aca="false">-Depreciation!G51</f>
        <v>-14782.2042963973</v>
      </c>
      <c r="G86" s="197" t="n">
        <f aca="false">-Depreciation!H51</f>
        <v>-13289.0523472663</v>
      </c>
      <c r="H86" s="197" t="n">
        <f aca="false">-Depreciation!I51</f>
        <v>-12585.1378569616</v>
      </c>
      <c r="I86" s="197" t="n">
        <f aca="false">-Depreciation!J51</f>
        <v>-12606.4685990921</v>
      </c>
      <c r="J86" s="197" t="n">
        <f aca="false">-Depreciation!K51</f>
        <v>-12585.1378569616</v>
      </c>
      <c r="K86" s="197" t="n">
        <f aca="false">-Depreciation!L51</f>
        <v>-12606.4685990921</v>
      </c>
      <c r="L86" s="197" t="n">
        <f aca="false">-Depreciation!M51</f>
        <v>-12585.1378569616</v>
      </c>
      <c r="M86" s="197" t="n">
        <f aca="false">-Depreciation!N51</f>
        <v>-12606.4685990921</v>
      </c>
      <c r="N86" s="197" t="n">
        <f aca="false">-Depreciation!O51</f>
        <v>-12585.1378569616</v>
      </c>
      <c r="O86" s="197" t="n">
        <f aca="false">-Depreciation!P51</f>
        <v>-12606.4685990921</v>
      </c>
      <c r="P86" s="197" t="n">
        <f aca="false">-Depreciation!Q51</f>
        <v>-12585.1378569616</v>
      </c>
      <c r="Q86" s="197" t="n">
        <f aca="false">-Depreciation!R51</f>
        <v>-6292.56892848082</v>
      </c>
      <c r="R86" s="197" t="n">
        <f aca="false">-Depreciation!S51</f>
        <v>-0</v>
      </c>
      <c r="S86" s="197" t="n">
        <f aca="false">-Depreciation!T51</f>
        <v>-0</v>
      </c>
      <c r="T86" s="197" t="n">
        <f aca="false">-Depreciation!U51</f>
        <v>-0</v>
      </c>
      <c r="U86" s="197" t="n">
        <f aca="false">-Depreciation!V51</f>
        <v>-0</v>
      </c>
      <c r="W86" s="343" t="n">
        <f aca="false">SUM(B86:U86)</f>
        <v>-213307.421304434</v>
      </c>
      <c r="X86" s="355"/>
      <c r="Y86" s="355"/>
      <c r="Z86" s="355"/>
      <c r="AA86" s="355"/>
      <c r="AB86" s="355"/>
      <c r="AC86" s="351"/>
      <c r="AD86" s="351"/>
      <c r="AE86" s="358"/>
      <c r="AF86" s="358"/>
      <c r="AG86" s="358"/>
      <c r="AH86" s="358"/>
      <c r="AI86" s="358"/>
      <c r="AJ86" s="358"/>
      <c r="AK86" s="358"/>
      <c r="AL86" s="358"/>
      <c r="AM86" s="358"/>
      <c r="AN86" s="358"/>
      <c r="AO86" s="358"/>
      <c r="AP86" s="358"/>
      <c r="AQ86" s="358"/>
      <c r="AR86" s="358"/>
      <c r="AS86" s="358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5"/>
      <c r="BE86" s="305"/>
      <c r="BF86" s="305"/>
      <c r="BG86" s="305"/>
      <c r="BH86" s="305"/>
      <c r="BI86" s="305"/>
      <c r="BJ86" s="305"/>
      <c r="BK86" s="305"/>
      <c r="BL86" s="305"/>
      <c r="BM86" s="305"/>
      <c r="BN86" s="305"/>
      <c r="BO86" s="305"/>
      <c r="BP86" s="305"/>
      <c r="BQ86" s="305"/>
      <c r="BR86" s="305"/>
      <c r="BS86" s="305"/>
      <c r="BT86" s="305"/>
      <c r="BU86" s="305"/>
      <c r="BV86" s="305"/>
      <c r="BW86" s="305"/>
      <c r="BX86" s="305"/>
      <c r="BY86" s="305"/>
      <c r="BZ86" s="305"/>
      <c r="CA86" s="305"/>
      <c r="CB86" s="305"/>
      <c r="CC86" s="305"/>
      <c r="CD86" s="305"/>
      <c r="CE86" s="305"/>
      <c r="CF86" s="305"/>
      <c r="CG86" s="305"/>
      <c r="CH86" s="305"/>
      <c r="CI86" s="305"/>
      <c r="CJ86" s="305"/>
      <c r="CK86" s="305"/>
      <c r="CL86" s="305"/>
      <c r="CM86" s="305"/>
      <c r="CN86" s="305"/>
      <c r="CO86" s="305"/>
      <c r="CP86" s="305"/>
      <c r="CQ86" s="305"/>
      <c r="CR86" s="305"/>
      <c r="CS86" s="305"/>
      <c r="CT86" s="305"/>
      <c r="CU86" s="305"/>
      <c r="CV86" s="305"/>
      <c r="CW86" s="305"/>
      <c r="CX86" s="305"/>
      <c r="CY86" s="305"/>
      <c r="CZ86" s="305"/>
      <c r="DA86" s="305"/>
      <c r="DB86" s="305"/>
      <c r="DC86" s="305"/>
      <c r="DD86" s="305"/>
      <c r="DE86" s="305"/>
      <c r="DF86" s="305"/>
      <c r="DG86" s="305"/>
      <c r="DH86" s="305"/>
      <c r="DI86" s="305"/>
      <c r="DJ86" s="305"/>
      <c r="DK86" s="305"/>
      <c r="DL86" s="305"/>
      <c r="DM86" s="305"/>
      <c r="DN86" s="305"/>
      <c r="DO86" s="305"/>
      <c r="DP86" s="305"/>
      <c r="DQ86" s="305"/>
      <c r="DR86" s="305"/>
      <c r="DS86" s="305"/>
      <c r="DT86" s="305"/>
      <c r="DU86" s="305"/>
      <c r="DV86" s="305"/>
      <c r="DW86" s="305"/>
      <c r="DX86" s="305"/>
      <c r="DY86" s="305"/>
      <c r="DZ86" s="305"/>
      <c r="EA86" s="305"/>
      <c r="EB86" s="305"/>
      <c r="EC86" s="305"/>
      <c r="ED86" s="305"/>
      <c r="EE86" s="305"/>
      <c r="EF86" s="305"/>
      <c r="EG86" s="305"/>
      <c r="EH86" s="305"/>
      <c r="EI86" s="305"/>
      <c r="EJ86" s="305"/>
      <c r="EK86" s="305"/>
      <c r="EL86" s="305"/>
      <c r="EM86" s="305"/>
      <c r="EN86" s="305"/>
      <c r="EO86" s="305"/>
      <c r="EP86" s="305"/>
      <c r="EQ86" s="305"/>
      <c r="ER86" s="305"/>
      <c r="ES86" s="305"/>
      <c r="ET86" s="305"/>
      <c r="EU86" s="305"/>
      <c r="EV86" s="305"/>
      <c r="EW86" s="305"/>
      <c r="EX86" s="305"/>
      <c r="EY86" s="305"/>
      <c r="EZ86" s="305"/>
      <c r="FA86" s="305"/>
      <c r="FB86" s="305"/>
      <c r="FC86" s="305"/>
      <c r="FD86" s="305"/>
      <c r="FE86" s="305"/>
      <c r="FF86" s="305"/>
      <c r="FG86" s="305"/>
      <c r="FH86" s="305"/>
      <c r="FI86" s="305"/>
      <c r="FJ86" s="305"/>
      <c r="FK86" s="305"/>
      <c r="FL86" s="305"/>
      <c r="FM86" s="305"/>
      <c r="FN86" s="305"/>
      <c r="FO86" s="305"/>
      <c r="FP86" s="305"/>
      <c r="FQ86" s="305"/>
      <c r="FR86" s="305"/>
      <c r="FS86" s="305"/>
      <c r="FT86" s="305"/>
      <c r="FU86" s="305"/>
      <c r="FV86" s="305"/>
      <c r="FW86" s="305"/>
      <c r="FX86" s="305"/>
      <c r="FY86" s="305"/>
      <c r="FZ86" s="305"/>
      <c r="GA86" s="305"/>
      <c r="GB86" s="305"/>
      <c r="GC86" s="305"/>
      <c r="GD86" s="305"/>
      <c r="GE86" s="305"/>
      <c r="GF86" s="305"/>
      <c r="GG86" s="305"/>
      <c r="GH86" s="305"/>
      <c r="GI86" s="305"/>
      <c r="GJ86" s="305"/>
      <c r="GK86" s="305"/>
      <c r="GL86" s="305"/>
      <c r="GM86" s="305"/>
      <c r="GN86" s="305"/>
      <c r="GO86" s="305"/>
      <c r="GP86" s="305"/>
      <c r="GQ86" s="305"/>
      <c r="GR86" s="305"/>
      <c r="GS86" s="305"/>
      <c r="GT86" s="305"/>
      <c r="GU86" s="305"/>
      <c r="GV86" s="305"/>
      <c r="GW86" s="305"/>
      <c r="GX86" s="305"/>
      <c r="GY86" s="305"/>
      <c r="GZ86" s="305"/>
      <c r="HA86" s="305"/>
      <c r="HB86" s="305"/>
      <c r="HC86" s="305"/>
      <c r="HD86" s="305"/>
      <c r="HE86" s="305"/>
      <c r="HF86" s="305"/>
      <c r="HG86" s="305"/>
      <c r="HH86" s="305"/>
      <c r="HI86" s="305"/>
      <c r="HJ86" s="305"/>
      <c r="HK86" s="305"/>
      <c r="HL86" s="305"/>
      <c r="HM86" s="305"/>
      <c r="HN86" s="305"/>
      <c r="HO86" s="305"/>
      <c r="HP86" s="305"/>
      <c r="HQ86" s="305"/>
      <c r="HR86" s="305"/>
      <c r="HS86" s="305"/>
      <c r="HT86" s="305"/>
      <c r="HU86" s="305"/>
      <c r="HV86" s="305"/>
      <c r="HW86" s="305"/>
      <c r="HX86" s="305"/>
      <c r="HY86" s="305"/>
      <c r="HZ86" s="305"/>
      <c r="IA86" s="305"/>
      <c r="IB86" s="305"/>
      <c r="IC86" s="305"/>
      <c r="ID86" s="305"/>
      <c r="IE86" s="305"/>
      <c r="IF86" s="305"/>
      <c r="IG86" s="305"/>
      <c r="IH86" s="305"/>
      <c r="II86" s="305"/>
      <c r="IJ86" s="305"/>
      <c r="IK86" s="305"/>
      <c r="IL86" s="305"/>
      <c r="IM86" s="305"/>
      <c r="IN86" s="305"/>
      <c r="IO86" s="305"/>
      <c r="IP86" s="305"/>
      <c r="IQ86" s="305"/>
      <c r="IR86" s="305"/>
      <c r="IS86" s="305"/>
      <c r="IT86" s="305"/>
      <c r="IU86" s="305"/>
      <c r="IV86" s="305"/>
      <c r="IW86" s="305"/>
    </row>
    <row r="87" customFormat="false" ht="12.75" hidden="false" customHeight="false" outlineLevel="0" collapsed="false">
      <c r="A87" s="307" t="s">
        <v>212</v>
      </c>
      <c r="B87" s="172" t="n">
        <f aca="false">SUM(B84:B86)</f>
        <v>8616.96506970137</v>
      </c>
      <c r="C87" s="172" t="n">
        <f aca="false">SUM(C84:C86)</f>
        <v>792.451029193988</v>
      </c>
      <c r="D87" s="172" t="n">
        <f aca="false">SUM(D84:D86)</f>
        <v>4767.90433489349</v>
      </c>
      <c r="E87" s="172" t="n">
        <f aca="false">SUM(E84:E86)</f>
        <v>8655.15899410165</v>
      </c>
      <c r="F87" s="172" t="n">
        <f aca="false">SUM(F84:F86)</f>
        <v>12610.2185821814</v>
      </c>
      <c r="G87" s="172" t="n">
        <f aca="false">SUM(G84:G86)</f>
        <v>15130.4217341086</v>
      </c>
      <c r="H87" s="172" t="n">
        <f aca="false">SUM(H84:H86)</f>
        <v>16835.6187890743</v>
      </c>
      <c r="I87" s="172" t="n">
        <f aca="false">SUM(I84:I86)</f>
        <v>17880.9002494907</v>
      </c>
      <c r="J87" s="172" t="n">
        <f aca="false">SUM(J84:J86)</f>
        <v>19156.2347677535</v>
      </c>
      <c r="K87" s="172" t="n">
        <f aca="false">SUM(K84:K86)</f>
        <v>20483.5664632261</v>
      </c>
      <c r="L87" s="172" t="n">
        <f aca="false">SUM(L84:L86)</f>
        <v>21340.7224949457</v>
      </c>
      <c r="M87" s="172" t="n">
        <f aca="false">SUM(M84:M86)</f>
        <v>22338.3481677003</v>
      </c>
      <c r="N87" s="172" t="n">
        <f aca="false">SUM(N84:N86)</f>
        <v>23465.1872513707</v>
      </c>
      <c r="O87" s="172" t="n">
        <f aca="false">SUM(O84:O86)</f>
        <v>24580.458694751</v>
      </c>
      <c r="P87" s="172" t="n">
        <f aca="false">SUM(P84:P86)</f>
        <v>25797.0268308456</v>
      </c>
      <c r="Q87" s="172" t="n">
        <f aca="false">SUM(Q84:Q86)</f>
        <v>33447.1875723734</v>
      </c>
      <c r="R87" s="172" t="n">
        <f aca="false">SUM(R84:R86)</f>
        <v>41203.1456134733</v>
      </c>
      <c r="S87" s="172" t="n">
        <f aca="false">SUM(S84:S86)</f>
        <v>42738.5949886548</v>
      </c>
      <c r="T87" s="172" t="n">
        <f aca="false">SUM(T84:T86)</f>
        <v>44369.4069054595</v>
      </c>
      <c r="U87" s="172" t="n">
        <f aca="false">SUM(U84:U86)</f>
        <v>46103.6315338075</v>
      </c>
      <c r="W87" s="335" t="n">
        <f aca="false">SUM(B87:U87)</f>
        <v>450313.150067107</v>
      </c>
      <c r="X87" s="351"/>
      <c r="Y87" s="351"/>
      <c r="Z87" s="351"/>
      <c r="AA87" s="351"/>
      <c r="AB87" s="351"/>
      <c r="AC87" s="351"/>
      <c r="AD87" s="351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2"/>
      <c r="AP87" s="272"/>
      <c r="AQ87" s="272"/>
      <c r="AR87" s="272"/>
      <c r="AS87" s="272"/>
      <c r="AT87" s="272"/>
      <c r="AU87" s="272"/>
      <c r="AV87" s="272"/>
      <c r="AW87" s="272"/>
      <c r="AX87" s="272"/>
      <c r="AY87" s="272"/>
      <c r="AZ87" s="272"/>
      <c r="BA87" s="272"/>
      <c r="BB87" s="272"/>
      <c r="BC87" s="272"/>
      <c r="BD87" s="272"/>
      <c r="BE87" s="272"/>
      <c r="BF87" s="272"/>
      <c r="BG87" s="272"/>
      <c r="BH87" s="272"/>
      <c r="BI87" s="272"/>
      <c r="BJ87" s="272"/>
      <c r="BK87" s="272"/>
      <c r="BL87" s="272"/>
      <c r="BM87" s="272"/>
      <c r="BN87" s="272"/>
      <c r="BO87" s="272"/>
      <c r="BP87" s="272"/>
      <c r="BQ87" s="272"/>
      <c r="BR87" s="272"/>
      <c r="BS87" s="272"/>
      <c r="BT87" s="272"/>
      <c r="BU87" s="272"/>
      <c r="BV87" s="272"/>
      <c r="BW87" s="272"/>
      <c r="BX87" s="272"/>
      <c r="BY87" s="272"/>
      <c r="BZ87" s="272"/>
      <c r="CA87" s="272"/>
      <c r="CB87" s="272"/>
      <c r="CC87" s="272"/>
      <c r="CD87" s="272"/>
      <c r="CE87" s="272"/>
      <c r="CF87" s="272"/>
      <c r="CG87" s="272"/>
      <c r="CH87" s="272"/>
      <c r="CI87" s="272"/>
      <c r="CJ87" s="272"/>
      <c r="CK87" s="272"/>
      <c r="CL87" s="272"/>
      <c r="CM87" s="272"/>
      <c r="CN87" s="272"/>
      <c r="CO87" s="272"/>
      <c r="CP87" s="272"/>
      <c r="CQ87" s="272"/>
      <c r="CR87" s="272"/>
      <c r="CS87" s="272"/>
      <c r="CT87" s="272"/>
      <c r="CU87" s="272"/>
      <c r="CV87" s="272"/>
      <c r="CW87" s="272"/>
      <c r="CX87" s="272"/>
      <c r="CY87" s="272"/>
      <c r="CZ87" s="272"/>
      <c r="DA87" s="272"/>
      <c r="DB87" s="272"/>
      <c r="DC87" s="272"/>
      <c r="DD87" s="272"/>
      <c r="DE87" s="272"/>
      <c r="DF87" s="272"/>
      <c r="DG87" s="272"/>
      <c r="DH87" s="272"/>
      <c r="DI87" s="272"/>
      <c r="DJ87" s="272"/>
      <c r="DK87" s="272"/>
      <c r="DL87" s="272"/>
      <c r="DM87" s="272"/>
      <c r="DN87" s="272"/>
      <c r="DO87" s="272"/>
      <c r="DP87" s="272"/>
      <c r="DQ87" s="272"/>
      <c r="DR87" s="272"/>
      <c r="DS87" s="272"/>
      <c r="DT87" s="272"/>
      <c r="DU87" s="272"/>
      <c r="DV87" s="272"/>
      <c r="DW87" s="272"/>
      <c r="DX87" s="272"/>
      <c r="DY87" s="272"/>
      <c r="DZ87" s="272"/>
      <c r="EA87" s="272"/>
      <c r="EB87" s="272"/>
      <c r="EC87" s="272"/>
      <c r="ED87" s="272"/>
      <c r="EE87" s="272"/>
      <c r="EF87" s="272"/>
      <c r="EG87" s="272"/>
      <c r="EH87" s="272"/>
      <c r="EI87" s="272"/>
      <c r="EJ87" s="272"/>
      <c r="EK87" s="272"/>
      <c r="EL87" s="272"/>
      <c r="EM87" s="272"/>
      <c r="EN87" s="272"/>
      <c r="EO87" s="272"/>
      <c r="EP87" s="272"/>
      <c r="EQ87" s="272"/>
      <c r="ER87" s="272"/>
      <c r="ES87" s="272"/>
      <c r="ET87" s="272"/>
      <c r="EU87" s="272"/>
      <c r="EV87" s="272"/>
      <c r="EW87" s="272"/>
      <c r="EX87" s="272"/>
      <c r="EY87" s="272"/>
      <c r="EZ87" s="272"/>
      <c r="FA87" s="272"/>
      <c r="FB87" s="272"/>
      <c r="FC87" s="272"/>
      <c r="FD87" s="272"/>
      <c r="FE87" s="272"/>
      <c r="FF87" s="272"/>
      <c r="FG87" s="272"/>
      <c r="FH87" s="272"/>
      <c r="FI87" s="272"/>
      <c r="FJ87" s="272"/>
      <c r="FK87" s="272"/>
      <c r="FL87" s="272"/>
      <c r="FM87" s="272"/>
      <c r="FN87" s="272"/>
      <c r="FO87" s="272"/>
      <c r="FP87" s="272"/>
      <c r="FQ87" s="272"/>
      <c r="FR87" s="272"/>
      <c r="FS87" s="272"/>
      <c r="FT87" s="272"/>
      <c r="FU87" s="272"/>
      <c r="FV87" s="272"/>
      <c r="FW87" s="272"/>
      <c r="FX87" s="272"/>
      <c r="FY87" s="272"/>
      <c r="FZ87" s="272"/>
      <c r="GA87" s="272"/>
      <c r="GB87" s="272"/>
      <c r="GC87" s="272"/>
      <c r="GD87" s="272"/>
      <c r="GE87" s="272"/>
      <c r="GF87" s="272"/>
      <c r="GG87" s="272"/>
      <c r="GH87" s="272"/>
      <c r="GI87" s="272"/>
      <c r="GJ87" s="272"/>
      <c r="GK87" s="272"/>
      <c r="GL87" s="272"/>
      <c r="GM87" s="272"/>
      <c r="GN87" s="272"/>
      <c r="GO87" s="272"/>
      <c r="GP87" s="272"/>
      <c r="GQ87" s="272"/>
      <c r="GR87" s="272"/>
      <c r="GS87" s="272"/>
      <c r="GT87" s="272"/>
      <c r="GU87" s="272"/>
      <c r="GV87" s="272"/>
      <c r="GW87" s="272"/>
      <c r="GX87" s="272"/>
      <c r="GY87" s="272"/>
      <c r="GZ87" s="272"/>
      <c r="HA87" s="272"/>
      <c r="HB87" s="272"/>
      <c r="HC87" s="272"/>
      <c r="HD87" s="272"/>
      <c r="HE87" s="272"/>
      <c r="HF87" s="272"/>
      <c r="HG87" s="272"/>
      <c r="HH87" s="272"/>
      <c r="HI87" s="272"/>
      <c r="HJ87" s="272"/>
      <c r="HK87" s="272"/>
      <c r="HL87" s="272"/>
      <c r="HM87" s="272"/>
      <c r="HN87" s="272"/>
      <c r="HO87" s="272"/>
      <c r="HP87" s="272"/>
      <c r="HQ87" s="272"/>
      <c r="HR87" s="272"/>
      <c r="HS87" s="272"/>
      <c r="HT87" s="272"/>
      <c r="HU87" s="272"/>
      <c r="HV87" s="272"/>
      <c r="HW87" s="272"/>
      <c r="HX87" s="272"/>
      <c r="HY87" s="272"/>
      <c r="HZ87" s="272"/>
      <c r="IA87" s="272"/>
      <c r="IB87" s="272"/>
      <c r="IC87" s="272"/>
      <c r="ID87" s="272"/>
      <c r="IE87" s="272"/>
      <c r="IF87" s="272"/>
      <c r="IG87" s="272"/>
      <c r="IH87" s="272"/>
      <c r="II87" s="272"/>
      <c r="IJ87" s="272"/>
      <c r="IK87" s="272"/>
      <c r="IL87" s="272"/>
      <c r="IM87" s="272"/>
      <c r="IN87" s="272"/>
      <c r="IO87" s="272"/>
      <c r="IP87" s="272"/>
      <c r="IQ87" s="272"/>
      <c r="IR87" s="272"/>
      <c r="IS87" s="272"/>
      <c r="IT87" s="272"/>
      <c r="IU87" s="272"/>
      <c r="IV87" s="272"/>
      <c r="IW87" s="272"/>
    </row>
    <row r="88" customFormat="false" ht="12.75" hidden="false" customHeight="false" outlineLevel="0" collapsed="false">
      <c r="A88" s="24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X88" s="351"/>
      <c r="Y88" s="351"/>
      <c r="Z88" s="351"/>
      <c r="AA88" s="351"/>
      <c r="AB88" s="351"/>
      <c r="AC88" s="351"/>
      <c r="AD88" s="351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  <c r="AZ88" s="272"/>
      <c r="BA88" s="272"/>
      <c r="BB88" s="272"/>
      <c r="BC88" s="272"/>
      <c r="BD88" s="272"/>
      <c r="BE88" s="272"/>
      <c r="BF88" s="272"/>
      <c r="BG88" s="272"/>
      <c r="BH88" s="272"/>
      <c r="BI88" s="272"/>
      <c r="BJ88" s="272"/>
      <c r="BK88" s="272"/>
      <c r="BL88" s="272"/>
      <c r="BM88" s="272"/>
      <c r="BN88" s="272"/>
      <c r="BO88" s="272"/>
      <c r="BP88" s="272"/>
      <c r="BQ88" s="272"/>
      <c r="BR88" s="272"/>
      <c r="BS88" s="272"/>
      <c r="BT88" s="272"/>
      <c r="BU88" s="272"/>
      <c r="BV88" s="272"/>
      <c r="BW88" s="272"/>
      <c r="BX88" s="272"/>
      <c r="BY88" s="272"/>
      <c r="BZ88" s="272"/>
      <c r="CA88" s="272"/>
      <c r="CB88" s="272"/>
      <c r="CC88" s="272"/>
      <c r="CD88" s="272"/>
      <c r="CE88" s="272"/>
      <c r="CF88" s="272"/>
      <c r="CG88" s="272"/>
      <c r="CH88" s="272"/>
      <c r="CI88" s="272"/>
      <c r="CJ88" s="272"/>
      <c r="CK88" s="272"/>
      <c r="CL88" s="272"/>
      <c r="CM88" s="272"/>
      <c r="CN88" s="272"/>
      <c r="CO88" s="272"/>
      <c r="CP88" s="272"/>
      <c r="CQ88" s="272"/>
      <c r="CR88" s="272"/>
      <c r="CS88" s="272"/>
      <c r="CT88" s="272"/>
      <c r="CU88" s="272"/>
      <c r="CV88" s="272"/>
      <c r="CW88" s="272"/>
      <c r="CX88" s="272"/>
      <c r="CY88" s="272"/>
      <c r="CZ88" s="272"/>
      <c r="DA88" s="272"/>
      <c r="DB88" s="272"/>
      <c r="DC88" s="272"/>
      <c r="DD88" s="272"/>
      <c r="DE88" s="272"/>
      <c r="DF88" s="272"/>
      <c r="DG88" s="272"/>
      <c r="DH88" s="272"/>
      <c r="DI88" s="272"/>
      <c r="DJ88" s="272"/>
      <c r="DK88" s="272"/>
      <c r="DL88" s="272"/>
      <c r="DM88" s="272"/>
      <c r="DN88" s="272"/>
      <c r="DO88" s="272"/>
      <c r="DP88" s="272"/>
      <c r="DQ88" s="272"/>
      <c r="DR88" s="272"/>
      <c r="DS88" s="272"/>
      <c r="DT88" s="272"/>
      <c r="DU88" s="272"/>
      <c r="DV88" s="272"/>
      <c r="DW88" s="272"/>
      <c r="DX88" s="272"/>
      <c r="DY88" s="272"/>
      <c r="DZ88" s="272"/>
      <c r="EA88" s="272"/>
      <c r="EB88" s="272"/>
      <c r="EC88" s="272"/>
      <c r="ED88" s="272"/>
      <c r="EE88" s="272"/>
      <c r="EF88" s="272"/>
      <c r="EG88" s="272"/>
      <c r="EH88" s="272"/>
      <c r="EI88" s="272"/>
      <c r="EJ88" s="272"/>
      <c r="EK88" s="272"/>
      <c r="EL88" s="272"/>
      <c r="EM88" s="272"/>
      <c r="EN88" s="272"/>
      <c r="EO88" s="272"/>
      <c r="EP88" s="272"/>
      <c r="EQ88" s="272"/>
      <c r="ER88" s="272"/>
      <c r="ES88" s="272"/>
      <c r="ET88" s="272"/>
      <c r="EU88" s="272"/>
      <c r="EV88" s="272"/>
      <c r="EW88" s="272"/>
      <c r="EX88" s="272"/>
      <c r="EY88" s="272"/>
      <c r="EZ88" s="272"/>
      <c r="FA88" s="272"/>
      <c r="FB88" s="272"/>
      <c r="FC88" s="272"/>
      <c r="FD88" s="272"/>
      <c r="FE88" s="272"/>
      <c r="FF88" s="272"/>
      <c r="FG88" s="272"/>
      <c r="FH88" s="272"/>
      <c r="FI88" s="272"/>
      <c r="FJ88" s="272"/>
      <c r="FK88" s="272"/>
      <c r="FL88" s="272"/>
      <c r="FM88" s="272"/>
      <c r="FN88" s="272"/>
      <c r="FO88" s="272"/>
      <c r="FP88" s="272"/>
      <c r="FQ88" s="272"/>
      <c r="FR88" s="272"/>
      <c r="FS88" s="272"/>
      <c r="FT88" s="272"/>
      <c r="FU88" s="272"/>
      <c r="FV88" s="272"/>
      <c r="FW88" s="272"/>
      <c r="FX88" s="272"/>
      <c r="FY88" s="272"/>
      <c r="FZ88" s="272"/>
      <c r="GA88" s="272"/>
      <c r="GB88" s="272"/>
      <c r="GC88" s="272"/>
      <c r="GD88" s="272"/>
      <c r="GE88" s="272"/>
      <c r="GF88" s="272"/>
      <c r="GG88" s="272"/>
      <c r="GH88" s="272"/>
      <c r="GI88" s="272"/>
      <c r="GJ88" s="272"/>
      <c r="GK88" s="272"/>
      <c r="GL88" s="272"/>
      <c r="GM88" s="272"/>
      <c r="GN88" s="272"/>
      <c r="GO88" s="272"/>
      <c r="GP88" s="272"/>
      <c r="GQ88" s="272"/>
      <c r="GR88" s="272"/>
      <c r="GS88" s="272"/>
      <c r="GT88" s="272"/>
      <c r="GU88" s="272"/>
      <c r="GV88" s="272"/>
      <c r="GW88" s="272"/>
      <c r="GX88" s="272"/>
      <c r="GY88" s="272"/>
      <c r="GZ88" s="272"/>
      <c r="HA88" s="272"/>
      <c r="HB88" s="272"/>
      <c r="HC88" s="272"/>
      <c r="HD88" s="272"/>
      <c r="HE88" s="272"/>
      <c r="HF88" s="272"/>
      <c r="HG88" s="272"/>
      <c r="HH88" s="272"/>
      <c r="HI88" s="272"/>
      <c r="HJ88" s="272"/>
      <c r="HK88" s="272"/>
      <c r="HL88" s="272"/>
      <c r="HM88" s="272"/>
      <c r="HN88" s="272"/>
      <c r="HO88" s="272"/>
      <c r="HP88" s="272"/>
      <c r="HQ88" s="272"/>
      <c r="HR88" s="272"/>
      <c r="HS88" s="272"/>
      <c r="HT88" s="272"/>
      <c r="HU88" s="272"/>
      <c r="HV88" s="272"/>
      <c r="HW88" s="272"/>
      <c r="HX88" s="272"/>
      <c r="HY88" s="272"/>
      <c r="HZ88" s="272"/>
      <c r="IA88" s="272"/>
      <c r="IB88" s="272"/>
      <c r="IC88" s="272"/>
      <c r="ID88" s="272"/>
      <c r="IE88" s="272"/>
      <c r="IF88" s="272"/>
      <c r="IG88" s="272"/>
      <c r="IH88" s="272"/>
      <c r="II88" s="272"/>
      <c r="IJ88" s="272"/>
      <c r="IK88" s="272"/>
      <c r="IL88" s="272"/>
      <c r="IM88" s="272"/>
      <c r="IN88" s="272"/>
      <c r="IO88" s="272"/>
      <c r="IP88" s="272"/>
      <c r="IQ88" s="272"/>
      <c r="IR88" s="272"/>
      <c r="IS88" s="272"/>
      <c r="IT88" s="272"/>
      <c r="IU88" s="272"/>
      <c r="IV88" s="272"/>
      <c r="IW88" s="272"/>
    </row>
    <row r="89" customFormat="false" ht="12.75" hidden="false" customHeight="false" outlineLevel="0" collapsed="false">
      <c r="A89" s="24" t="s">
        <v>78</v>
      </c>
      <c r="B89" s="344" t="n">
        <f aca="false">Assumptions!$D$38</f>
        <v>0.045</v>
      </c>
      <c r="C89" s="344" t="n">
        <f aca="false">Assumptions!$D$38</f>
        <v>0.045</v>
      </c>
      <c r="D89" s="344" t="n">
        <f aca="false">Assumptions!$D$38</f>
        <v>0.045</v>
      </c>
      <c r="E89" s="344" t="n">
        <f aca="false">Assumptions!$D$38</f>
        <v>0.045</v>
      </c>
      <c r="F89" s="344" t="n">
        <f aca="false">Assumptions!$D$38</f>
        <v>0.045</v>
      </c>
      <c r="G89" s="344" t="n">
        <f aca="false">Assumptions!$D$38</f>
        <v>0.045</v>
      </c>
      <c r="H89" s="344" t="n">
        <f aca="false">Assumptions!$D$38</f>
        <v>0.045</v>
      </c>
      <c r="I89" s="344" t="n">
        <f aca="false">Assumptions!$D$38</f>
        <v>0.045</v>
      </c>
      <c r="J89" s="344" t="n">
        <f aca="false">Assumptions!$D$38</f>
        <v>0.045</v>
      </c>
      <c r="K89" s="344" t="n">
        <f aca="false">Assumptions!$D$38</f>
        <v>0.045</v>
      </c>
      <c r="L89" s="344" t="n">
        <f aca="false">Assumptions!$D$38</f>
        <v>0.045</v>
      </c>
      <c r="M89" s="344" t="n">
        <f aca="false">Assumptions!$D$38</f>
        <v>0.045</v>
      </c>
      <c r="N89" s="344" t="n">
        <f aca="false">Assumptions!$D$38</f>
        <v>0.045</v>
      </c>
      <c r="O89" s="344" t="n">
        <f aca="false">Assumptions!$D$38</f>
        <v>0.045</v>
      </c>
      <c r="P89" s="344" t="n">
        <f aca="false">Assumptions!$D$38</f>
        <v>0.045</v>
      </c>
      <c r="Q89" s="344" t="n">
        <f aca="false">Assumptions!$D$38</f>
        <v>0.045</v>
      </c>
      <c r="R89" s="344" t="n">
        <f aca="false">Assumptions!$D$38</f>
        <v>0.045</v>
      </c>
      <c r="S89" s="344" t="n">
        <f aca="false">Assumptions!$D$38</f>
        <v>0.045</v>
      </c>
      <c r="T89" s="344" t="n">
        <f aca="false">Assumptions!$D$38</f>
        <v>0.045</v>
      </c>
      <c r="U89" s="344" t="n">
        <f aca="false">Assumptions!$D$38</f>
        <v>0.045</v>
      </c>
      <c r="X89" s="351"/>
      <c r="Y89" s="351"/>
      <c r="Z89" s="351"/>
      <c r="AA89" s="351"/>
      <c r="AB89" s="351"/>
      <c r="AC89" s="351"/>
      <c r="AD89" s="351"/>
      <c r="AE89" s="272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  <c r="AZ89" s="272"/>
      <c r="BA89" s="272"/>
      <c r="BB89" s="272"/>
      <c r="BC89" s="272"/>
      <c r="BD89" s="272"/>
      <c r="BE89" s="272"/>
      <c r="BF89" s="272"/>
      <c r="BG89" s="272"/>
      <c r="BH89" s="272"/>
      <c r="BI89" s="272"/>
      <c r="BJ89" s="272"/>
      <c r="BK89" s="272"/>
      <c r="BL89" s="272"/>
      <c r="BM89" s="272"/>
      <c r="BN89" s="272"/>
      <c r="BO89" s="272"/>
      <c r="BP89" s="272"/>
      <c r="BQ89" s="272"/>
      <c r="BR89" s="272"/>
      <c r="BS89" s="272"/>
      <c r="BT89" s="272"/>
      <c r="BU89" s="272"/>
      <c r="BV89" s="272"/>
      <c r="BW89" s="272"/>
      <c r="BX89" s="272"/>
      <c r="BY89" s="272"/>
      <c r="BZ89" s="272"/>
      <c r="CA89" s="272"/>
      <c r="CB89" s="272"/>
      <c r="CC89" s="272"/>
      <c r="CD89" s="272"/>
      <c r="CE89" s="272"/>
      <c r="CF89" s="272"/>
      <c r="CG89" s="272"/>
      <c r="CH89" s="272"/>
      <c r="CI89" s="272"/>
      <c r="CJ89" s="272"/>
      <c r="CK89" s="272"/>
      <c r="CL89" s="272"/>
      <c r="CM89" s="272"/>
      <c r="CN89" s="272"/>
      <c r="CO89" s="272"/>
      <c r="CP89" s="272"/>
      <c r="CQ89" s="272"/>
      <c r="CR89" s="272"/>
      <c r="CS89" s="272"/>
      <c r="CT89" s="272"/>
      <c r="CU89" s="272"/>
      <c r="CV89" s="272"/>
      <c r="CW89" s="272"/>
      <c r="CX89" s="272"/>
      <c r="CY89" s="272"/>
      <c r="CZ89" s="272"/>
      <c r="DA89" s="272"/>
      <c r="DB89" s="272"/>
      <c r="DC89" s="272"/>
      <c r="DD89" s="272"/>
      <c r="DE89" s="272"/>
      <c r="DF89" s="272"/>
      <c r="DG89" s="272"/>
      <c r="DH89" s="272"/>
      <c r="DI89" s="272"/>
      <c r="DJ89" s="272"/>
      <c r="DK89" s="272"/>
      <c r="DL89" s="272"/>
      <c r="DM89" s="272"/>
      <c r="DN89" s="272"/>
      <c r="DO89" s="272"/>
      <c r="DP89" s="272"/>
      <c r="DQ89" s="272"/>
      <c r="DR89" s="272"/>
      <c r="DS89" s="272"/>
      <c r="DT89" s="272"/>
      <c r="DU89" s="272"/>
      <c r="DV89" s="272"/>
      <c r="DW89" s="272"/>
      <c r="DX89" s="272"/>
      <c r="DY89" s="272"/>
      <c r="DZ89" s="272"/>
      <c r="EA89" s="272"/>
      <c r="EB89" s="272"/>
      <c r="EC89" s="272"/>
      <c r="ED89" s="272"/>
      <c r="EE89" s="272"/>
      <c r="EF89" s="272"/>
      <c r="EG89" s="272"/>
      <c r="EH89" s="272"/>
      <c r="EI89" s="272"/>
      <c r="EJ89" s="272"/>
      <c r="EK89" s="272"/>
      <c r="EL89" s="272"/>
      <c r="EM89" s="272"/>
      <c r="EN89" s="272"/>
      <c r="EO89" s="272"/>
      <c r="EP89" s="272"/>
      <c r="EQ89" s="272"/>
      <c r="ER89" s="272"/>
      <c r="ES89" s="272"/>
      <c r="ET89" s="272"/>
      <c r="EU89" s="272"/>
      <c r="EV89" s="272"/>
      <c r="EW89" s="272"/>
      <c r="EX89" s="272"/>
      <c r="EY89" s="272"/>
      <c r="EZ89" s="272"/>
      <c r="FA89" s="272"/>
      <c r="FB89" s="272"/>
      <c r="FC89" s="272"/>
      <c r="FD89" s="272"/>
      <c r="FE89" s="272"/>
      <c r="FF89" s="272"/>
      <c r="FG89" s="272"/>
      <c r="FH89" s="272"/>
      <c r="FI89" s="272"/>
      <c r="FJ89" s="272"/>
      <c r="FK89" s="272"/>
      <c r="FL89" s="272"/>
      <c r="FM89" s="272"/>
      <c r="FN89" s="272"/>
      <c r="FO89" s="272"/>
      <c r="FP89" s="272"/>
      <c r="FQ89" s="272"/>
      <c r="FR89" s="272"/>
      <c r="FS89" s="272"/>
      <c r="FT89" s="272"/>
      <c r="FU89" s="272"/>
      <c r="FV89" s="272"/>
      <c r="FW89" s="272"/>
      <c r="FX89" s="272"/>
      <c r="FY89" s="272"/>
      <c r="FZ89" s="272"/>
      <c r="GA89" s="272"/>
      <c r="GB89" s="272"/>
      <c r="GC89" s="272"/>
      <c r="GD89" s="272"/>
      <c r="GE89" s="272"/>
      <c r="GF89" s="272"/>
      <c r="GG89" s="272"/>
      <c r="GH89" s="272"/>
      <c r="GI89" s="272"/>
      <c r="GJ89" s="272"/>
      <c r="GK89" s="272"/>
      <c r="GL89" s="272"/>
      <c r="GM89" s="272"/>
      <c r="GN89" s="272"/>
      <c r="GO89" s="272"/>
      <c r="GP89" s="272"/>
      <c r="GQ89" s="272"/>
      <c r="GR89" s="272"/>
      <c r="GS89" s="272"/>
      <c r="GT89" s="272"/>
      <c r="GU89" s="272"/>
      <c r="GV89" s="272"/>
      <c r="GW89" s="272"/>
      <c r="GX89" s="272"/>
      <c r="GY89" s="272"/>
      <c r="GZ89" s="272"/>
      <c r="HA89" s="272"/>
      <c r="HB89" s="272"/>
      <c r="HC89" s="272"/>
      <c r="HD89" s="272"/>
      <c r="HE89" s="272"/>
      <c r="HF89" s="272"/>
      <c r="HG89" s="272"/>
      <c r="HH89" s="272"/>
      <c r="HI89" s="272"/>
      <c r="HJ89" s="272"/>
      <c r="HK89" s="272"/>
      <c r="HL89" s="272"/>
      <c r="HM89" s="272"/>
      <c r="HN89" s="272"/>
      <c r="HO89" s="272"/>
      <c r="HP89" s="272"/>
      <c r="HQ89" s="272"/>
      <c r="HR89" s="272"/>
      <c r="HS89" s="272"/>
      <c r="HT89" s="272"/>
      <c r="HU89" s="272"/>
      <c r="HV89" s="272"/>
      <c r="HW89" s="272"/>
      <c r="HX89" s="272"/>
      <c r="HY89" s="272"/>
      <c r="HZ89" s="272"/>
      <c r="IA89" s="272"/>
      <c r="IB89" s="272"/>
      <c r="IC89" s="272"/>
      <c r="ID89" s="272"/>
      <c r="IE89" s="272"/>
      <c r="IF89" s="272"/>
      <c r="IG89" s="272"/>
      <c r="IH89" s="272"/>
      <c r="II89" s="272"/>
      <c r="IJ89" s="272"/>
      <c r="IK89" s="272"/>
      <c r="IL89" s="272"/>
      <c r="IM89" s="272"/>
      <c r="IN89" s="272"/>
      <c r="IO89" s="272"/>
      <c r="IP89" s="272"/>
      <c r="IQ89" s="272"/>
      <c r="IR89" s="272"/>
      <c r="IS89" s="272"/>
      <c r="IT89" s="272"/>
      <c r="IU89" s="272"/>
      <c r="IV89" s="272"/>
      <c r="IW89" s="272"/>
    </row>
    <row r="90" customFormat="false" ht="12.75" hidden="false" customHeight="false" outlineLevel="0" collapsed="false">
      <c r="A90" s="24" t="s">
        <v>213</v>
      </c>
      <c r="B90" s="172" t="n">
        <f aca="false">B87*B89</f>
        <v>387.763428136562</v>
      </c>
      <c r="C90" s="172" t="n">
        <f aca="false">C87*C89</f>
        <v>35.6602963137295</v>
      </c>
      <c r="D90" s="172" t="n">
        <f aca="false">D87*D89</f>
        <v>214.555695070207</v>
      </c>
      <c r="E90" s="172" t="n">
        <f aca="false">E87*E89</f>
        <v>389.482154734574</v>
      </c>
      <c r="F90" s="172" t="n">
        <f aca="false">F87*F89</f>
        <v>567.459836198163</v>
      </c>
      <c r="G90" s="172" t="n">
        <f aca="false">G87*G89</f>
        <v>680.868978034889</v>
      </c>
      <c r="H90" s="172" t="n">
        <f aca="false">H87*H89</f>
        <v>757.602845508342</v>
      </c>
      <c r="I90" s="172" t="n">
        <f aca="false">I87*I89</f>
        <v>804.64051122708</v>
      </c>
      <c r="J90" s="172" t="n">
        <f aca="false">J87*J89</f>
        <v>862.030564548907</v>
      </c>
      <c r="K90" s="172" t="n">
        <f aca="false">K87*K89</f>
        <v>921.760490845175</v>
      </c>
      <c r="L90" s="172" t="n">
        <f aca="false">L87*L89</f>
        <v>960.332512272556</v>
      </c>
      <c r="M90" s="172" t="n">
        <f aca="false">M87*M89</f>
        <v>1005.22566754651</v>
      </c>
      <c r="N90" s="172" t="n">
        <f aca="false">N87*N89</f>
        <v>1055.93342631168</v>
      </c>
      <c r="O90" s="172" t="n">
        <f aca="false">O87*O89</f>
        <v>1106.12064126379</v>
      </c>
      <c r="P90" s="172" t="n">
        <f aca="false">P87*P89</f>
        <v>1160.86620738805</v>
      </c>
      <c r="Q90" s="172" t="n">
        <f aca="false">Q87*Q89</f>
        <v>1505.1234407568</v>
      </c>
      <c r="R90" s="172" t="n">
        <f aca="false">R87*R89</f>
        <v>1854.1415526063</v>
      </c>
      <c r="S90" s="172" t="n">
        <f aca="false">S87*S89</f>
        <v>1923.23677448947</v>
      </c>
      <c r="T90" s="172" t="n">
        <f aca="false">T87*T89</f>
        <v>1996.62331074568</v>
      </c>
      <c r="U90" s="172" t="n">
        <f aca="false">U87*U89</f>
        <v>2074.66341902134</v>
      </c>
    </row>
    <row r="91" customFormat="false" ht="12.75" hidden="false" customHeight="false" outlineLevel="0" collapsed="false">
      <c r="A91" s="24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</row>
    <row r="92" customFormat="false" ht="12.75" hidden="false" customHeight="false" outlineLevel="0" collapsed="false">
      <c r="A92" s="24" t="s">
        <v>214</v>
      </c>
      <c r="B92" s="172" t="n">
        <v>0</v>
      </c>
      <c r="C92" s="172" t="n">
        <f aca="false">B96</f>
        <v>0</v>
      </c>
      <c r="D92" s="172" t="n">
        <f aca="false">C96</f>
        <v>0</v>
      </c>
      <c r="E92" s="172" t="n">
        <f aca="false">D96</f>
        <v>0</v>
      </c>
      <c r="F92" s="172" t="n">
        <f aca="false">E96</f>
        <v>0</v>
      </c>
      <c r="G92" s="172" t="n">
        <f aca="false">F96</f>
        <v>0</v>
      </c>
      <c r="H92" s="172" t="n">
        <f aca="false">G96</f>
        <v>0</v>
      </c>
      <c r="I92" s="172" t="n">
        <f aca="false">H96</f>
        <v>0</v>
      </c>
      <c r="J92" s="172" t="n">
        <f aca="false">I96</f>
        <v>0</v>
      </c>
      <c r="K92" s="172" t="n">
        <f aca="false">J96</f>
        <v>0</v>
      </c>
      <c r="L92" s="172" t="n">
        <f aca="false">K96</f>
        <v>0</v>
      </c>
      <c r="M92" s="172" t="n">
        <f aca="false">L96</f>
        <v>0</v>
      </c>
      <c r="N92" s="172" t="n">
        <f aca="false">M96</f>
        <v>0</v>
      </c>
      <c r="O92" s="172" t="n">
        <f aca="false">N96</f>
        <v>0</v>
      </c>
      <c r="P92" s="172" t="n">
        <f aca="false">O96</f>
        <v>0</v>
      </c>
      <c r="Q92" s="172" t="n">
        <f aca="false">P96</f>
        <v>0</v>
      </c>
      <c r="R92" s="172" t="n">
        <v>0</v>
      </c>
      <c r="S92" s="172" t="n">
        <f aca="false">R96</f>
        <v>0</v>
      </c>
      <c r="T92" s="172" t="n">
        <f aca="false">S96</f>
        <v>0</v>
      </c>
      <c r="U92" s="172" t="n">
        <f aca="false">T96</f>
        <v>0</v>
      </c>
    </row>
    <row r="93" customFormat="false" ht="12.75" hidden="false" customHeight="false" outlineLevel="0" collapsed="false">
      <c r="A93" s="24" t="s">
        <v>215</v>
      </c>
      <c r="B93" s="172" t="n">
        <f aca="false">IF(B62&gt;2020,0,IF(B90&lt;0,-B90,0))</f>
        <v>0</v>
      </c>
      <c r="C93" s="172" t="n">
        <f aca="false">IF(C62&gt;2020,0,IF(C90&lt;0,-C90,0))</f>
        <v>0</v>
      </c>
      <c r="D93" s="172" t="n">
        <f aca="false">IF(D62&gt;2020,0,IF(D90&lt;0,-D90,0))</f>
        <v>0</v>
      </c>
      <c r="E93" s="172" t="n">
        <f aca="false">IF(E62&gt;2020,0,IF(E90&lt;0,-E90,0))</f>
        <v>0</v>
      </c>
      <c r="F93" s="172" t="n">
        <f aca="false">IF(F62&gt;2020,0,IF(F90&lt;0,-F90,0))</f>
        <v>0</v>
      </c>
      <c r="G93" s="172" t="n">
        <f aca="false">IF(G62&gt;2020,0,IF(G90&lt;0,-G90,0))</f>
        <v>0</v>
      </c>
      <c r="H93" s="172" t="n">
        <f aca="false">IF(H62&gt;2020,0,IF(H90&lt;0,-H90,0))</f>
        <v>0</v>
      </c>
      <c r="I93" s="172" t="n">
        <f aca="false">IF(I62&gt;2020,0,IF(I90&lt;0,-I90,0))</f>
        <v>0</v>
      </c>
      <c r="J93" s="172" t="n">
        <f aca="false">IF(J62&gt;2020,0,IF(J90&lt;0,-J90,0))</f>
        <v>0</v>
      </c>
      <c r="K93" s="172" t="n">
        <f aca="false">IF(K62&gt;2020,0,IF(K90&lt;0,-K90,0))</f>
        <v>0</v>
      </c>
      <c r="L93" s="172" t="n">
        <f aca="false">IF(L62&gt;2020,0,IF(L90&lt;0,-L90,0))</f>
        <v>0</v>
      </c>
      <c r="M93" s="172" t="n">
        <f aca="false">IF(M62&gt;2020,0,IF(M90&lt;0,-M90,0))</f>
        <v>0</v>
      </c>
      <c r="N93" s="172" t="n">
        <f aca="false">IF(N62&gt;2020,0,IF(N90&lt;0,-N90,0))</f>
        <v>0</v>
      </c>
      <c r="O93" s="172" t="n">
        <f aca="false">IF(O62&gt;2020,0,IF(O90&lt;0,-O90,0))</f>
        <v>0</v>
      </c>
      <c r="P93" s="172" t="n">
        <f aca="false">IF(P62&gt;2020,0,IF(P90&lt;0,-P90,0))</f>
        <v>0</v>
      </c>
      <c r="Q93" s="172" t="n">
        <f aca="false">IF(Q62&gt;2020,0,IF(Q90&lt;0,-Q90,0))</f>
        <v>0</v>
      </c>
      <c r="R93" s="172" t="n">
        <f aca="false">IF(R62&gt;2020,0,IF(R90&lt;0,-R90,0))</f>
        <v>0</v>
      </c>
      <c r="S93" s="172" t="n">
        <f aca="false">IF(S62&gt;2020,0,IF(S90&lt;0,-S90,0))</f>
        <v>0</v>
      </c>
      <c r="T93" s="172" t="n">
        <f aca="false">IF(T62&gt;2020,0,IF(T90&lt;0,-T90,0))</f>
        <v>0</v>
      </c>
      <c r="U93" s="172" t="n">
        <f aca="false">IF(U62&gt;2020,0,IF(U90&lt;0,-U90,0))</f>
        <v>0</v>
      </c>
    </row>
    <row r="94" customFormat="false" ht="12.75" hidden="false" customHeight="false" outlineLevel="0" collapsed="false">
      <c r="A94" s="24" t="s">
        <v>216</v>
      </c>
      <c r="B94" s="345" t="n">
        <v>0</v>
      </c>
      <c r="C94" s="345" t="n">
        <v>0</v>
      </c>
      <c r="D94" s="345" t="n">
        <v>0</v>
      </c>
      <c r="E94" s="345" t="n">
        <v>0</v>
      </c>
      <c r="F94" s="345" t="n">
        <v>0</v>
      </c>
      <c r="G94" s="345" t="n">
        <v>0</v>
      </c>
      <c r="H94" s="345" t="n">
        <v>0</v>
      </c>
      <c r="I94" s="345" t="n">
        <v>0</v>
      </c>
      <c r="J94" s="345" t="n">
        <v>0</v>
      </c>
      <c r="K94" s="345" t="n">
        <v>0</v>
      </c>
      <c r="L94" s="345" t="n">
        <v>0</v>
      </c>
      <c r="M94" s="345" t="n">
        <v>0</v>
      </c>
      <c r="N94" s="345" t="n">
        <v>0</v>
      </c>
      <c r="O94" s="345" t="n">
        <v>0</v>
      </c>
      <c r="P94" s="345" t="n">
        <v>0</v>
      </c>
      <c r="Q94" s="345" t="n">
        <v>0</v>
      </c>
      <c r="R94" s="345" t="n">
        <v>0</v>
      </c>
      <c r="S94" s="345" t="n">
        <v>0</v>
      </c>
      <c r="T94" s="172" t="n">
        <f aca="false">IF(L93&gt;(SUM(M95:S95)+SUM(L94:S94))*-1,L93-(SUM(L95:S95)+SUM(L94:S94))*-1,0)</f>
        <v>0</v>
      </c>
      <c r="U94" s="172" t="n">
        <f aca="false">IF(M93&gt;(SUM(N95:T95)+SUM(M94:T94))*-1,M93-(SUM(M95:T95)+SUM(M94:T94))*-1,0)</f>
        <v>0</v>
      </c>
    </row>
    <row r="95" customFormat="false" ht="12.75" hidden="false" customHeight="false" outlineLevel="0" collapsed="false">
      <c r="A95" s="12" t="s">
        <v>189</v>
      </c>
      <c r="B95" s="197" t="n">
        <f aca="false">IF(B90&lt;0,0,IF(B92&gt;B90,-B90,-B92))</f>
        <v>-0</v>
      </c>
      <c r="C95" s="197" t="n">
        <f aca="false">IF(C90&lt;0,0,IF(C92&gt;C90,-C90,-C92))</f>
        <v>-0</v>
      </c>
      <c r="D95" s="197" t="n">
        <f aca="false">IF(D90&lt;0,0,IF(D92&gt;D90,-D90,-D92))</f>
        <v>-0</v>
      </c>
      <c r="E95" s="197" t="n">
        <f aca="false">IF(E90&lt;0,0,IF(E92&gt;E90,-E90,-E92))</f>
        <v>-0</v>
      </c>
      <c r="F95" s="197" t="n">
        <f aca="false">IF(F90&lt;0,0,IF(F92&gt;F90,-F90,-F92))</f>
        <v>-0</v>
      </c>
      <c r="G95" s="197" t="n">
        <f aca="false">IF(G90&lt;0,0,IF(G92&gt;G90,-G90,-G92))</f>
        <v>-0</v>
      </c>
      <c r="H95" s="197" t="n">
        <f aca="false">IF(H90&lt;0,0,IF(H92&gt;H90,-H90,-H92))</f>
        <v>-0</v>
      </c>
      <c r="I95" s="197" t="n">
        <f aca="false">IF(I90&lt;0,0,IF(I92&gt;I90,-I90,-I92))</f>
        <v>-0</v>
      </c>
      <c r="J95" s="197" t="n">
        <f aca="false">IF(J90&lt;0,0,IF(J92&gt;J90,-J90,-J92))</f>
        <v>-0</v>
      </c>
      <c r="K95" s="197" t="n">
        <f aca="false">IF(K90&lt;0,0,IF(K92&gt;K90,-K90,-K92))</f>
        <v>-0</v>
      </c>
      <c r="L95" s="197" t="n">
        <f aca="false">IF(L90&lt;0,0,IF(L92&gt;L90,-L90,-L92))</f>
        <v>-0</v>
      </c>
      <c r="M95" s="197" t="n">
        <f aca="false">IF(M90&lt;0,0,IF(M92&gt;M90,-M90,-M92))</f>
        <v>-0</v>
      </c>
      <c r="N95" s="197" t="n">
        <f aca="false">IF(N90&lt;0,0,IF(N92&gt;N90,-N90,-N92))</f>
        <v>-0</v>
      </c>
      <c r="O95" s="197" t="n">
        <f aca="false">IF(O90&lt;0,0,IF(O92&gt;O90,-O90,-O92))</f>
        <v>-0</v>
      </c>
      <c r="P95" s="197" t="n">
        <f aca="false">IF(P90&lt;0,0,IF(P92&gt;P90,-P90,-P92))</f>
        <v>-0</v>
      </c>
      <c r="Q95" s="197" t="n">
        <f aca="false">IF(Q90&lt;0,0,IF(Q92&gt;Q90,-Q90,-Q92))</f>
        <v>-0</v>
      </c>
      <c r="R95" s="197" t="n">
        <f aca="false">IF(R90&lt;0,0,IF(R92&gt;R90,-R90,-R92))</f>
        <v>-0</v>
      </c>
      <c r="S95" s="197" t="n">
        <f aca="false">IF(S90&lt;0,0,IF(S92&gt;S90,-S90,-S92))</f>
        <v>-0</v>
      </c>
      <c r="T95" s="197" t="n">
        <f aca="false">IF(T90&lt;0,0,IF(T92&gt;T90,-T90,-T92))</f>
        <v>-0</v>
      </c>
      <c r="U95" s="197" t="n">
        <f aca="false">IF(U90&lt;0,0,IF(U92&gt;U90,-U90,-U92))</f>
        <v>-0</v>
      </c>
    </row>
    <row r="96" customFormat="false" ht="12.75" hidden="false" customHeight="false" outlineLevel="0" collapsed="false">
      <c r="A96" s="12" t="s">
        <v>217</v>
      </c>
      <c r="B96" s="197" t="n">
        <f aca="false">SUM(B92:B95)</f>
        <v>0</v>
      </c>
      <c r="C96" s="197" t="n">
        <f aca="false">SUM(C92:C95)</f>
        <v>0</v>
      </c>
      <c r="D96" s="197" t="n">
        <f aca="false">SUM(D92:D95)</f>
        <v>0</v>
      </c>
      <c r="E96" s="197" t="n">
        <f aca="false">SUM(E92:E95)</f>
        <v>0</v>
      </c>
      <c r="F96" s="197" t="n">
        <f aca="false">SUM(F92:F95)</f>
        <v>0</v>
      </c>
      <c r="G96" s="197" t="n">
        <f aca="false">SUM(G92:G95)</f>
        <v>0</v>
      </c>
      <c r="H96" s="197" t="n">
        <f aca="false">SUM(H92:H95)</f>
        <v>0</v>
      </c>
      <c r="I96" s="197" t="n">
        <f aca="false">SUM(I92:I95)</f>
        <v>0</v>
      </c>
      <c r="J96" s="197" t="n">
        <f aca="false">SUM(J92:J95)</f>
        <v>0</v>
      </c>
      <c r="K96" s="197" t="n">
        <f aca="false">SUM(K92:K95)</f>
        <v>0</v>
      </c>
      <c r="L96" s="197" t="n">
        <f aca="false">SUM(L92:L95)</f>
        <v>0</v>
      </c>
      <c r="M96" s="197" t="n">
        <f aca="false">SUM(M92:M95)</f>
        <v>0</v>
      </c>
      <c r="N96" s="197" t="n">
        <f aca="false">SUM(N92:N95)</f>
        <v>0</v>
      </c>
      <c r="O96" s="197" t="n">
        <f aca="false">SUM(O92:O95)</f>
        <v>0</v>
      </c>
      <c r="P96" s="197" t="n">
        <f aca="false">SUM(P92:P95)</f>
        <v>0</v>
      </c>
      <c r="Q96" s="197" t="n">
        <f aca="false">SUM(Q92:Q95)</f>
        <v>0</v>
      </c>
      <c r="R96" s="197" t="n">
        <f aca="false">SUM(R92:R95)</f>
        <v>0</v>
      </c>
      <c r="S96" s="197" t="n">
        <f aca="false">SUM(S92:S95)</f>
        <v>0</v>
      </c>
      <c r="T96" s="197" t="n">
        <f aca="false">SUM(T92:T95)</f>
        <v>0</v>
      </c>
      <c r="U96" s="197" t="n">
        <f aca="false">SUM(U92:U95)</f>
        <v>0</v>
      </c>
    </row>
    <row r="97" customFormat="false" ht="12.75" hidden="false" customHeight="false" outlineLevel="0" collapsed="false">
      <c r="A97" s="1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</row>
    <row r="98" customFormat="false" ht="13.5" hidden="false" customHeight="false" outlineLevel="0" collapsed="false">
      <c r="A98" s="40" t="s">
        <v>179</v>
      </c>
      <c r="B98" s="311" t="n">
        <f aca="false">IF(B90&lt;0,0,B90+B95)</f>
        <v>387.763428136562</v>
      </c>
      <c r="C98" s="311" t="n">
        <f aca="false">IF(C90&lt;0,0,C90+C95)</f>
        <v>35.6602963137295</v>
      </c>
      <c r="D98" s="311" t="n">
        <f aca="false">IF(D90&lt;0,0,D90+D95)</f>
        <v>214.555695070207</v>
      </c>
      <c r="E98" s="311" t="n">
        <f aca="false">IF(E90&lt;0,0,E90+E95)</f>
        <v>389.482154734574</v>
      </c>
      <c r="F98" s="311" t="n">
        <f aca="false">IF(F90&lt;0,0,F90+F95)</f>
        <v>567.459836198163</v>
      </c>
      <c r="G98" s="311" t="n">
        <f aca="false">IF(G90&lt;0,0,G90+G95)</f>
        <v>680.868978034889</v>
      </c>
      <c r="H98" s="311" t="n">
        <f aca="false">IF(H90&lt;0,0,H90+H95)</f>
        <v>757.602845508342</v>
      </c>
      <c r="I98" s="311" t="n">
        <f aca="false">IF(I90&lt;0,0,I90+I95)</f>
        <v>804.64051122708</v>
      </c>
      <c r="J98" s="311" t="n">
        <f aca="false">IF(J90&lt;0,0,J90+J95)</f>
        <v>862.030564548907</v>
      </c>
      <c r="K98" s="311" t="n">
        <f aca="false">IF(K90&lt;0,0,K90+K95)</f>
        <v>921.760490845175</v>
      </c>
      <c r="L98" s="311" t="n">
        <f aca="false">IF(L90&lt;0,0,L90+L95)</f>
        <v>960.332512272556</v>
      </c>
      <c r="M98" s="311" t="n">
        <f aca="false">IF(M90&lt;0,0,M90+M95)</f>
        <v>1005.22566754651</v>
      </c>
      <c r="N98" s="311" t="n">
        <f aca="false">IF(N90&lt;0,0,N90+N95)</f>
        <v>1055.93342631168</v>
      </c>
      <c r="O98" s="311" t="n">
        <f aca="false">IF(O90&lt;0,0,O90+O95)</f>
        <v>1106.12064126379</v>
      </c>
      <c r="P98" s="311" t="n">
        <f aca="false">IF(P90&lt;0,0,P90+P95)</f>
        <v>1160.86620738805</v>
      </c>
      <c r="Q98" s="311" t="n">
        <f aca="false">IF(Q90&lt;0,0,Q90+Q95)</f>
        <v>1505.1234407568</v>
      </c>
      <c r="R98" s="311" t="n">
        <f aca="false">IF(R90&lt;0,0,R90+R95)</f>
        <v>1854.1415526063</v>
      </c>
      <c r="S98" s="311" t="n">
        <f aca="false">IF(S90&lt;0,0,S90+S95)</f>
        <v>1923.23677448947</v>
      </c>
      <c r="T98" s="311" t="n">
        <f aca="false">IF(T90&lt;0,0,T90+T95)</f>
        <v>1996.62331074568</v>
      </c>
      <c r="U98" s="311" t="n">
        <f aca="false">IF(U90&lt;0,0,U90+U95)</f>
        <v>2074.66341902134</v>
      </c>
      <c r="W98" s="170" t="n">
        <f aca="false">SUM(B98:U98)</f>
        <v>20264.0917530198</v>
      </c>
    </row>
    <row r="99" customFormat="false" ht="13.5" hidden="false" customHeight="false" outlineLevel="0" collapsed="false">
      <c r="A99" s="363"/>
      <c r="B99" s="241"/>
      <c r="C99" s="241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</row>
    <row r="100" customFormat="false" ht="13.5" hidden="false" customHeight="false" outlineLevel="0" collapsed="false">
      <c r="A100" s="40" t="s">
        <v>228</v>
      </c>
      <c r="B100" s="311" t="n">
        <f aca="false">B79+B98</f>
        <v>825.789286993424</v>
      </c>
      <c r="C100" s="311" t="n">
        <f aca="false">C79+C98</f>
        <v>534.013032389125</v>
      </c>
      <c r="D100" s="311" t="n">
        <f aca="false">D79+D98</f>
        <v>779.175546458054</v>
      </c>
      <c r="E100" s="311" t="n">
        <f aca="false">E79+E98</f>
        <v>1024.62281977852</v>
      </c>
      <c r="F100" s="311" t="n">
        <f aca="false">F79+F98</f>
        <v>1281.22864433932</v>
      </c>
      <c r="G100" s="311" t="n">
        <f aca="false">G79+G98</f>
        <v>1429.55752707111</v>
      </c>
      <c r="H100" s="311" t="n">
        <f aca="false">H79+H98</f>
        <v>1540.33500174304</v>
      </c>
      <c r="I100" s="311" t="n">
        <f aca="false">I79+I98</f>
        <v>1623.63748234837</v>
      </c>
      <c r="J100" s="311" t="n">
        <f aca="false">J79+J98</f>
        <v>1723.6636640587</v>
      </c>
      <c r="K100" s="311" t="n">
        <f aca="false">K79+K98</f>
        <v>1829.24811323347</v>
      </c>
      <c r="L100" s="311" t="n">
        <f aca="false">L79+L98</f>
        <v>1896.23819450688</v>
      </c>
      <c r="M100" s="311" t="n">
        <f aca="false">M79+M98</f>
        <v>1975.77586788693</v>
      </c>
      <c r="N100" s="311" t="n">
        <f aca="false">N79+N98</f>
        <v>2064.07091026446</v>
      </c>
      <c r="O100" s="311" t="n">
        <f aca="false">O79+O98</f>
        <v>2152.90259952394</v>
      </c>
      <c r="P100" s="311" t="n">
        <f aca="false">P79+P98</f>
        <v>2248.28623704297</v>
      </c>
      <c r="Q100" s="311" t="n">
        <f aca="false">Q79+Q98</f>
        <v>2638.70159205532</v>
      </c>
      <c r="R100" s="311" t="n">
        <f aca="false">R79+R98</f>
        <v>3037.47493373387</v>
      </c>
      <c r="S100" s="311" t="n">
        <f aca="false">S79+S98</f>
        <v>3158.77543437321</v>
      </c>
      <c r="T100" s="311" t="n">
        <f aca="false">T79+T98</f>
        <v>3287.60957580078</v>
      </c>
      <c r="U100" s="311" t="n">
        <f aca="false">U79+U98</f>
        <v>3424.61332144027</v>
      </c>
      <c r="W100" s="170" t="n">
        <f aca="false">SUM(B100:U100)</f>
        <v>38475.7197850417</v>
      </c>
    </row>
    <row r="10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47.28"/>
    <col collapsed="false" customWidth="true" hidden="false" outlineLevel="0" max="21" min="2" style="4" width="10.71"/>
    <col collapsed="false" customWidth="false" hidden="false" outlineLevel="0" max="22" min="22" style="93" width="9.14"/>
    <col collapsed="false" customWidth="true" hidden="false" outlineLevel="0" max="23" min="23" style="93" width="11.42"/>
    <col collapsed="false" customWidth="false" hidden="false" outlineLevel="0" max="257" min="24" style="93" width="9.14"/>
  </cols>
  <sheetData>
    <row r="1" customFormat="false" ht="12.75" hidden="false" customHeight="false" outlineLevel="0" collapsed="false"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customFormat="false" ht="18" hidden="false" customHeight="false" outlineLevel="0" collapsed="false">
      <c r="A2" s="149" t="s">
        <v>229</v>
      </c>
      <c r="B2" s="312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5" customFormat="false" ht="13.5" hidden="false" customHeight="false" outlineLevel="0" collapsed="false">
      <c r="A5" s="154" t="s">
        <v>101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</row>
    <row r="6" customFormat="false" ht="12.75" hidden="false" customHeight="false" outlineLevel="0" collapsed="false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customFormat="false" ht="12.75" hidden="false" customHeight="false" outlineLevel="0" collapsed="false">
      <c r="A7" s="163" t="s">
        <v>102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313"/>
      <c r="W7" s="313"/>
      <c r="X7" s="313"/>
      <c r="Y7" s="157" t="n">
        <f aca="false">SUM(Z7:AS7)-SUM(Z8:AS8)</f>
        <v>0</v>
      </c>
      <c r="Z7" s="158" t="n">
        <f aca="false">B10</f>
        <v>4330.12</v>
      </c>
      <c r="AA7" s="158" t="n">
        <f aca="false">C10</f>
        <v>4460.0236</v>
      </c>
      <c r="AB7" s="158" t="n">
        <f aca="false">D10</f>
        <v>4593.824308</v>
      </c>
      <c r="AC7" s="158" t="n">
        <f aca="false">E10</f>
        <v>4731.63903724</v>
      </c>
      <c r="AD7" s="158" t="n">
        <f aca="false">F10</f>
        <v>4873.5882083572</v>
      </c>
      <c r="AE7" s="158" t="n">
        <f aca="false">G10</f>
        <v>5019.79585460792</v>
      </c>
      <c r="AF7" s="158" t="n">
        <f aca="false">H10</f>
        <v>5170.38973024616</v>
      </c>
      <c r="AG7" s="158" t="n">
        <f aca="false">I10</f>
        <v>5325.50142215354</v>
      </c>
      <c r="AH7" s="158" t="n">
        <f aca="false">J10</f>
        <v>5485.26646481815</v>
      </c>
      <c r="AI7" s="158" t="n">
        <f aca="false">K10</f>
        <v>5649.82445876269</v>
      </c>
      <c r="AJ7" s="158" t="n">
        <f aca="false">L10</f>
        <v>5819.31919252557</v>
      </c>
      <c r="AK7" s="158" t="n">
        <f aca="false">M10</f>
        <v>5993.89876830134</v>
      </c>
      <c r="AL7" s="158" t="n">
        <f aca="false">N10</f>
        <v>6173.71573135038</v>
      </c>
      <c r="AM7" s="158" t="n">
        <f aca="false">O10</f>
        <v>6358.92720329089</v>
      </c>
      <c r="AN7" s="158" t="n">
        <f aca="false">P10</f>
        <v>6549.69501938962</v>
      </c>
      <c r="AO7" s="158" t="n">
        <f aca="false">Q10</f>
        <v>6746.18586997131</v>
      </c>
      <c r="AP7" s="158" t="n">
        <f aca="false">R10</f>
        <v>6948.57144607044</v>
      </c>
      <c r="AQ7" s="158" t="n">
        <f aca="false">S10</f>
        <v>7157.02858945256</v>
      </c>
      <c r="AR7" s="158" t="n">
        <f aca="false">T10</f>
        <v>7371.73944713614</v>
      </c>
      <c r="AS7" s="158" t="n">
        <f aca="false">U10</f>
        <v>7592.89163055022</v>
      </c>
    </row>
    <row r="8" customFormat="false" ht="12.75" hidden="false" customHeight="false" outlineLevel="0" collapsed="false">
      <c r="A8" s="165" t="s">
        <v>103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W8" s="164"/>
      <c r="X8" s="1"/>
      <c r="Y8" s="314" t="n">
        <v>0</v>
      </c>
      <c r="Z8" s="315" t="n">
        <f aca="false">B17+1/3*B18</f>
        <v>4330.12</v>
      </c>
      <c r="AA8" s="315" t="n">
        <f aca="false">C17+1/3*C18</f>
        <v>4460.0236</v>
      </c>
      <c r="AB8" s="315" t="n">
        <f aca="false">D17+1/3*D18</f>
        <v>4593.824308</v>
      </c>
      <c r="AC8" s="315" t="n">
        <f aca="false">E17+1/3*E18</f>
        <v>4731.63903724</v>
      </c>
      <c r="AD8" s="315" t="n">
        <f aca="false">F17+1/3*F18</f>
        <v>4873.5882083572</v>
      </c>
      <c r="AE8" s="315" t="n">
        <f aca="false">G17+1/3*G18</f>
        <v>5019.79585460792</v>
      </c>
      <c r="AF8" s="315" t="n">
        <f aca="false">H17+1/3*H18</f>
        <v>5170.38973024616</v>
      </c>
      <c r="AG8" s="315" t="n">
        <f aca="false">I17+1/3*I18</f>
        <v>5325.50142215354</v>
      </c>
      <c r="AH8" s="315" t="n">
        <f aca="false">J17+1/3*J18</f>
        <v>5485.26646481815</v>
      </c>
      <c r="AI8" s="315" t="n">
        <f aca="false">K17+1/3*K18</f>
        <v>5649.82445876269</v>
      </c>
      <c r="AJ8" s="315" t="n">
        <f aca="false">L17+1/3*L18</f>
        <v>5819.31919252557</v>
      </c>
      <c r="AK8" s="315" t="n">
        <f aca="false">M17+1/3*M18</f>
        <v>5993.89876830134</v>
      </c>
      <c r="AL8" s="315" t="n">
        <f aca="false">N17+1/3*N18</f>
        <v>6173.71573135038</v>
      </c>
      <c r="AM8" s="315" t="n">
        <f aca="false">O17+1/3*O18</f>
        <v>6358.92720329089</v>
      </c>
      <c r="AN8" s="315" t="n">
        <f aca="false">P17+1/3*P18</f>
        <v>6549.69501938962</v>
      </c>
      <c r="AO8" s="315" t="n">
        <f aca="false">Q17+1/3*Q18</f>
        <v>6746.18586997131</v>
      </c>
      <c r="AP8" s="315" t="n">
        <f aca="false">R17+1/3*R18</f>
        <v>6948.57144607044</v>
      </c>
      <c r="AQ8" s="315" t="n">
        <f aca="false">S17+1/3*S18</f>
        <v>7157.02858945256</v>
      </c>
      <c r="AR8" s="315" t="n">
        <f aca="false">T17+1/3*T18</f>
        <v>7371.73944713614</v>
      </c>
      <c r="AS8" s="315" t="n">
        <f aca="false">U17+1/3*U18</f>
        <v>7592.89163055022</v>
      </c>
    </row>
    <row r="9" customFormat="false" ht="12.75" hidden="false" customHeight="false" outlineLevel="0" collapsed="false">
      <c r="A9" s="169" t="s">
        <v>104</v>
      </c>
      <c r="B9" s="172" t="n">
        <f aca="false">'Power Price Assumption'!C44*Assumptions!$E$9*12</f>
        <v>42593.4319763109</v>
      </c>
      <c r="C9" s="172" t="n">
        <f aca="false">'Power Price Assumption'!D44*Assumptions!$E$9*12</f>
        <v>44590.8193006927</v>
      </c>
      <c r="D9" s="172" t="n">
        <f aca="false">'Power Price Assumption'!E44*Assumptions!$E$9*12</f>
        <v>46681.8726185972</v>
      </c>
      <c r="E9" s="172" t="n">
        <f aca="false">'Power Price Assumption'!F44*Assumptions!$E$9*12</f>
        <v>48870.9843271501</v>
      </c>
      <c r="F9" s="172" t="n">
        <f aca="false">'Power Price Assumption'!G44*Assumptions!$E$9*12</f>
        <v>51162.7528016746</v>
      </c>
      <c r="G9" s="172" t="n">
        <f aca="false">'Power Price Assumption'!H44*Assumptions!$E$9*12</f>
        <v>52194.0624036452</v>
      </c>
      <c r="H9" s="172" t="n">
        <f aca="false">'Power Price Assumption'!I44*Assumptions!$E$9*12</f>
        <v>53246.1605566002</v>
      </c>
      <c r="I9" s="172" t="n">
        <f aca="false">'Power Price Assumption'!J44*Assumptions!$E$9*12</f>
        <v>54319.4663042982</v>
      </c>
      <c r="J9" s="172" t="n">
        <f aca="false">'Power Price Assumption'!K44*Assumptions!$E$9*12</f>
        <v>55414.4071373432</v>
      </c>
      <c r="K9" s="172" t="n">
        <f aca="false">'Power Price Assumption'!L44*Assumptions!$E$9*12</f>
        <v>56531.419163451</v>
      </c>
      <c r="L9" s="172" t="n">
        <f aca="false">'Power Price Assumption'!M44*Assumptions!$E$9*12</f>
        <v>57643.0224536355</v>
      </c>
      <c r="M9" s="172" t="n">
        <f aca="false">'Power Price Assumption'!N44*Assumptions!$E$9*12</f>
        <v>58776.48371047</v>
      </c>
      <c r="N9" s="172" t="n">
        <f aca="false">'Power Price Assumption'!O44*Assumptions!$E$9*12</f>
        <v>59932.2327372037</v>
      </c>
      <c r="O9" s="172" t="n">
        <f aca="false">'Power Price Assumption'!P44*Assumptions!$E$9*12</f>
        <v>61110.707788505</v>
      </c>
      <c r="P9" s="172" t="n">
        <f aca="false">'Power Price Assumption'!Q44*Assumptions!$E$9*12</f>
        <v>62312.355736645</v>
      </c>
      <c r="Q9" s="172" t="n">
        <f aca="false">'Power Price Assumption'!R44*Assumptions!$E$9*12</f>
        <v>63270.9780887808</v>
      </c>
      <c r="R9" s="172" t="n">
        <f aca="false">'Power Price Assumption'!S44*Assumptions!$E$9*12</f>
        <v>64244.3480267389</v>
      </c>
      <c r="S9" s="172" t="n">
        <f aca="false">'Power Price Assumption'!T44*Assumptions!$E$9*12</f>
        <v>65232.6924295264</v>
      </c>
      <c r="T9" s="172" t="n">
        <f aca="false">'Power Price Assumption'!U44*Assumptions!$E$9*12</f>
        <v>66236.2416664905</v>
      </c>
      <c r="U9" s="172" t="n">
        <f aca="false">'Power Price Assumption'!V44*Assumptions!$E$9*12</f>
        <v>67255.2296510135</v>
      </c>
      <c r="V9" s="316"/>
      <c r="W9" s="164" t="n">
        <f aca="false">SUM(B9:U9)</f>
        <v>1131619.66887877</v>
      </c>
      <c r="X9" s="1"/>
      <c r="Y9" s="157"/>
      <c r="Z9" s="161" t="n">
        <f aca="false">Z7-Z8</f>
        <v>0</v>
      </c>
      <c r="AA9" s="161" t="n">
        <f aca="false">AA7-AA8</f>
        <v>0</v>
      </c>
      <c r="AB9" s="161" t="n">
        <f aca="false">AB7-AB8</f>
        <v>0</v>
      </c>
      <c r="AC9" s="161" t="n">
        <f aca="false">AC7-AC8</f>
        <v>0</v>
      </c>
      <c r="AD9" s="161" t="n">
        <f aca="false">AD7-AD8</f>
        <v>0</v>
      </c>
      <c r="AE9" s="161" t="n">
        <f aca="false">AE7-AE8</f>
        <v>0</v>
      </c>
      <c r="AF9" s="161" t="n">
        <f aca="false">AF7-AF8</f>
        <v>0</v>
      </c>
      <c r="AG9" s="161" t="n">
        <f aca="false">AG7-AG8</f>
        <v>0</v>
      </c>
      <c r="AH9" s="161" t="n">
        <f aca="false">AH7-AH8</f>
        <v>0</v>
      </c>
      <c r="AI9" s="161" t="n">
        <f aca="false">AI7-AI8</f>
        <v>0</v>
      </c>
      <c r="AJ9" s="161" t="n">
        <f aca="false">AJ7-AJ8</f>
        <v>0</v>
      </c>
      <c r="AK9" s="161" t="n">
        <f aca="false">AK7-AK8</f>
        <v>0</v>
      </c>
      <c r="AL9" s="161" t="n">
        <f aca="false">AL7-AL8</f>
        <v>0</v>
      </c>
      <c r="AM9" s="161" t="n">
        <f aca="false">AM7-AM8</f>
        <v>0</v>
      </c>
      <c r="AN9" s="161" t="n">
        <f aca="false">AN7-AN8</f>
        <v>0</v>
      </c>
      <c r="AO9" s="161" t="n">
        <f aca="false">AO7-AO8</f>
        <v>0</v>
      </c>
      <c r="AP9" s="161" t="n">
        <f aca="false">AP7-AP8</f>
        <v>0</v>
      </c>
      <c r="AQ9" s="161" t="n">
        <f aca="false">AQ7-AQ8</f>
        <v>0</v>
      </c>
      <c r="AR9" s="161" t="n">
        <f aca="false">AR7-AR8</f>
        <v>0</v>
      </c>
      <c r="AS9" s="161" t="n">
        <f aca="false">AS7-AS8</f>
        <v>0</v>
      </c>
    </row>
    <row r="10" customFormat="false" ht="12.75" hidden="false" customHeight="false" outlineLevel="0" collapsed="false">
      <c r="A10" s="169" t="s">
        <v>105</v>
      </c>
      <c r="B10" s="153" t="n">
        <f aca="false">1/3*Assumptions!$E$18*Assumptions!$E$11*Assumptions!$E$8/1000*(1+Assumptions!$E$25)^(B5-2000)+Assumptions!$E$19*Assumptions!$E$17*(1+Assumptions!$E$25)^(B5-2000)/1000</f>
        <v>4330.12</v>
      </c>
      <c r="C10" s="153" t="n">
        <f aca="false">1/3*Assumptions!$E$18*Assumptions!$E$11*Assumptions!$E$8/1000*(1+Assumptions!$E$25)^(C5-2000)+Assumptions!$E$19*Assumptions!$E$17*(1+Assumptions!$E$25)^(C5-2000)/1000</f>
        <v>4460.0236</v>
      </c>
      <c r="D10" s="153" t="n">
        <f aca="false">1/3*Assumptions!$E$18*Assumptions!$E$11*Assumptions!$E$8/1000*(1+Assumptions!$E$25)^(D5-2000)+Assumptions!$E$19*Assumptions!$E$17*(1+Assumptions!$E$25)^(D5-2000)/1000</f>
        <v>4593.824308</v>
      </c>
      <c r="E10" s="153" t="n">
        <f aca="false">1/3*Assumptions!$E$18*Assumptions!$E$11*Assumptions!$E$8/1000*(1+Assumptions!$E$25)^(E5-2000)+Assumptions!$E$19*Assumptions!$E$17*(1+Assumptions!$E$25)^(E5-2000)/1000</f>
        <v>4731.63903724</v>
      </c>
      <c r="F10" s="153" t="n">
        <f aca="false">1/3*Assumptions!$E$18*Assumptions!$E$11*Assumptions!$E$8/1000*(1+Assumptions!$E$25)^(F5-2000)+Assumptions!$E$19*Assumptions!$E$17*(1+Assumptions!$E$25)^(F5-2000)/1000</f>
        <v>4873.5882083572</v>
      </c>
      <c r="G10" s="153" t="n">
        <f aca="false">1/3*Assumptions!$E$18*Assumptions!$E$11*Assumptions!$E$8/1000*(1+Assumptions!$E$25)^(G5-2000)+Assumptions!$E$19*Assumptions!$E$17*(1+Assumptions!$E$25)^(G5-2000)/1000</f>
        <v>5019.79585460792</v>
      </c>
      <c r="H10" s="153" t="n">
        <f aca="false">1/3*Assumptions!$E$18*Assumptions!$E$11*Assumptions!$E$8/1000*(1+Assumptions!$E$25)^(H5-2000)+Assumptions!$E$19*Assumptions!$E$17*(1+Assumptions!$E$25)^(H5-2000)/1000</f>
        <v>5170.38973024616</v>
      </c>
      <c r="I10" s="153" t="n">
        <f aca="false">1/3*Assumptions!$E$18*Assumptions!$E$11*Assumptions!$E$8/1000*(1+Assumptions!$E$25)^(I5-2000)+Assumptions!$E$19*Assumptions!$E$17*(1+Assumptions!$E$25)^(I5-2000)/1000</f>
        <v>5325.50142215354</v>
      </c>
      <c r="J10" s="153" t="n">
        <f aca="false">1/3*Assumptions!$E$18*Assumptions!$E$11*Assumptions!$E$8/1000*(1+Assumptions!$E$25)^(J5-2000)+Assumptions!$E$19*Assumptions!$E$17*(1+Assumptions!$E$25)^(J5-2000)/1000</f>
        <v>5485.26646481815</v>
      </c>
      <c r="K10" s="153" t="n">
        <f aca="false">1/3*Assumptions!$E$18*Assumptions!$E$11*Assumptions!$E$8/1000*(1+Assumptions!$E$25)^(K5-2000)+Assumptions!$E$19*Assumptions!$E$17*(1+Assumptions!$E$25)^(K5-2000)/1000</f>
        <v>5649.82445876269</v>
      </c>
      <c r="L10" s="153" t="n">
        <f aca="false">1/3*Assumptions!$E$18*Assumptions!$E$11*Assumptions!$E$8/1000*(1+Assumptions!$E$25)^(L5-2000)+Assumptions!$E$19*Assumptions!$E$17*(1+Assumptions!$E$25)^(L5-2000)/1000</f>
        <v>5819.31919252557</v>
      </c>
      <c r="M10" s="153" t="n">
        <f aca="false">1/3*Assumptions!$E$18*Assumptions!$E$11*Assumptions!$E$8/1000*(1+Assumptions!$E$25)^(M5-2000)+Assumptions!$E$19*Assumptions!$E$17*(1+Assumptions!$E$25)^(M5-2000)/1000</f>
        <v>5993.89876830134</v>
      </c>
      <c r="N10" s="153" t="n">
        <f aca="false">1/3*Assumptions!$E$18*Assumptions!$E$11*Assumptions!$E$8/1000*(1+Assumptions!$E$25)^(N5-2000)+Assumptions!$E$19*Assumptions!$E$17*(1+Assumptions!$E$25)^(N5-2000)/1000</f>
        <v>6173.71573135038</v>
      </c>
      <c r="O10" s="153" t="n">
        <f aca="false">1/3*Assumptions!$E$18*Assumptions!$E$11*Assumptions!$E$8/1000*(1+Assumptions!$E$25)^(O5-2000)+Assumptions!$E$19*Assumptions!$E$17*(1+Assumptions!$E$25)^(O5-2000)/1000</f>
        <v>6358.92720329089</v>
      </c>
      <c r="P10" s="153" t="n">
        <f aca="false">1/3*Assumptions!$E$18*Assumptions!$E$11*Assumptions!$E$8/1000*(1+Assumptions!$E$25)^(P5-2000)+Assumptions!$E$19*Assumptions!$E$17*(1+Assumptions!$E$25)^(P5-2000)/1000</f>
        <v>6549.69501938962</v>
      </c>
      <c r="Q10" s="153" t="n">
        <f aca="false">1/3*Assumptions!$E$18*Assumptions!$E$11*Assumptions!$E$8/1000*(1+Assumptions!$E$25)^(Q5-2000)+Assumptions!$E$19*Assumptions!$E$17*(1+Assumptions!$E$25)^(Q5-2000)/1000</f>
        <v>6746.18586997131</v>
      </c>
      <c r="R10" s="153" t="n">
        <f aca="false">1/3*Assumptions!$E$18*Assumptions!$E$11*Assumptions!$E$8/1000*(1+Assumptions!$E$25)^(R5-2000)+Assumptions!$E$19*Assumptions!$E$17*(1+Assumptions!$E$25)^(R5-2000)/1000</f>
        <v>6948.57144607044</v>
      </c>
      <c r="S10" s="153" t="n">
        <f aca="false">1/3*Assumptions!$E$18*Assumptions!$E$11*Assumptions!$E$8/1000*(1+Assumptions!$E$25)^(S5-2000)+Assumptions!$E$19*Assumptions!$E$17*(1+Assumptions!$E$25)^(S5-2000)/1000</f>
        <v>7157.02858945256</v>
      </c>
      <c r="T10" s="153" t="n">
        <f aca="false">1/3*Assumptions!$E$18*Assumptions!$E$11*Assumptions!$E$8/1000*(1+Assumptions!$E$25)^(T5-2000)+Assumptions!$E$19*Assumptions!$E$17*(1+Assumptions!$E$25)^(T5-2000)/1000</f>
        <v>7371.73944713614</v>
      </c>
      <c r="U10" s="153" t="n">
        <f aca="false">1/3*Assumptions!$E$18*Assumptions!$E$11*Assumptions!$E$8/1000*(1+Assumptions!$E$25)^(U5-2000)+Assumptions!$E$19*Assumptions!$E$17*(1+Assumptions!$E$25)^(U5-2000)/1000</f>
        <v>7592.89163055022</v>
      </c>
      <c r="V10" s="316"/>
      <c r="W10" s="164" t="n">
        <f aca="false">SUM(B10:U10)</f>
        <v>116351.945982224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customFormat="false" ht="12.75" hidden="false" customHeight="false" outlineLevel="0" collapsed="false">
      <c r="A11" s="169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164" t="n">
        <f aca="false">SUM(B11:U11)</f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customFormat="false" ht="12.75" hidden="false" customHeight="false" outlineLevel="0" collapsed="false">
      <c r="A12" s="169" t="s">
        <v>106</v>
      </c>
      <c r="B12" s="260" t="n">
        <f aca="false">(SUM(B8:B10)-SUM(B16:B21))*'Summary Output'!$B$24/4</f>
        <v>492.716603884702</v>
      </c>
      <c r="C12" s="260" t="n">
        <f aca="false">(SUM(C8:C10)-SUM(C16:C21))*'Summary Output'!$B$24/4</f>
        <v>517.870364684084</v>
      </c>
      <c r="D12" s="260" t="n">
        <f aca="false">(SUM(D8:D10)-SUM(D16:D21))*'Summary Output'!$B$24/4</f>
        <v>542.967469940608</v>
      </c>
      <c r="E12" s="260" t="n">
        <f aca="false">(SUM(E8:E10)-SUM(E16:E21))*'Summary Output'!$B$24/4</f>
        <v>569.260960743719</v>
      </c>
      <c r="F12" s="260" t="n">
        <f aca="false">(SUM(F8:F10)-SUM(F16:F21))*'Summary Output'!$B$24/4</f>
        <v>596.80751145486</v>
      </c>
      <c r="G12" s="260" t="n">
        <f aca="false">(SUM(G8:G10)-SUM(G16:G21))*'Summary Output'!$B$24/4</f>
        <v>608.566097102466</v>
      </c>
      <c r="H12" s="260" t="n">
        <f aca="false">(SUM(H8:H10)-SUM(H16:H21))*'Summary Output'!$B$24/4</f>
        <v>620.710206106065</v>
      </c>
      <c r="I12" s="260" t="n">
        <f aca="false">(SUM(I8:I10)-SUM(I16:I21))*'Summary Output'!$B$24/4</f>
        <v>633.089196506702</v>
      </c>
      <c r="J12" s="260" t="n">
        <f aca="false">(SUM(J8:J10)-SUM(J16:J21))*'Summary Output'!$B$24/4</f>
        <v>645.707505530809</v>
      </c>
      <c r="K12" s="260" t="n">
        <f aca="false">(SUM(K8:K10)-SUM(K16:K21))*'Summary Output'!$B$24/4</f>
        <v>658.569650926533</v>
      </c>
      <c r="L12" s="260" t="n">
        <f aca="false">(SUM(L8:L10)-SUM(L16:L21))*'Summary Output'!$B$24/4</f>
        <v>671.331171975296</v>
      </c>
      <c r="M12" s="260" t="n">
        <f aca="false">(SUM(M8:M10)-SUM(M16:M21))*'Summary Output'!$B$24/4</f>
        <v>684.331912004828</v>
      </c>
      <c r="N12" s="260" t="n">
        <f aca="false">(SUM(N8:N10)-SUM(N16:N21))*'Summary Output'!$B$24/4</f>
        <v>697.576223387673</v>
      </c>
      <c r="O12" s="260" t="n">
        <f aca="false">(SUM(O8:O10)-SUM(O16:O21))*'Summary Output'!$B$24/4</f>
        <v>711.068533534072</v>
      </c>
      <c r="P12" s="260" t="n">
        <f aca="false">(SUM(P8:P10)-SUM(P16:P21))*'Summary Output'!$B$24/4</f>
        <v>724.813346051111</v>
      </c>
      <c r="Q12" s="260" t="n">
        <f aca="false">(SUM(Q8:Q10)-SUM(Q16:Q21))*'Summary Output'!$B$24/4</f>
        <v>735.482065013055</v>
      </c>
      <c r="R12" s="260" t="n">
        <f aca="false">(SUM(R8:R10)-SUM(R16:R21))*'Summary Output'!$B$24/4</f>
        <v>746.295706984584</v>
      </c>
      <c r="S12" s="260" t="n">
        <f aca="false">(SUM(S8:S10)-SUM(S16:S21))*'Summary Output'!$B$24/4</f>
        <v>757.255925298895</v>
      </c>
      <c r="T12" s="260" t="n">
        <f aca="false">(SUM(T8:T10)-SUM(T16:T21))*'Summary Output'!$B$24/4</f>
        <v>768.364381438795</v>
      </c>
      <c r="U12" s="260" t="n">
        <f aca="false">(SUM(U8:U10)-SUM(U16:U21))*'Summary Output'!$B$24/4</f>
        <v>779.622744643517</v>
      </c>
      <c r="V12" s="316"/>
      <c r="W12" s="164" t="n">
        <f aca="false">SUM(B12:U12)</f>
        <v>13162.4075772124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customFormat="false" ht="12.75" hidden="false" customHeight="false" outlineLevel="0" collapsed="false">
      <c r="A13" s="169" t="s">
        <v>107</v>
      </c>
      <c r="B13" s="172" t="n">
        <f aca="false">SUM(B8:B12)</f>
        <v>47416.2685801956</v>
      </c>
      <c r="C13" s="172" t="n">
        <f aca="false">SUM(C8:C12)</f>
        <v>49568.7132653768</v>
      </c>
      <c r="D13" s="172" t="n">
        <f aca="false">SUM(D8:D12)</f>
        <v>51818.6643965378</v>
      </c>
      <c r="E13" s="172" t="n">
        <f aca="false">SUM(E8:E12)</f>
        <v>54171.8843251338</v>
      </c>
      <c r="F13" s="172" t="n">
        <f aca="false">SUM(F8:F12)</f>
        <v>56633.1485214867</v>
      </c>
      <c r="G13" s="172" t="n">
        <f aca="false">SUM(G8:G12)</f>
        <v>57822.4243553556</v>
      </c>
      <c r="H13" s="172" t="n">
        <f aca="false">SUM(H8:H12)</f>
        <v>59037.2604929524</v>
      </c>
      <c r="I13" s="172" t="n">
        <f aca="false">SUM(I8:I12)</f>
        <v>60278.0569229584</v>
      </c>
      <c r="J13" s="172" t="n">
        <f aca="false">SUM(J8:J12)</f>
        <v>61545.3811076922</v>
      </c>
      <c r="K13" s="172" t="n">
        <f aca="false">SUM(K8:K12)</f>
        <v>62839.8132731402</v>
      </c>
      <c r="L13" s="172" t="n">
        <f aca="false">SUM(L8:L12)</f>
        <v>64133.6728181364</v>
      </c>
      <c r="M13" s="172" t="n">
        <f aca="false">SUM(M8:M12)</f>
        <v>65454.7143907762</v>
      </c>
      <c r="N13" s="172" t="n">
        <f aca="false">SUM(N8:N12)</f>
        <v>66803.5246919418</v>
      </c>
      <c r="O13" s="172" t="n">
        <f aca="false">SUM(O8:O12)</f>
        <v>68180.7035253299</v>
      </c>
      <c r="P13" s="172" t="n">
        <f aca="false">SUM(P8:P12)</f>
        <v>69586.8641020858</v>
      </c>
      <c r="Q13" s="172" t="n">
        <f aca="false">SUM(Q8:Q12)</f>
        <v>70752.6460237652</v>
      </c>
      <c r="R13" s="172" t="n">
        <f aca="false">SUM(R8:R12)</f>
        <v>71939.2151797939</v>
      </c>
      <c r="S13" s="172" t="n">
        <f aca="false">SUM(S8:S12)</f>
        <v>73146.9769442779</v>
      </c>
      <c r="T13" s="172" t="n">
        <f aca="false">SUM(T8:T12)</f>
        <v>74376.3454950654</v>
      </c>
      <c r="U13" s="172" t="n">
        <f aca="false">SUM(U8:U12)</f>
        <v>75627.7440262072</v>
      </c>
      <c r="V13" s="316"/>
      <c r="W13" s="164" t="n">
        <f aca="false">SUM(B13:U13)</f>
        <v>1261134.02243821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customFormat="false" ht="12.75" hidden="false" customHeight="false" outlineLevel="0" collapsed="false">
      <c r="A14" s="3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316"/>
      <c r="W14" s="16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customFormat="false" ht="12.75" hidden="false" customHeight="false" outlineLevel="0" collapsed="false">
      <c r="A15" s="163" t="s">
        <v>108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W15" s="16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</row>
    <row r="16" customFormat="false" ht="12.75" hidden="false" customHeight="false" outlineLevel="0" collapsed="false">
      <c r="A16" s="169" t="s">
        <v>71</v>
      </c>
      <c r="B16" s="153" t="n">
        <f aca="false">Assumptions!E28*(1+Assumptions!$E$25)</f>
        <v>1491.99678857143</v>
      </c>
      <c r="C16" s="164" t="n">
        <f aca="false">B16*(1+Assumptions!$E$25)</f>
        <v>1536.75669222857</v>
      </c>
      <c r="D16" s="164" t="n">
        <f aca="false">C16*(1+Assumptions!$E$25)</f>
        <v>1582.85939299543</v>
      </c>
      <c r="E16" s="164" t="n">
        <f aca="false">D16*(1+Assumptions!$E$25)</f>
        <v>1630.34517478529</v>
      </c>
      <c r="F16" s="164" t="n">
        <f aca="false">E16*(1+Assumptions!$E$25)</f>
        <v>1679.25553002885</v>
      </c>
      <c r="G16" s="164" t="n">
        <f aca="false">F16*(1+Assumptions!$E$25)</f>
        <v>1729.63319592972</v>
      </c>
      <c r="H16" s="164" t="n">
        <f aca="false">G16*(1+Assumptions!$E$25)</f>
        <v>1781.52219180761</v>
      </c>
      <c r="I16" s="164" t="n">
        <f aca="false">H16*(1+Assumptions!$E$25)</f>
        <v>1834.96785756184</v>
      </c>
      <c r="J16" s="164" t="n">
        <f aca="false">I16*(1+Assumptions!$E$25)</f>
        <v>1890.01689328869</v>
      </c>
      <c r="K16" s="164" t="n">
        <f aca="false">J16*(1+Assumptions!$E$25)</f>
        <v>1946.71740008735</v>
      </c>
      <c r="L16" s="164" t="n">
        <f aca="false">K16*(1+Assumptions!$E$25)</f>
        <v>2005.11892208997</v>
      </c>
      <c r="M16" s="164" t="n">
        <f aca="false">L16*(1+Assumptions!$E$25)</f>
        <v>2065.27248975267</v>
      </c>
      <c r="N16" s="164" t="n">
        <f aca="false">M16*(1+Assumptions!$E$25)</f>
        <v>2127.23066444525</v>
      </c>
      <c r="O16" s="164" t="n">
        <f aca="false">N16*(1+Assumptions!$E$25)</f>
        <v>2191.04758437861</v>
      </c>
      <c r="P16" s="164" t="n">
        <f aca="false">O16*(1+Assumptions!$E$25)</f>
        <v>2256.77901190997</v>
      </c>
      <c r="Q16" s="164" t="n">
        <f aca="false">P16*(1+Assumptions!$E$25)</f>
        <v>2324.48238226727</v>
      </c>
      <c r="R16" s="164" t="n">
        <f aca="false">Q16*(1+Assumptions!$E$25)</f>
        <v>2394.21685373528</v>
      </c>
      <c r="S16" s="164" t="n">
        <f aca="false">R16*(1+Assumptions!$E$25)</f>
        <v>2466.04335934734</v>
      </c>
      <c r="T16" s="164" t="n">
        <f aca="false">S16*(1+Assumptions!$E$25)</f>
        <v>2540.02466012776</v>
      </c>
      <c r="U16" s="164" t="n">
        <f aca="false">T16*(1+Assumptions!$E$25)</f>
        <v>2616.2253999316</v>
      </c>
      <c r="W16" s="164" t="n">
        <f aca="false">SUM(B16:U16)</f>
        <v>40090.5124452705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</row>
    <row r="17" customFormat="false" ht="12.75" hidden="false" customHeight="false" outlineLevel="0" collapsed="false">
      <c r="A17" s="169" t="s">
        <v>72</v>
      </c>
      <c r="B17" s="153" t="n">
        <f aca="false">Assumptions!$E$29*(1+Assumptions!$E$25)</f>
        <v>4124.12</v>
      </c>
      <c r="C17" s="172" t="n">
        <f aca="false">B17*(1+Assumptions!$E$25)</f>
        <v>4247.8436</v>
      </c>
      <c r="D17" s="172" t="n">
        <f aca="false">C17*(1+Assumptions!$E$25)</f>
        <v>4375.278908</v>
      </c>
      <c r="E17" s="153" t="n">
        <f aca="false">Assumptions!$E$19*Assumptions!$E$23*(1+Assumptions!$E$25)^(E5-2000)/1000</f>
        <v>4506.53727524</v>
      </c>
      <c r="F17" s="153" t="n">
        <f aca="false">Assumptions!$E$19*Assumptions!$E$23*(1+Assumptions!$E$25)^(F5-2000)/1000</f>
        <v>4641.7333934972</v>
      </c>
      <c r="G17" s="153" t="n">
        <f aca="false">Assumptions!$E$19*Assumptions!$E$23*(1+Assumptions!$E$25)^(G5-2000)/1000</f>
        <v>4780.98539530212</v>
      </c>
      <c r="H17" s="153" t="n">
        <f aca="false">Assumptions!$E$19*Assumptions!$E$23*(1+Assumptions!$E$25)^(H5-2000)/1000</f>
        <v>4924.41495716118</v>
      </c>
      <c r="I17" s="153" t="n">
        <f aca="false">Assumptions!$E$19*Assumptions!$E$23*(1+Assumptions!$E$25)^(I5-2000)/1000</f>
        <v>5072.14740587602</v>
      </c>
      <c r="J17" s="153" t="n">
        <f aca="false">Assumptions!$E$19*Assumptions!$E$23*(1+Assumptions!$E$25)^(J5-2000)/1000</f>
        <v>5224.3118280523</v>
      </c>
      <c r="K17" s="153" t="n">
        <f aca="false">Assumptions!$E$19*Assumptions!$E$23*(1+Assumptions!$E$25)^(K5-2000)/1000</f>
        <v>5381.04118289387</v>
      </c>
      <c r="L17" s="153" t="n">
        <f aca="false">Assumptions!$E$19*Assumptions!$E$23*(1+Assumptions!$E$25)^(L5-2000)/1000</f>
        <v>5542.47241838068</v>
      </c>
      <c r="M17" s="153" t="n">
        <f aca="false">Assumptions!$E$19*Assumptions!$E$23*(1+Assumptions!$E$25)^(M5-2000)/1000</f>
        <v>5708.7465909321</v>
      </c>
      <c r="N17" s="153" t="n">
        <f aca="false">Assumptions!$E$19*Assumptions!$E$23*(1+Assumptions!$E$25)^(N5-2000)/1000</f>
        <v>5880.00898866007</v>
      </c>
      <c r="O17" s="153" t="n">
        <f aca="false">Assumptions!$E$19*Assumptions!$E$23*(1+Assumptions!$E$25)^(O5-2000)/1000</f>
        <v>6056.40925831987</v>
      </c>
      <c r="P17" s="153" t="n">
        <f aca="false">Assumptions!$E$19*Assumptions!$E$23*(1+Assumptions!$E$25)^(P5-2000)/1000</f>
        <v>6238.10153606946</v>
      </c>
      <c r="Q17" s="153" t="n">
        <f aca="false">Assumptions!$E$19*Assumptions!$E$23*(1+Assumptions!$E$25)^(Q5-2000)/1000</f>
        <v>6425.24458215155</v>
      </c>
      <c r="R17" s="153" t="n">
        <f aca="false">Assumptions!$E$19*Assumptions!$E$23*(1+Assumptions!$E$25)^(R5-2000)/1000</f>
        <v>6618.00191961609</v>
      </c>
      <c r="S17" s="153" t="n">
        <f aca="false">Assumptions!$E$19*Assumptions!$E$23*(1+Assumptions!$E$25)^(S5-2000)/1000</f>
        <v>6816.54197720458</v>
      </c>
      <c r="T17" s="153" t="n">
        <f aca="false">Assumptions!$E$19*Assumptions!$E$23*(1+Assumptions!$E$25)^(T5-2000)/1000</f>
        <v>7021.03823652072</v>
      </c>
      <c r="U17" s="153" t="n">
        <f aca="false">Assumptions!$E$19*Assumptions!$E$23*(1+Assumptions!$E$25)^(U5-2000)/1000</f>
        <v>7231.66938361634</v>
      </c>
      <c r="W17" s="164" t="n">
        <f aca="false">SUM(B17:U17)</f>
        <v>110816.648837494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</row>
    <row r="18" customFormat="false" ht="12.75" hidden="false" customHeight="false" outlineLevel="0" collapsed="false">
      <c r="A18" s="169" t="s">
        <v>109</v>
      </c>
      <c r="B18" s="153" t="n">
        <f aca="false">Assumptions!$E$24*Assumptions!$E$11*Assumptions!$E$8/1000*(1+Assumptions!$E$25)</f>
        <v>618</v>
      </c>
      <c r="C18" s="164" t="n">
        <f aca="false">B18*(1+Assumptions!$E$25)</f>
        <v>636.54</v>
      </c>
      <c r="D18" s="164" t="n">
        <f aca="false">C18*(1+Assumptions!$E$25)</f>
        <v>655.6362</v>
      </c>
      <c r="E18" s="164" t="n">
        <f aca="false">D18*(1+Assumptions!$E$25)</f>
        <v>675.305286</v>
      </c>
      <c r="F18" s="164" t="n">
        <f aca="false">E18*(1+Assumptions!$E$25)</f>
        <v>695.56444458</v>
      </c>
      <c r="G18" s="164" t="n">
        <f aca="false">F18*(1+Assumptions!$E$25)</f>
        <v>716.4313779174</v>
      </c>
      <c r="H18" s="164" t="n">
        <f aca="false">G18*(1+Assumptions!$E$25)</f>
        <v>737.924319254922</v>
      </c>
      <c r="I18" s="164" t="n">
        <f aca="false">H18*(1+Assumptions!$E$25)</f>
        <v>760.06204883257</v>
      </c>
      <c r="J18" s="164" t="n">
        <f aca="false">I18*(1+Assumptions!$E$25)</f>
        <v>782.863910297547</v>
      </c>
      <c r="K18" s="164" t="n">
        <f aca="false">J18*(1+Assumptions!$E$25)</f>
        <v>806.349827606473</v>
      </c>
      <c r="L18" s="164" t="n">
        <f aca="false">K18*(1+Assumptions!$E$25)</f>
        <v>830.540322434668</v>
      </c>
      <c r="M18" s="164" t="n">
        <f aca="false">L18*(1+Assumptions!$E$25)</f>
        <v>855.456532107708</v>
      </c>
      <c r="N18" s="164" t="n">
        <f aca="false">M18*(1+Assumptions!$E$25)</f>
        <v>881.120228070939</v>
      </c>
      <c r="O18" s="164" t="n">
        <f aca="false">N18*(1+Assumptions!$E$25)</f>
        <v>907.553834913067</v>
      </c>
      <c r="P18" s="164" t="n">
        <f aca="false">O18*(1+Assumptions!$E$25)</f>
        <v>934.780449960459</v>
      </c>
      <c r="Q18" s="164" t="n">
        <f aca="false">P18*(1+Assumptions!$E$25)</f>
        <v>962.823863459273</v>
      </c>
      <c r="R18" s="164" t="n">
        <f aca="false">Q18*(1+Assumptions!$E$25)</f>
        <v>991.708579363051</v>
      </c>
      <c r="S18" s="164" t="n">
        <f aca="false">R18*(1+Assumptions!$E$25)</f>
        <v>1021.45983674394</v>
      </c>
      <c r="T18" s="164" t="n">
        <f aca="false">S18*(1+Assumptions!$E$25)</f>
        <v>1052.10363184626</v>
      </c>
      <c r="U18" s="164" t="n">
        <f aca="false">T18*(1+Assumptions!$E$25)</f>
        <v>1083.66674080165</v>
      </c>
      <c r="W18" s="164" t="n">
        <f aca="false">SUM(B18:U18)</f>
        <v>16605.8914341899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  <c r="IW18" s="316"/>
    </row>
    <row r="19" customFormat="false" ht="12.75" hidden="false" customHeight="false" outlineLevel="0" collapsed="false">
      <c r="A19" s="169" t="s">
        <v>74</v>
      </c>
      <c r="B19" s="153" t="n">
        <f aca="false">Assumptions!E31*(1+Assumptions!$E$25)</f>
        <v>412.666557142857</v>
      </c>
      <c r="C19" s="164" t="n">
        <f aca="false">B19*(1+Assumptions!$E$25)</f>
        <v>425.046553857143</v>
      </c>
      <c r="D19" s="164" t="n">
        <f aca="false">C19*(1+Assumptions!$E$25)</f>
        <v>437.797950472857</v>
      </c>
      <c r="E19" s="164" t="n">
        <f aca="false">D19*(1+Assumptions!$E$25)</f>
        <v>450.931888987043</v>
      </c>
      <c r="F19" s="164" t="n">
        <f aca="false">E19*(1+Assumptions!$E$25)</f>
        <v>464.459845656654</v>
      </c>
      <c r="G19" s="164" t="n">
        <f aca="false">F19*(1+Assumptions!$E$25)</f>
        <v>478.393641026354</v>
      </c>
      <c r="H19" s="164" t="n">
        <f aca="false">G19*(1+Assumptions!$E$25)</f>
        <v>492.745450257144</v>
      </c>
      <c r="I19" s="164" t="n">
        <f aca="false">H19*(1+Assumptions!$E$25)</f>
        <v>507.527813764859</v>
      </c>
      <c r="J19" s="164" t="n">
        <f aca="false">I19*(1+Assumptions!$E$25)</f>
        <v>522.753648177805</v>
      </c>
      <c r="K19" s="164" t="n">
        <f aca="false">J19*(1+Assumptions!$E$25)</f>
        <v>538.436257623139</v>
      </c>
      <c r="L19" s="164" t="n">
        <f aca="false">K19*(1+Assumptions!$E$25)</f>
        <v>554.589345351833</v>
      </c>
      <c r="M19" s="164" t="n">
        <f aca="false">L19*(1+Assumptions!$E$25)</f>
        <v>571.227025712388</v>
      </c>
      <c r="N19" s="164" t="n">
        <f aca="false">M19*(1+Assumptions!$E$25)</f>
        <v>588.363836483759</v>
      </c>
      <c r="O19" s="164" t="n">
        <f aca="false">N19*(1+Assumptions!$E$25)</f>
        <v>606.014751578272</v>
      </c>
      <c r="P19" s="164" t="n">
        <f aca="false">O19*(1+Assumptions!$E$25)</f>
        <v>624.19519412562</v>
      </c>
      <c r="Q19" s="164" t="n">
        <f aca="false">P19*(1+Assumptions!$E$25)</f>
        <v>642.921049949389</v>
      </c>
      <c r="R19" s="164" t="n">
        <f aca="false">Q19*(1+Assumptions!$E$25)</f>
        <v>662.208681447871</v>
      </c>
      <c r="S19" s="164" t="n">
        <f aca="false">R19*(1+Assumptions!$E$25)</f>
        <v>682.074941891307</v>
      </c>
      <c r="T19" s="164" t="n">
        <f aca="false">S19*(1+Assumptions!$E$25)</f>
        <v>702.537190148046</v>
      </c>
      <c r="U19" s="164" t="n">
        <f aca="false">T19*(1+Assumptions!$E$25)</f>
        <v>723.613305852487</v>
      </c>
      <c r="W19" s="164" t="n">
        <f aca="false">SUM(B19:U19)</f>
        <v>11088.5049295068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</row>
    <row r="20" customFormat="false" ht="12.75" hidden="false" customHeight="false" outlineLevel="0" collapsed="false">
      <c r="A20" s="169" t="s">
        <v>192</v>
      </c>
      <c r="B20" s="318" t="n">
        <v>572</v>
      </c>
      <c r="C20" s="318" t="n">
        <v>583.4</v>
      </c>
      <c r="D20" s="318" t="n">
        <v>595.1</v>
      </c>
      <c r="E20" s="318" t="n">
        <v>607</v>
      </c>
      <c r="F20" s="318" t="n">
        <v>619.1</v>
      </c>
      <c r="G20" s="318" t="n">
        <v>631.5</v>
      </c>
      <c r="H20" s="318" t="n">
        <v>631.5</v>
      </c>
      <c r="I20" s="318" t="n">
        <v>631.5</v>
      </c>
      <c r="J20" s="318" t="n">
        <v>631.5</v>
      </c>
      <c r="K20" s="318" t="n">
        <v>631.5</v>
      </c>
      <c r="L20" s="318" t="n">
        <v>631.5</v>
      </c>
      <c r="M20" s="318" t="n">
        <v>631.5</v>
      </c>
      <c r="N20" s="318" t="n">
        <v>631.5</v>
      </c>
      <c r="O20" s="318" t="n">
        <v>631.5</v>
      </c>
      <c r="P20" s="318" t="n">
        <v>631.5</v>
      </c>
      <c r="Q20" s="318" t="n">
        <v>631.5</v>
      </c>
      <c r="R20" s="318" t="n">
        <v>631.5</v>
      </c>
      <c r="S20" s="318" t="n">
        <v>631.5</v>
      </c>
      <c r="T20" s="318" t="n">
        <v>631.5</v>
      </c>
      <c r="U20" s="318" t="n">
        <v>631.5</v>
      </c>
      <c r="W20" s="164" t="n">
        <f aca="false">SUM(B20:U20)</f>
        <v>12449.1</v>
      </c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</row>
    <row r="21" customFormat="false" ht="12.75" hidden="false" customHeight="false" outlineLevel="0" collapsed="false">
      <c r="A21" s="364" t="s">
        <v>193</v>
      </c>
      <c r="B21" s="171" t="n">
        <f aca="false">B72</f>
        <v>287.440319820405</v>
      </c>
      <c r="C21" s="171" t="n">
        <f aca="false">C72</f>
        <v>191.62687988027</v>
      </c>
      <c r="D21" s="171" t="n">
        <f aca="false">D72</f>
        <v>191.62687988027</v>
      </c>
      <c r="E21" s="171" t="n">
        <f aca="false">E72</f>
        <v>191.62687988027</v>
      </c>
      <c r="F21" s="171" t="n">
        <f aca="false">F72</f>
        <v>191.62687988027</v>
      </c>
      <c r="G21" s="171" t="n">
        <f aca="false">G72</f>
        <v>191.62687988027</v>
      </c>
      <c r="H21" s="171" t="n">
        <f aca="false">H72</f>
        <v>191.62687988027</v>
      </c>
      <c r="I21" s="171" t="n">
        <f aca="false">I72</f>
        <v>191.62687988027</v>
      </c>
      <c r="J21" s="171" t="n">
        <f aca="false">J72</f>
        <v>191.62687988027</v>
      </c>
      <c r="K21" s="171" t="n">
        <f aca="false">K72</f>
        <v>191.62687988027</v>
      </c>
      <c r="L21" s="171" t="n">
        <f aca="false">L72</f>
        <v>191.62687988027</v>
      </c>
      <c r="M21" s="171" t="n">
        <f aca="false">M72</f>
        <v>191.62687988027</v>
      </c>
      <c r="N21" s="171" t="n">
        <f aca="false">N72</f>
        <v>191.62687988027</v>
      </c>
      <c r="O21" s="171" t="n">
        <f aca="false">O72</f>
        <v>191.62687988027</v>
      </c>
      <c r="P21" s="171" t="n">
        <f aca="false">P72</f>
        <v>191.62687988027</v>
      </c>
      <c r="Q21" s="171" t="n">
        <f aca="false">Q72</f>
        <v>191.62687988027</v>
      </c>
      <c r="R21" s="171" t="n">
        <f aca="false">R72</f>
        <v>191.62687988027</v>
      </c>
      <c r="S21" s="171" t="n">
        <f aca="false">S72</f>
        <v>191.62687988027</v>
      </c>
      <c r="T21" s="171" t="n">
        <f aca="false">T72</f>
        <v>191.62687988027</v>
      </c>
      <c r="U21" s="171" t="n">
        <f aca="false">U72</f>
        <v>191.62687988027</v>
      </c>
      <c r="V21" s="164"/>
      <c r="W21" s="164" t="n">
        <f aca="false">SUM(B21:U21)</f>
        <v>3928.35103754553</v>
      </c>
    </row>
    <row r="22" customFormat="false" ht="12.75" hidden="false" customHeight="false" outlineLevel="0" collapsed="false">
      <c r="A22" s="169" t="s">
        <v>112</v>
      </c>
      <c r="B22" s="153" t="n">
        <f aca="false">SUM(B16:B21)</f>
        <v>7506.22366553469</v>
      </c>
      <c r="C22" s="153" t="n">
        <f aca="false">SUM(C16:C21)</f>
        <v>7621.21372596598</v>
      </c>
      <c r="D22" s="153" t="n">
        <f aca="false">SUM(D16:D21)</f>
        <v>7838.29933134856</v>
      </c>
      <c r="E22" s="153" t="n">
        <f aca="false">SUM(E16:E21)</f>
        <v>8061.7465048926</v>
      </c>
      <c r="F22" s="153" t="n">
        <f aca="false">SUM(F16:F21)</f>
        <v>8291.74009364298</v>
      </c>
      <c r="G22" s="153" t="n">
        <f aca="false">SUM(G16:G21)</f>
        <v>8528.57049005586</v>
      </c>
      <c r="H22" s="153" t="n">
        <f aca="false">SUM(H16:H21)</f>
        <v>8759.73379836113</v>
      </c>
      <c r="I22" s="153" t="n">
        <f aca="false">SUM(I16:I21)</f>
        <v>8997.83200591555</v>
      </c>
      <c r="J22" s="153" t="n">
        <f aca="false">SUM(J16:J21)</f>
        <v>9243.07315969661</v>
      </c>
      <c r="K22" s="153" t="n">
        <f aca="false">SUM(K16:K21)</f>
        <v>9495.6715480911</v>
      </c>
      <c r="L22" s="153" t="n">
        <f aca="false">SUM(L16:L21)</f>
        <v>9755.84788813743</v>
      </c>
      <c r="M22" s="153" t="n">
        <f aca="false">SUM(M16:M21)</f>
        <v>10023.8295183851</v>
      </c>
      <c r="N22" s="153" t="n">
        <f aca="false">SUM(N16:N21)</f>
        <v>10299.8505975403</v>
      </c>
      <c r="O22" s="153" t="n">
        <f aca="false">SUM(O16:O21)</f>
        <v>10584.1523090701</v>
      </c>
      <c r="P22" s="153" t="n">
        <f aca="false">SUM(P16:P21)</f>
        <v>10876.9830719458</v>
      </c>
      <c r="Q22" s="153" t="n">
        <f aca="false">SUM(Q16:Q21)</f>
        <v>11178.5987577077</v>
      </c>
      <c r="R22" s="153" t="n">
        <f aca="false">SUM(R16:R21)</f>
        <v>11489.2629140426</v>
      </c>
      <c r="S22" s="153" t="n">
        <f aca="false">SUM(S16:S21)</f>
        <v>11809.2469950674</v>
      </c>
      <c r="T22" s="153" t="n">
        <f aca="false">SUM(T16:T21)</f>
        <v>12138.8305985231</v>
      </c>
      <c r="U22" s="153" t="n">
        <f aca="false">SUM(U16:U21)</f>
        <v>12478.3017100823</v>
      </c>
      <c r="W22" s="164" t="n">
        <f aca="false">SUM(B22:U22)</f>
        <v>194979.008684007</v>
      </c>
    </row>
    <row r="23" customFormat="false" ht="12.75" hidden="false" customHeight="false" outlineLevel="0" collapsed="false">
      <c r="A23" s="175"/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6"/>
      <c r="W23" s="164"/>
    </row>
    <row r="24" customFormat="false" ht="12.75" hidden="false" customHeight="false" outlineLevel="0" collapsed="false">
      <c r="A24" s="175"/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6"/>
      <c r="W24" s="164"/>
    </row>
    <row r="25" customFormat="false" ht="12.75" hidden="false" customHeight="false" outlineLevel="0" collapsed="false">
      <c r="A25" s="163" t="s">
        <v>113</v>
      </c>
      <c r="B25" s="160" t="n">
        <f aca="false">B13-B22</f>
        <v>39910.0449146609</v>
      </c>
      <c r="C25" s="160" t="n">
        <f aca="false">C13-C22</f>
        <v>41947.4995394108</v>
      </c>
      <c r="D25" s="160" t="n">
        <f aca="false">D13-D22</f>
        <v>43980.3650651893</v>
      </c>
      <c r="E25" s="160" t="n">
        <f aca="false">E13-E22</f>
        <v>46110.1378202412</v>
      </c>
      <c r="F25" s="160" t="n">
        <f aca="false">F13-F22</f>
        <v>48341.4084278437</v>
      </c>
      <c r="G25" s="160" t="n">
        <f aca="false">G13-G22</f>
        <v>49293.8538652998</v>
      </c>
      <c r="H25" s="160" t="n">
        <f aca="false">H13-H22</f>
        <v>50277.5266945913</v>
      </c>
      <c r="I25" s="160" t="n">
        <f aca="false">I13-I22</f>
        <v>51280.2249170429</v>
      </c>
      <c r="J25" s="160" t="n">
        <f aca="false">J13-J22</f>
        <v>52302.3079479955</v>
      </c>
      <c r="K25" s="160" t="n">
        <f aca="false">K13-K22</f>
        <v>53344.1417250491</v>
      </c>
      <c r="L25" s="160" t="n">
        <f aca="false">L13-L22</f>
        <v>54377.824929999</v>
      </c>
      <c r="M25" s="160" t="n">
        <f aca="false">M13-M22</f>
        <v>55430.884872391</v>
      </c>
      <c r="N25" s="160" t="n">
        <f aca="false">N13-N22</f>
        <v>56503.6740944015</v>
      </c>
      <c r="O25" s="160" t="n">
        <f aca="false">O13-O22</f>
        <v>57596.5512162598</v>
      </c>
      <c r="P25" s="160" t="n">
        <f aca="false">P13-P22</f>
        <v>58709.88103014</v>
      </c>
      <c r="Q25" s="160" t="n">
        <f aca="false">Q13-Q22</f>
        <v>59574.0472660574</v>
      </c>
      <c r="R25" s="160" t="n">
        <f aca="false">R13-R22</f>
        <v>60449.9522657513</v>
      </c>
      <c r="S25" s="160" t="n">
        <f aca="false">S13-S22</f>
        <v>61337.7299492105</v>
      </c>
      <c r="T25" s="160" t="n">
        <f aca="false">T13-T22</f>
        <v>62237.5148965423</v>
      </c>
      <c r="U25" s="160" t="n">
        <f aca="false">U13-U22</f>
        <v>63149.4423161249</v>
      </c>
      <c r="V25" s="293"/>
      <c r="W25" s="164" t="n">
        <f aca="false">SUM(B25:U25)</f>
        <v>1066155.0137542</v>
      </c>
    </row>
    <row r="26" customFormat="false" ht="12.75" hidden="false" customHeight="false" outlineLevel="0" collapsed="false">
      <c r="A26" s="163"/>
      <c r="B26" s="320"/>
      <c r="C26" s="321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293"/>
      <c r="W26" s="164"/>
    </row>
    <row r="27" customFormat="false" ht="12.75" hidden="false" customHeight="false" outlineLevel="0" collapsed="false">
      <c r="A27" s="169" t="s">
        <v>114</v>
      </c>
      <c r="B27" s="153" t="n">
        <f aca="false">Depreciation!C29</f>
        <v>10302.7672344219</v>
      </c>
      <c r="C27" s="153" t="n">
        <f aca="false">Depreciation!D29</f>
        <v>10302.7672344219</v>
      </c>
      <c r="D27" s="153" t="n">
        <f aca="false">Depreciation!E29</f>
        <v>10302.7672344219</v>
      </c>
      <c r="E27" s="153" t="n">
        <f aca="false">Depreciation!F29</f>
        <v>10302.7672344219</v>
      </c>
      <c r="F27" s="153" t="n">
        <f aca="false">Depreciation!G29</f>
        <v>10302.7672344219</v>
      </c>
      <c r="G27" s="153" t="n">
        <f aca="false">Depreciation!H29</f>
        <v>10302.7672344219</v>
      </c>
      <c r="H27" s="153" t="n">
        <f aca="false">Depreciation!I29</f>
        <v>10302.7672344219</v>
      </c>
      <c r="I27" s="153" t="n">
        <f aca="false">Depreciation!J29</f>
        <v>10302.7672344219</v>
      </c>
      <c r="J27" s="153" t="n">
        <f aca="false">Depreciation!K29</f>
        <v>10302.7672344219</v>
      </c>
      <c r="K27" s="153" t="n">
        <f aca="false">Depreciation!L29</f>
        <v>10302.7672344219</v>
      </c>
      <c r="L27" s="153" t="n">
        <f aca="false">Depreciation!M29</f>
        <v>10302.7672344219</v>
      </c>
      <c r="M27" s="153" t="n">
        <f aca="false">Depreciation!N29</f>
        <v>10302.7672344219</v>
      </c>
      <c r="N27" s="153" t="n">
        <f aca="false">Depreciation!O29</f>
        <v>10302.7672344219</v>
      </c>
      <c r="O27" s="153" t="n">
        <f aca="false">Depreciation!P29</f>
        <v>10302.7672344219</v>
      </c>
      <c r="P27" s="153" t="n">
        <f aca="false">Depreciation!Q29</f>
        <v>10302.7672344219</v>
      </c>
      <c r="Q27" s="153" t="n">
        <f aca="false">Depreciation!R29</f>
        <v>10302.7672344219</v>
      </c>
      <c r="R27" s="153" t="n">
        <f aca="false">Depreciation!S29</f>
        <v>10302.7672344219</v>
      </c>
      <c r="S27" s="153" t="n">
        <f aca="false">Depreciation!T29</f>
        <v>10302.7672344219</v>
      </c>
      <c r="T27" s="153" t="n">
        <f aca="false">Depreciation!U29</f>
        <v>10302.7672344219</v>
      </c>
      <c r="U27" s="153" t="n">
        <f aca="false">Depreciation!V29</f>
        <v>10302.7672344219</v>
      </c>
      <c r="W27" s="164" t="n">
        <f aca="false">SUM(B27:U27)</f>
        <v>206055.344688438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69"/>
      <c r="B28" s="153"/>
      <c r="C28" s="16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W28" s="164"/>
    </row>
    <row r="29" customFormat="false" ht="12.75" hidden="false" customHeight="false" outlineLevel="0" collapsed="false">
      <c r="A29" s="163" t="s">
        <v>115</v>
      </c>
      <c r="B29" s="320" t="n">
        <f aca="false">B25-B27</f>
        <v>29607.277680239</v>
      </c>
      <c r="C29" s="320" t="n">
        <f aca="false">C25-C27</f>
        <v>31644.7323049889</v>
      </c>
      <c r="D29" s="320" t="n">
        <f aca="false">D25-D27</f>
        <v>33677.5978307674</v>
      </c>
      <c r="E29" s="320" t="n">
        <f aca="false">E25-E27</f>
        <v>35807.3705858193</v>
      </c>
      <c r="F29" s="320" t="n">
        <f aca="false">F25-F27</f>
        <v>38038.6411934218</v>
      </c>
      <c r="G29" s="320" t="n">
        <f aca="false">G25-G27</f>
        <v>38991.0866308779</v>
      </c>
      <c r="H29" s="320" t="n">
        <f aca="false">H25-H27</f>
        <v>39974.7594601694</v>
      </c>
      <c r="I29" s="320" t="n">
        <f aca="false">I25-I27</f>
        <v>40977.457682621</v>
      </c>
      <c r="J29" s="320" t="n">
        <f aca="false">J25-J27</f>
        <v>41999.5407135736</v>
      </c>
      <c r="K29" s="320" t="n">
        <f aca="false">K25-K27</f>
        <v>43041.3744906272</v>
      </c>
      <c r="L29" s="320" t="n">
        <f aca="false">L25-L27</f>
        <v>44075.0576955771</v>
      </c>
      <c r="M29" s="320" t="n">
        <f aca="false">M25-M27</f>
        <v>45128.1176379691</v>
      </c>
      <c r="N29" s="320" t="n">
        <f aca="false">N25-N27</f>
        <v>46200.9068599796</v>
      </c>
      <c r="O29" s="320" t="n">
        <f aca="false">O25-O27</f>
        <v>47293.7839818379</v>
      </c>
      <c r="P29" s="320" t="n">
        <f aca="false">P25-P27</f>
        <v>48407.1137957181</v>
      </c>
      <c r="Q29" s="320" t="n">
        <f aca="false">Q25-Q27</f>
        <v>49271.2800316356</v>
      </c>
      <c r="R29" s="320" t="n">
        <f aca="false">R25-R27</f>
        <v>50147.1850313294</v>
      </c>
      <c r="S29" s="320" t="n">
        <f aca="false">S25-S27</f>
        <v>51034.9627147886</v>
      </c>
      <c r="T29" s="320" t="n">
        <f aca="false">T25-T27</f>
        <v>51934.7476621205</v>
      </c>
      <c r="U29" s="320" t="n">
        <f aca="false">U25-U27</f>
        <v>52846.675081703</v>
      </c>
      <c r="V29" s="293"/>
      <c r="W29" s="164" t="n">
        <f aca="false">SUM(B29:U29)</f>
        <v>860099.669065764</v>
      </c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</row>
    <row r="30" customFormat="false" ht="12.75" hidden="false" customHeight="false" outlineLevel="0" collapsed="false">
      <c r="A30" s="163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293"/>
      <c r="W30" s="164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</row>
    <row r="31" customFormat="false" ht="12.75" hidden="false" customHeight="false" outlineLevel="0" collapsed="false">
      <c r="A31" s="4" t="s">
        <v>116</v>
      </c>
      <c r="B31" s="153" t="n">
        <f aca="false">IS!B33*Allocation!$E$8</f>
        <v>15097.1190573627</v>
      </c>
      <c r="C31" s="153" t="n">
        <f aca="false">IS!C33*Allocation!$E$8</f>
        <v>14831.2636214525</v>
      </c>
      <c r="D31" s="153" t="n">
        <f aca="false">IS!D33*Allocation!$E$8</f>
        <v>14481.9064267414</v>
      </c>
      <c r="E31" s="153" t="n">
        <f aca="false">IS!E33*Allocation!$E$8</f>
        <v>14120.6138809474</v>
      </c>
      <c r="F31" s="153" t="n">
        <f aca="false">IS!F33*Allocation!$E$8</f>
        <v>13618.8199872744</v>
      </c>
      <c r="G31" s="153" t="n">
        <f aca="false">IS!G33*Allocation!$E$8</f>
        <v>13100.6186678487</v>
      </c>
      <c r="H31" s="153" t="n">
        <f aca="false">IS!H33*Allocation!$E$8</f>
        <v>12569.0357503639</v>
      </c>
      <c r="I31" s="153" t="n">
        <f aca="false">IS!I33*Allocation!$E$8</f>
        <v>12051.0740967201</v>
      </c>
      <c r="J31" s="153" t="n">
        <f aca="false">IS!J33*Allocation!$E$8</f>
        <v>11440.9382678056</v>
      </c>
      <c r="K31" s="153" t="n">
        <f aca="false">IS!K33*Allocation!$E$8</f>
        <v>10830.5679955062</v>
      </c>
      <c r="L31" s="153" t="n">
        <f aca="false">IS!L33*Allocation!$E$8</f>
        <v>10177.9985051171</v>
      </c>
      <c r="M31" s="153" t="n">
        <f aca="false">IS!M33*Allocation!$E$8</f>
        <v>9497.7747813276</v>
      </c>
      <c r="N31" s="153" t="n">
        <f aca="false">IS!N33*Allocation!$E$8</f>
        <v>8711.29411007503</v>
      </c>
      <c r="O31" s="153" t="n">
        <f aca="false">IS!O33*Allocation!$E$8</f>
        <v>7890.69163331338</v>
      </c>
      <c r="P31" s="153" t="n">
        <f aca="false">IS!P33*Allocation!$E$8</f>
        <v>7000.19476491792</v>
      </c>
      <c r="Q31" s="153" t="n">
        <f aca="false">IS!Q33*Allocation!$E$8</f>
        <v>6048.22191874991</v>
      </c>
      <c r="R31" s="153" t="n">
        <f aca="false">IS!R33*Allocation!$E$8</f>
        <v>4969.09925567742</v>
      </c>
      <c r="S31" s="153" t="n">
        <f aca="false">IS!S33*Allocation!$E$8</f>
        <v>3806.76817311911</v>
      </c>
      <c r="T31" s="153" t="n">
        <f aca="false">IS!T33*Allocation!$E$8</f>
        <v>2531.04377878674</v>
      </c>
      <c r="U31" s="153" t="n">
        <f aca="false">IS!U33*Allocation!$E$8</f>
        <v>1131.56189335112</v>
      </c>
      <c r="W31" s="164" t="n">
        <f aca="false">SUM(B31:U31)</f>
        <v>193906.606566458</v>
      </c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  <c r="IW31" s="293"/>
    </row>
    <row r="32" customFormat="false" ht="12.75" hidden="false" customHeight="false" outlineLevel="0" collapsed="false"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W32" s="164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  <c r="IW32" s="293"/>
    </row>
    <row r="33" customFormat="false" ht="12.75" hidden="false" customHeight="false" outlineLevel="0" collapsed="false">
      <c r="A33" s="163" t="s">
        <v>117</v>
      </c>
      <c r="B33" s="320" t="n">
        <f aca="false">B29-B31</f>
        <v>14510.1586228763</v>
      </c>
      <c r="C33" s="320" t="n">
        <f aca="false">C29-C31</f>
        <v>16813.4686835364</v>
      </c>
      <c r="D33" s="320" t="n">
        <f aca="false">D29-D31</f>
        <v>19195.691404026</v>
      </c>
      <c r="E33" s="320" t="n">
        <f aca="false">E29-E31</f>
        <v>21686.7567048719</v>
      </c>
      <c r="F33" s="320" t="n">
        <f aca="false">F29-F31</f>
        <v>24419.8212061474</v>
      </c>
      <c r="G33" s="320" t="n">
        <f aca="false">G29-G31</f>
        <v>25890.4679630291</v>
      </c>
      <c r="H33" s="320" t="n">
        <f aca="false">H29-H31</f>
        <v>27405.7237098055</v>
      </c>
      <c r="I33" s="320" t="n">
        <f aca="false">I29-I31</f>
        <v>28926.3835859009</v>
      </c>
      <c r="J33" s="320" t="n">
        <f aca="false">J29-J31</f>
        <v>30558.602445768</v>
      </c>
      <c r="K33" s="320" t="n">
        <f aca="false">K29-K31</f>
        <v>32210.8064951211</v>
      </c>
      <c r="L33" s="320" t="n">
        <f aca="false">L29-L31</f>
        <v>33897.05919046</v>
      </c>
      <c r="M33" s="320" t="n">
        <f aca="false">M29-M31</f>
        <v>35630.3428566415</v>
      </c>
      <c r="N33" s="320" t="n">
        <f aca="false">N29-N31</f>
        <v>37489.6127499046</v>
      </c>
      <c r="O33" s="320" t="n">
        <f aca="false">O29-O31</f>
        <v>39403.0923485246</v>
      </c>
      <c r="P33" s="320" t="n">
        <f aca="false">P29-P31</f>
        <v>41406.9190308002</v>
      </c>
      <c r="Q33" s="320" t="n">
        <f aca="false">Q29-Q31</f>
        <v>43223.0581128856</v>
      </c>
      <c r="R33" s="320" t="n">
        <f aca="false">R29-R31</f>
        <v>45178.085775652</v>
      </c>
      <c r="S33" s="320" t="n">
        <f aca="false">S29-S31</f>
        <v>47228.1945416694</v>
      </c>
      <c r="T33" s="320" t="n">
        <f aca="false">T29-T31</f>
        <v>49403.7038833337</v>
      </c>
      <c r="U33" s="320" t="n">
        <f aca="false">U29-U31</f>
        <v>51715.1131883519</v>
      </c>
      <c r="V33" s="293"/>
      <c r="W33" s="164" t="n">
        <f aca="false">SUM(B33:U33)</f>
        <v>666193.062499306</v>
      </c>
    </row>
    <row r="34" customFormat="false" ht="12.75" hidden="false" customHeight="false" outlineLevel="0" collapsed="false">
      <c r="A34" s="163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293"/>
      <c r="W34" s="164"/>
    </row>
    <row r="35" customFormat="false" ht="12.75" hidden="false" customHeight="false" outlineLevel="0" collapsed="false">
      <c r="A35" s="169" t="s">
        <v>118</v>
      </c>
      <c r="B35" s="153" t="n">
        <f aca="false">B33*-Assumptions!$E$38</f>
        <v>-1041.82938912252</v>
      </c>
      <c r="C35" s="153" t="n">
        <f aca="false">C33*-Assumptions!$E$38</f>
        <v>-1207.20705147791</v>
      </c>
      <c r="D35" s="153" t="n">
        <f aca="false">D33*-Assumptions!$E$38</f>
        <v>-1378.25064280906</v>
      </c>
      <c r="E35" s="153" t="n">
        <f aca="false">E33*-Assumptions!$E$38</f>
        <v>-1557.1091314098</v>
      </c>
      <c r="F35" s="153" t="n">
        <f aca="false">F33*-Assumptions!$E$38</f>
        <v>-1753.34316260138</v>
      </c>
      <c r="G35" s="153" t="n">
        <f aca="false">G33*-Assumptions!$E$38</f>
        <v>-1858.93559974549</v>
      </c>
      <c r="H35" s="153" t="n">
        <f aca="false">H33*-Assumptions!$E$38</f>
        <v>-1967.73096236403</v>
      </c>
      <c r="I35" s="153" t="n">
        <f aca="false">I33*-Assumptions!$E$38</f>
        <v>-2076.91434146768</v>
      </c>
      <c r="J35" s="153" t="n">
        <f aca="false">J33*-Assumptions!$E$38</f>
        <v>-2194.10765560614</v>
      </c>
      <c r="K35" s="153" t="n">
        <f aca="false">K33*-Assumptions!$E$38</f>
        <v>-2312.73590634969</v>
      </c>
      <c r="L35" s="153" t="n">
        <f aca="false">L33*-Assumptions!$E$38</f>
        <v>-2433.80884987503</v>
      </c>
      <c r="M35" s="153" t="n">
        <f aca="false">M33*-Assumptions!$E$38</f>
        <v>-2558.25861710686</v>
      </c>
      <c r="N35" s="153" t="n">
        <f aca="false">N33*-Assumptions!$E$38</f>
        <v>-2691.75419544315</v>
      </c>
      <c r="O35" s="153" t="n">
        <f aca="false">O33*-Assumptions!$E$38</f>
        <v>-2829.14203062406</v>
      </c>
      <c r="P35" s="153" t="n">
        <f aca="false">P33*-Assumptions!$E$38</f>
        <v>-2973.01678641145</v>
      </c>
      <c r="Q35" s="153" t="n">
        <f aca="false">Q33*-Assumptions!$E$38</f>
        <v>-3103.41557250519</v>
      </c>
      <c r="R35" s="153" t="n">
        <f aca="false">R33*-Assumptions!$E$38</f>
        <v>-3243.78655869181</v>
      </c>
      <c r="S35" s="153" t="n">
        <f aca="false">S33*-Assumptions!$E$38</f>
        <v>-3390.98436809187</v>
      </c>
      <c r="T35" s="153" t="n">
        <f aca="false">T33*-Assumptions!$E$38</f>
        <v>-3547.18593882336</v>
      </c>
      <c r="U35" s="153" t="n">
        <f aca="false">U33*-Assumptions!$E$38</f>
        <v>-3713.14512692366</v>
      </c>
      <c r="W35" s="164" t="n">
        <f aca="false">SUM(B35:U35)</f>
        <v>-47832.6618874502</v>
      </c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  <c r="IW35" s="293"/>
    </row>
    <row r="36" customFormat="false" ht="12.75" hidden="false" customHeight="false" outlineLevel="0" collapsed="false">
      <c r="A36" s="169" t="s">
        <v>119</v>
      </c>
      <c r="B36" s="322" t="n">
        <f aca="false">(B33+B35)*-Assumptions!$E$37</f>
        <v>-4713.91523181383</v>
      </c>
      <c r="C36" s="322" t="n">
        <f aca="false">(C33+C35)*-Assumptions!$E$37</f>
        <v>-5462.19157122046</v>
      </c>
      <c r="D36" s="322" t="n">
        <f aca="false">(D33+D35)*-Assumptions!$E$37</f>
        <v>-6236.10426642592</v>
      </c>
      <c r="E36" s="322" t="n">
        <f aca="false">(E33+E35)*-Assumptions!$E$37</f>
        <v>-7045.37665071174</v>
      </c>
      <c r="F36" s="322" t="n">
        <f aca="false">(F33+F35)*-Assumptions!$E$37</f>
        <v>-7933.2673152411</v>
      </c>
      <c r="G36" s="322" t="n">
        <f aca="false">(G33+G35)*-Assumptions!$E$37</f>
        <v>-8411.03632714928</v>
      </c>
      <c r="H36" s="322" t="n">
        <f aca="false">(H33+H35)*-Assumptions!$E$37</f>
        <v>-8903.2974616045</v>
      </c>
      <c r="I36" s="322" t="n">
        <f aca="false">(I33+I35)*-Assumptions!$E$37</f>
        <v>-9397.31423555163</v>
      </c>
      <c r="J36" s="322" t="n">
        <f aca="false">(J33+J35)*-Assumptions!$E$37</f>
        <v>-9927.57317655665</v>
      </c>
      <c r="K36" s="322" t="n">
        <f aca="false">(K33+K35)*-Assumptions!$E$37</f>
        <v>-10464.32470607</v>
      </c>
      <c r="L36" s="322" t="n">
        <f aca="false">(L33+L35)*-Assumptions!$E$37</f>
        <v>-11012.1376192047</v>
      </c>
      <c r="M36" s="322" t="n">
        <f aca="false">(M33+M35)*-Assumptions!$E$37</f>
        <v>-11575.2294838371</v>
      </c>
      <c r="N36" s="322" t="n">
        <f aca="false">(N33+N35)*-Assumptions!$E$37</f>
        <v>-12179.2504940615</v>
      </c>
      <c r="O36" s="322" t="n">
        <f aca="false">(O33+O35)*-Assumptions!$E$37</f>
        <v>-12800.8826112652</v>
      </c>
      <c r="P36" s="322" t="n">
        <f aca="false">(P33+P35)*-Assumptions!$E$37</f>
        <v>-13451.8657855361</v>
      </c>
      <c r="Q36" s="322" t="n">
        <f aca="false">(Q33+Q35)*-Assumptions!$E$37</f>
        <v>-14041.8748891332</v>
      </c>
      <c r="R36" s="322" t="n">
        <f aca="false">(R33+R35)*-Assumptions!$E$37</f>
        <v>-14677.0047259361</v>
      </c>
      <c r="S36" s="322" t="n">
        <f aca="false">(S33+S35)*-Assumptions!$E$37</f>
        <v>-15343.0235607522</v>
      </c>
      <c r="T36" s="322" t="n">
        <f aca="false">(T33+T35)*-Assumptions!$E$37</f>
        <v>-16049.7812805786</v>
      </c>
      <c r="U36" s="322" t="n">
        <f aca="false">(U33+U35)*-Assumptions!$E$37</f>
        <v>-16800.6888214999</v>
      </c>
      <c r="W36" s="164" t="n">
        <f aca="false">SUM(B36:U36)</f>
        <v>-216426.14021415</v>
      </c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  <c r="IW36" s="293"/>
    </row>
    <row r="37" customFormat="false" ht="12.75" hidden="false" customHeight="false" outlineLevel="0" collapsed="false"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W37" s="164"/>
    </row>
    <row r="38" customFormat="false" ht="15.75" hidden="false" customHeight="false" outlineLevel="0" collapsed="false">
      <c r="A38" s="178" t="s">
        <v>194</v>
      </c>
      <c r="B38" s="323" t="n">
        <f aca="false">SUM(B33:B36)</f>
        <v>8754.41400193997</v>
      </c>
      <c r="C38" s="323" t="n">
        <f aca="false">SUM(C33:C36)</f>
        <v>10144.070060838</v>
      </c>
      <c r="D38" s="323" t="n">
        <f aca="false">SUM(D33:D36)</f>
        <v>11581.336494791</v>
      </c>
      <c r="E38" s="323" t="n">
        <f aca="false">SUM(E33:E36)</f>
        <v>13084.2709227504</v>
      </c>
      <c r="F38" s="323" t="n">
        <f aca="false">SUM(F33:F36)</f>
        <v>14733.2107283049</v>
      </c>
      <c r="G38" s="323" t="n">
        <f aca="false">SUM(G33:G36)</f>
        <v>15620.4960361344</v>
      </c>
      <c r="H38" s="323" t="n">
        <f aca="false">SUM(H33:H36)</f>
        <v>16534.6952858369</v>
      </c>
      <c r="I38" s="323" t="n">
        <f aca="false">SUM(I33:I36)</f>
        <v>17452.1550088816</v>
      </c>
      <c r="J38" s="323" t="n">
        <f aca="false">SUM(J33:J36)</f>
        <v>18436.9216136052</v>
      </c>
      <c r="K38" s="323" t="n">
        <f aca="false">SUM(K33:K36)</f>
        <v>19433.7458827014</v>
      </c>
      <c r="L38" s="323" t="n">
        <f aca="false">SUM(L33:L36)</f>
        <v>20451.1127213802</v>
      </c>
      <c r="M38" s="323" t="n">
        <f aca="false">SUM(M33:M36)</f>
        <v>21496.8547556975</v>
      </c>
      <c r="N38" s="323" t="n">
        <f aca="false">SUM(N33:N36)</f>
        <v>22618.6080603999</v>
      </c>
      <c r="O38" s="323" t="n">
        <f aca="false">SUM(O33:O36)</f>
        <v>23773.0677066353</v>
      </c>
      <c r="P38" s="323" t="n">
        <f aca="false">SUM(P33:P36)</f>
        <v>24982.0364588527</v>
      </c>
      <c r="Q38" s="323" t="n">
        <f aca="false">SUM(Q33:Q36)</f>
        <v>26077.7676512473</v>
      </c>
      <c r="R38" s="323" t="n">
        <f aca="false">SUM(R33:R36)</f>
        <v>27257.2944910241</v>
      </c>
      <c r="S38" s="323" t="n">
        <f aca="false">SUM(S33:S36)</f>
        <v>28494.1866128254</v>
      </c>
      <c r="T38" s="323" t="n">
        <f aca="false">SUM(T33:T36)</f>
        <v>29806.7366639317</v>
      </c>
      <c r="U38" s="323" t="n">
        <f aca="false">SUM(U33:U36)</f>
        <v>31201.2792399283</v>
      </c>
      <c r="V38" s="324"/>
      <c r="W38" s="164" t="n">
        <f aca="false">SUM(B38:U38)</f>
        <v>401934.260397706</v>
      </c>
    </row>
    <row r="39" customFormat="false" ht="12.75" hidden="false" customHeight="false" outlineLevel="0" collapsed="false">
      <c r="A39" s="317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16"/>
      <c r="W39" s="316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  <c r="IW39" s="293"/>
    </row>
    <row r="40" customFormat="false" ht="12.75" hidden="false" customHeight="false" outlineLevel="0" collapsed="false">
      <c r="A40" s="317"/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16"/>
      <c r="W40" s="316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  <c r="IW40" s="293"/>
    </row>
    <row r="41" customFormat="false" ht="12.75" hidden="false" customHeight="false" outlineLevel="0" collapsed="false">
      <c r="A41" s="258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customFormat="false" ht="18" hidden="false" customHeight="false" outlineLevel="0" collapsed="false">
      <c r="A42" s="326" t="s">
        <v>230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</row>
    <row r="43" customFormat="false" ht="12.75" hidden="false" customHeight="false" outlineLevel="0" collapsed="false">
      <c r="A43" s="163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</row>
    <row r="44" customFormat="false" ht="15.75" hidden="false" customHeight="false" outlineLevel="0" collapsed="false">
      <c r="A44" s="163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324"/>
      <c r="DB44" s="324"/>
      <c r="DC44" s="324"/>
      <c r="DD44" s="324"/>
      <c r="DE44" s="324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  <c r="IW44" s="324"/>
    </row>
    <row r="45" customFormat="false" ht="12.75" hidden="false" customHeight="false" outlineLevel="0" collapsed="false">
      <c r="A45" s="163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  <c r="BN45" s="316"/>
      <c r="BO45" s="316"/>
      <c r="BP45" s="316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  <c r="CG45" s="316"/>
      <c r="CH45" s="316"/>
      <c r="CI45" s="316"/>
      <c r="CJ45" s="316"/>
      <c r="CK45" s="316"/>
      <c r="CL45" s="316"/>
      <c r="CM45" s="316"/>
      <c r="CN45" s="316"/>
      <c r="CO45" s="316"/>
      <c r="CP45" s="316"/>
      <c r="CQ45" s="316"/>
      <c r="CR45" s="316"/>
      <c r="CS45" s="316"/>
      <c r="CT45" s="316"/>
      <c r="CU45" s="316"/>
      <c r="CV45" s="316"/>
      <c r="CW45" s="316"/>
      <c r="CX45" s="316"/>
      <c r="CY45" s="316"/>
      <c r="CZ45" s="316"/>
      <c r="DA45" s="316"/>
      <c r="DB45" s="316"/>
      <c r="DC45" s="316"/>
      <c r="DD45" s="316"/>
      <c r="DE45" s="316"/>
      <c r="DF45" s="316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6"/>
      <c r="EM45" s="316"/>
      <c r="EN45" s="316"/>
      <c r="EO45" s="316"/>
      <c r="EP45" s="316"/>
      <c r="EQ45" s="316"/>
      <c r="ER45" s="316"/>
      <c r="ES45" s="316"/>
      <c r="ET45" s="316"/>
      <c r="EU45" s="316"/>
      <c r="EV45" s="316"/>
      <c r="EW45" s="316"/>
      <c r="EX45" s="316"/>
      <c r="EY45" s="316"/>
      <c r="EZ45" s="316"/>
      <c r="FA45" s="316"/>
      <c r="FB45" s="316"/>
      <c r="FC45" s="316"/>
      <c r="FD45" s="316"/>
      <c r="FE45" s="316"/>
      <c r="FF45" s="316"/>
      <c r="FG45" s="316"/>
      <c r="FH45" s="316"/>
      <c r="FI45" s="316"/>
      <c r="FJ45" s="316"/>
      <c r="FK45" s="316"/>
      <c r="FL45" s="316"/>
      <c r="FM45" s="316"/>
      <c r="FN45" s="316"/>
      <c r="FO45" s="316"/>
      <c r="FP45" s="316"/>
      <c r="FQ45" s="316"/>
      <c r="FR45" s="316"/>
      <c r="FS45" s="316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E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</row>
    <row r="46" customFormat="false" ht="13.5" hidden="false" customHeight="false" outlineLevel="0" collapsed="false">
      <c r="A46" s="154" t="s">
        <v>101</v>
      </c>
      <c r="B46" s="155" t="n">
        <v>2001</v>
      </c>
      <c r="C46" s="155" t="n">
        <f aca="false">B46+1</f>
        <v>2002</v>
      </c>
      <c r="D46" s="155" t="n">
        <f aca="false">C46+1</f>
        <v>2003</v>
      </c>
      <c r="E46" s="155" t="n">
        <f aca="false">D46+1</f>
        <v>2004</v>
      </c>
      <c r="F46" s="155" t="n">
        <f aca="false">E46+1</f>
        <v>2005</v>
      </c>
      <c r="G46" s="155" t="n">
        <f aca="false">F46+1</f>
        <v>2006</v>
      </c>
      <c r="H46" s="155" t="n">
        <f aca="false">G46+1</f>
        <v>2007</v>
      </c>
      <c r="I46" s="155" t="n">
        <f aca="false">H46+1</f>
        <v>2008</v>
      </c>
      <c r="J46" s="155" t="n">
        <f aca="false">I46+1</f>
        <v>2009</v>
      </c>
      <c r="K46" s="155" t="n">
        <f aca="false">J46+1</f>
        <v>2010</v>
      </c>
      <c r="L46" s="155" t="n">
        <f aca="false">K46+1</f>
        <v>2011</v>
      </c>
      <c r="M46" s="155" t="n">
        <f aca="false">L46+1</f>
        <v>2012</v>
      </c>
      <c r="N46" s="155" t="n">
        <f aca="false">M46+1</f>
        <v>2013</v>
      </c>
      <c r="O46" s="155" t="n">
        <f aca="false">N46+1</f>
        <v>2014</v>
      </c>
      <c r="P46" s="155" t="n">
        <f aca="false">O46+1</f>
        <v>2015</v>
      </c>
      <c r="Q46" s="155" t="n">
        <f aca="false">P46+1</f>
        <v>2016</v>
      </c>
      <c r="R46" s="155" t="n">
        <f aca="false">Q46+1</f>
        <v>2017</v>
      </c>
      <c r="S46" s="155" t="n">
        <f aca="false">R46+1</f>
        <v>2018</v>
      </c>
      <c r="T46" s="155" t="n">
        <f aca="false">S46+1</f>
        <v>2019</v>
      </c>
      <c r="U46" s="155" t="n">
        <f aca="false">T46+1</f>
        <v>2020</v>
      </c>
      <c r="W46" s="290" t="s">
        <v>123</v>
      </c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  <c r="AV46" s="316"/>
      <c r="AW46" s="316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  <c r="BN46" s="316"/>
      <c r="BO46" s="316"/>
      <c r="BP46" s="316"/>
      <c r="BQ46" s="316"/>
      <c r="BR46" s="316"/>
      <c r="BS46" s="316"/>
      <c r="BT46" s="316"/>
      <c r="BU46" s="316"/>
      <c r="BV46" s="316"/>
      <c r="BW46" s="316"/>
      <c r="BX46" s="316"/>
      <c r="BY46" s="316"/>
      <c r="BZ46" s="316"/>
      <c r="CA46" s="316"/>
      <c r="CB46" s="316"/>
      <c r="CC46" s="316"/>
      <c r="CD46" s="316"/>
      <c r="CE46" s="316"/>
      <c r="CF46" s="316"/>
      <c r="CG46" s="316"/>
      <c r="CH46" s="316"/>
      <c r="CI46" s="316"/>
      <c r="CJ46" s="316"/>
      <c r="CK46" s="316"/>
      <c r="CL46" s="316"/>
      <c r="CM46" s="316"/>
      <c r="CN46" s="316"/>
      <c r="CO46" s="316"/>
      <c r="CP46" s="316"/>
      <c r="CQ46" s="316"/>
      <c r="CR46" s="316"/>
      <c r="CS46" s="316"/>
      <c r="CT46" s="316"/>
      <c r="CU46" s="316"/>
      <c r="CV46" s="316"/>
      <c r="CW46" s="316"/>
      <c r="CX46" s="316"/>
      <c r="CY46" s="316"/>
      <c r="CZ46" s="316"/>
      <c r="DA46" s="316"/>
      <c r="DB46" s="316"/>
      <c r="DC46" s="316"/>
      <c r="DD46" s="316"/>
      <c r="DE46" s="316"/>
      <c r="DF46" s="316"/>
      <c r="DG46" s="316"/>
      <c r="DH46" s="316"/>
      <c r="DI46" s="316"/>
      <c r="DJ46" s="316"/>
      <c r="DK46" s="316"/>
      <c r="DL46" s="316"/>
      <c r="DM46" s="316"/>
      <c r="DN46" s="316"/>
      <c r="DO46" s="316"/>
      <c r="DP46" s="316"/>
      <c r="DQ46" s="316"/>
      <c r="DR46" s="316"/>
      <c r="DS46" s="316"/>
      <c r="DT46" s="316"/>
      <c r="DU46" s="316"/>
      <c r="DV46" s="316"/>
      <c r="DW46" s="316"/>
      <c r="DX46" s="316"/>
      <c r="DY46" s="316"/>
      <c r="DZ46" s="316"/>
      <c r="EA46" s="316"/>
      <c r="EB46" s="316"/>
      <c r="EC46" s="316"/>
      <c r="ED46" s="316"/>
      <c r="EE46" s="316"/>
      <c r="EF46" s="316"/>
      <c r="EG46" s="316"/>
      <c r="EH46" s="316"/>
      <c r="EI46" s="316"/>
      <c r="EJ46" s="316"/>
      <c r="EK46" s="316"/>
      <c r="EL46" s="316"/>
      <c r="EM46" s="316"/>
      <c r="EN46" s="316"/>
      <c r="EO46" s="316"/>
      <c r="EP46" s="316"/>
      <c r="EQ46" s="316"/>
      <c r="ER46" s="316"/>
      <c r="ES46" s="316"/>
      <c r="ET46" s="316"/>
      <c r="EU46" s="316"/>
      <c r="EV46" s="316"/>
      <c r="EW46" s="316"/>
      <c r="EX46" s="316"/>
      <c r="EY46" s="316"/>
      <c r="EZ46" s="316"/>
      <c r="FA46" s="316"/>
      <c r="FB46" s="316"/>
      <c r="FC46" s="316"/>
      <c r="FD46" s="316"/>
      <c r="FE46" s="316"/>
      <c r="FF46" s="316"/>
      <c r="FG46" s="316"/>
      <c r="FH46" s="316"/>
      <c r="FI46" s="316"/>
      <c r="FJ46" s="316"/>
      <c r="FK46" s="316"/>
      <c r="FL46" s="316"/>
      <c r="FM46" s="316"/>
      <c r="FN46" s="316"/>
      <c r="FO46" s="316"/>
      <c r="FP46" s="316"/>
      <c r="FQ46" s="316"/>
      <c r="FR46" s="316"/>
      <c r="FS46" s="316"/>
      <c r="FT46" s="316"/>
      <c r="FU46" s="316"/>
      <c r="FV46" s="316"/>
      <c r="FW46" s="316"/>
      <c r="FX46" s="316"/>
      <c r="FY46" s="316"/>
      <c r="FZ46" s="316"/>
      <c r="GA46" s="316"/>
      <c r="GB46" s="316"/>
      <c r="GC46" s="316"/>
      <c r="GD46" s="316"/>
      <c r="GE46" s="316"/>
      <c r="GF46" s="316"/>
      <c r="GG46" s="316"/>
      <c r="GH46" s="316"/>
      <c r="GI46" s="316"/>
      <c r="GJ46" s="316"/>
      <c r="GK46" s="316"/>
      <c r="GL46" s="316"/>
      <c r="GM46" s="316"/>
      <c r="GN46" s="316"/>
      <c r="GO46" s="316"/>
      <c r="GP46" s="316"/>
      <c r="GQ46" s="316"/>
      <c r="GR46" s="316"/>
      <c r="GS46" s="316"/>
      <c r="GT46" s="316"/>
      <c r="GU46" s="316"/>
      <c r="GV46" s="316"/>
      <c r="GW46" s="316"/>
      <c r="GX46" s="316"/>
      <c r="GY46" s="316"/>
      <c r="GZ46" s="316"/>
      <c r="HA46" s="316"/>
      <c r="HB46" s="316"/>
      <c r="HC46" s="316"/>
      <c r="HD46" s="316"/>
      <c r="HE46" s="316"/>
      <c r="HF46" s="316"/>
      <c r="HG46" s="316"/>
      <c r="HH46" s="316"/>
      <c r="HI46" s="316"/>
      <c r="HJ46" s="316"/>
      <c r="HK46" s="316"/>
      <c r="HL46" s="316"/>
      <c r="HM46" s="316"/>
      <c r="HN46" s="316"/>
      <c r="HO46" s="316"/>
      <c r="HP46" s="316"/>
      <c r="HQ46" s="316"/>
      <c r="HR46" s="316"/>
      <c r="HS46" s="316"/>
      <c r="HT46" s="316"/>
      <c r="HU46" s="316"/>
      <c r="HV46" s="316"/>
      <c r="HW46" s="316"/>
      <c r="HX46" s="316"/>
      <c r="HY46" s="316"/>
      <c r="HZ46" s="316"/>
      <c r="IA46" s="316"/>
      <c r="IB46" s="316"/>
      <c r="IC46" s="316"/>
      <c r="ID46" s="316"/>
      <c r="IE46" s="316"/>
      <c r="IF46" s="316"/>
      <c r="IG46" s="316"/>
      <c r="IH46" s="316"/>
      <c r="II46" s="316"/>
      <c r="IJ46" s="316"/>
      <c r="IK46" s="316"/>
      <c r="IL46" s="316"/>
      <c r="IM46" s="316"/>
      <c r="IN46" s="316"/>
      <c r="IO46" s="316"/>
      <c r="IP46" s="316"/>
      <c r="IQ46" s="316"/>
      <c r="IR46" s="316"/>
      <c r="IS46" s="316"/>
      <c r="IT46" s="316"/>
      <c r="IU46" s="316"/>
      <c r="IV46" s="316"/>
      <c r="IW46" s="316"/>
    </row>
    <row r="47" customFormat="false" ht="12.75" hidden="false" customHeight="false" outlineLevel="0" collapsed="false">
      <c r="A47" s="254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W47" s="266"/>
    </row>
    <row r="48" customFormat="false" ht="12.75" hidden="false" customHeight="false" outlineLevel="0" collapsed="false">
      <c r="A48" s="258" t="s">
        <v>113</v>
      </c>
      <c r="B48" s="259" t="n">
        <f aca="false">B25</f>
        <v>39910.0449146609</v>
      </c>
      <c r="C48" s="259" t="n">
        <f aca="false">C25</f>
        <v>41947.4995394108</v>
      </c>
      <c r="D48" s="259" t="n">
        <f aca="false">D25</f>
        <v>43980.3650651893</v>
      </c>
      <c r="E48" s="259" t="n">
        <f aca="false">E25</f>
        <v>46110.1378202412</v>
      </c>
      <c r="F48" s="259" t="n">
        <f aca="false">F25</f>
        <v>48341.4084278437</v>
      </c>
      <c r="G48" s="259" t="n">
        <f aca="false">G25</f>
        <v>49293.8538652998</v>
      </c>
      <c r="H48" s="259" t="n">
        <f aca="false">H25</f>
        <v>50277.5266945913</v>
      </c>
      <c r="I48" s="259" t="n">
        <f aca="false">I25</f>
        <v>51280.2249170429</v>
      </c>
      <c r="J48" s="259" t="n">
        <f aca="false">J25</f>
        <v>52302.3079479955</v>
      </c>
      <c r="K48" s="259" t="n">
        <f aca="false">K25</f>
        <v>53344.1417250491</v>
      </c>
      <c r="L48" s="259" t="n">
        <f aca="false">L25</f>
        <v>54377.824929999</v>
      </c>
      <c r="M48" s="259" t="n">
        <f aca="false">M25</f>
        <v>55430.884872391</v>
      </c>
      <c r="N48" s="259" t="n">
        <f aca="false">N25</f>
        <v>56503.6740944015</v>
      </c>
      <c r="O48" s="259" t="n">
        <f aca="false">O25</f>
        <v>57596.5512162598</v>
      </c>
      <c r="P48" s="259" t="n">
        <f aca="false">P25</f>
        <v>58709.88103014</v>
      </c>
      <c r="Q48" s="259" t="n">
        <f aca="false">Q25</f>
        <v>59574.0472660574</v>
      </c>
      <c r="R48" s="259" t="n">
        <f aca="false">R25</f>
        <v>60449.9522657513</v>
      </c>
      <c r="S48" s="259" t="n">
        <f aca="false">S25</f>
        <v>61337.7299492105</v>
      </c>
      <c r="T48" s="259" t="n">
        <f aca="false">T25</f>
        <v>62237.5148965423</v>
      </c>
      <c r="U48" s="259" t="n">
        <f aca="false">U25</f>
        <v>63149.4423161249</v>
      </c>
      <c r="W48" s="170" t="n">
        <f aca="false">SUM(B48:U48)</f>
        <v>1066155.0137542</v>
      </c>
    </row>
    <row r="49" customFormat="false" ht="12.75" hidden="false" customHeight="false" outlineLevel="0" collapsed="false">
      <c r="A49" s="258" t="s">
        <v>147</v>
      </c>
      <c r="B49" s="259" t="n">
        <f aca="false">B20</f>
        <v>572</v>
      </c>
      <c r="C49" s="259" t="n">
        <f aca="false">C20</f>
        <v>583.4</v>
      </c>
      <c r="D49" s="259" t="n">
        <f aca="false">D20</f>
        <v>595.1</v>
      </c>
      <c r="E49" s="259" t="n">
        <f aca="false">E20</f>
        <v>607</v>
      </c>
      <c r="F49" s="259" t="n">
        <f aca="false">F20</f>
        <v>619.1</v>
      </c>
      <c r="G49" s="259" t="n">
        <f aca="false">G20</f>
        <v>631.5</v>
      </c>
      <c r="H49" s="259" t="n">
        <f aca="false">H20</f>
        <v>631.5</v>
      </c>
      <c r="I49" s="259" t="n">
        <f aca="false">I20</f>
        <v>631.5</v>
      </c>
      <c r="J49" s="259" t="n">
        <f aca="false">J20</f>
        <v>631.5</v>
      </c>
      <c r="K49" s="259" t="n">
        <f aca="false">K20</f>
        <v>631.5</v>
      </c>
      <c r="L49" s="259" t="n">
        <f aca="false">L20</f>
        <v>631.5</v>
      </c>
      <c r="M49" s="259" t="n">
        <f aca="false">M20</f>
        <v>631.5</v>
      </c>
      <c r="N49" s="259" t="n">
        <f aca="false">N20</f>
        <v>631.5</v>
      </c>
      <c r="O49" s="259" t="n">
        <f aca="false">O20</f>
        <v>631.5</v>
      </c>
      <c r="P49" s="259" t="n">
        <f aca="false">P20</f>
        <v>631.5</v>
      </c>
      <c r="Q49" s="259" t="n">
        <f aca="false">Q20</f>
        <v>631.5</v>
      </c>
      <c r="R49" s="259" t="n">
        <f aca="false">R20</f>
        <v>631.5</v>
      </c>
      <c r="S49" s="259" t="n">
        <f aca="false">S20</f>
        <v>631.5</v>
      </c>
      <c r="T49" s="259" t="n">
        <f aca="false">T20</f>
        <v>631.5</v>
      </c>
      <c r="U49" s="259" t="n">
        <f aca="false">U20</f>
        <v>631.5</v>
      </c>
      <c r="W49" s="170" t="n">
        <f aca="false">SUM(B49:U49)</f>
        <v>12449.1</v>
      </c>
    </row>
    <row r="50" customFormat="false" ht="12.75" hidden="false" customHeight="false" outlineLevel="0" collapsed="false">
      <c r="A50" s="258" t="s">
        <v>148</v>
      </c>
      <c r="B50" s="327" t="n">
        <v>-333.7</v>
      </c>
      <c r="C50" s="259" t="n">
        <f aca="false">-B49</f>
        <v>-572</v>
      </c>
      <c r="D50" s="259" t="n">
        <f aca="false">-C49</f>
        <v>-583.4</v>
      </c>
      <c r="E50" s="259" t="n">
        <f aca="false">-D49</f>
        <v>-595.1</v>
      </c>
      <c r="F50" s="259" t="n">
        <f aca="false">-E49</f>
        <v>-607</v>
      </c>
      <c r="G50" s="259" t="n">
        <f aca="false">-F49</f>
        <v>-619.1</v>
      </c>
      <c r="H50" s="259" t="n">
        <f aca="false">-G49</f>
        <v>-631.5</v>
      </c>
      <c r="I50" s="259" t="n">
        <f aca="false">-H49</f>
        <v>-631.5</v>
      </c>
      <c r="J50" s="259" t="n">
        <f aca="false">-I49</f>
        <v>-631.5</v>
      </c>
      <c r="K50" s="259" t="n">
        <f aca="false">-J49</f>
        <v>-631.5</v>
      </c>
      <c r="L50" s="259" t="n">
        <f aca="false">-K49</f>
        <v>-631.5</v>
      </c>
      <c r="M50" s="259" t="n">
        <f aca="false">-L49</f>
        <v>-631.5</v>
      </c>
      <c r="N50" s="259" t="n">
        <f aca="false">-M49</f>
        <v>-631.5</v>
      </c>
      <c r="O50" s="259" t="n">
        <f aca="false">-N49</f>
        <v>-631.5</v>
      </c>
      <c r="P50" s="259" t="n">
        <f aca="false">-O49</f>
        <v>-631.5</v>
      </c>
      <c r="Q50" s="259" t="n">
        <f aca="false">-P49</f>
        <v>-631.5</v>
      </c>
      <c r="R50" s="259" t="n">
        <f aca="false">-Q49</f>
        <v>-631.5</v>
      </c>
      <c r="S50" s="259" t="n">
        <f aca="false">-R49</f>
        <v>-631.5</v>
      </c>
      <c r="T50" s="259" t="n">
        <f aca="false">-S49</f>
        <v>-631.5</v>
      </c>
      <c r="U50" s="259" t="n">
        <f aca="false">-T49</f>
        <v>-631.5</v>
      </c>
      <c r="W50" s="170" t="n">
        <f aca="false">SUM(B50:U50)</f>
        <v>-12151.3</v>
      </c>
    </row>
    <row r="51" customFormat="false" ht="12.75" hidden="false" customHeight="false" outlineLevel="0" collapsed="false">
      <c r="A51" s="258" t="s">
        <v>196</v>
      </c>
      <c r="B51" s="328" t="n">
        <f aca="false">-Debt!B77*Allocation!$E$8</f>
        <v>-17803.4276479008</v>
      </c>
      <c r="C51" s="328" t="n">
        <f aca="false">-Debt!C77*Allocation!$E$8</f>
        <v>-17900.1821865399</v>
      </c>
      <c r="D51" s="328" t="n">
        <f aca="false">-Debt!D77*Allocation!$E$8</f>
        <v>-17984.1881321437</v>
      </c>
      <c r="E51" s="328" t="n">
        <f aca="false">-Debt!E77*Allocation!$E$8</f>
        <v>-18171.2326210339</v>
      </c>
      <c r="F51" s="328" t="n">
        <f aca="false">-Debt!F77*Allocation!$E$8</f>
        <v>-18306.2172192522</v>
      </c>
      <c r="G51" s="328" t="n">
        <f aca="false">-Debt!G77*Allocation!$E$8</f>
        <v>-17894.1456484751</v>
      </c>
      <c r="H51" s="328" t="n">
        <f aca="false">-Debt!H77*Allocation!$E$8</f>
        <v>-17530.6014996838</v>
      </c>
      <c r="I51" s="328" t="n">
        <f aca="false">-Debt!I77*Allocation!$E$8</f>
        <v>-17224.8993433371</v>
      </c>
      <c r="J51" s="328" t="n">
        <f aca="false">-Debt!J77*Allocation!$E$8</f>
        <v>-16906.6203232062</v>
      </c>
      <c r="K51" s="328" t="n">
        <f aca="false">-Debt!K77*Allocation!$E$8</f>
        <v>-16641.1717340145</v>
      </c>
      <c r="L51" s="328" t="n">
        <f aca="false">-Debt!L77*Allocation!$E$8</f>
        <v>-16375.4534834955</v>
      </c>
      <c r="M51" s="328" t="n">
        <f aca="false">-Debt!M77*Allocation!$E$8</f>
        <v>-16157.7263998836</v>
      </c>
      <c r="N51" s="328" t="n">
        <f aca="false">-Debt!N77*Allocation!$E$8</f>
        <v>-15889.2419656298</v>
      </c>
      <c r="O51" s="328" t="n">
        <f aca="false">-Debt!O77*Allocation!$E$8</f>
        <v>-15679.1350539024</v>
      </c>
      <c r="P51" s="328" t="n">
        <f aca="false">-Debt!P77*Allocation!$E$8</f>
        <v>-15454.6333473626</v>
      </c>
      <c r="Q51" s="328" t="n">
        <f aca="false">-Debt!Q77*Allocation!$E$8</f>
        <v>-15316.654587907</v>
      </c>
      <c r="R51" s="328" t="n">
        <f aca="false">-Debt!R77*Allocation!$E$8</f>
        <v>-15107.0256083682</v>
      </c>
      <c r="S51" s="328" t="n">
        <f aca="false">-Debt!S77*Allocation!$E$8</f>
        <v>-14925.1874029862</v>
      </c>
      <c r="T51" s="328" t="n">
        <f aca="false">-Debt!T77*Allocation!$E$8</f>
        <v>-14759.4549450798</v>
      </c>
      <c r="U51" s="328" t="n">
        <f aca="false">-Debt!U77*Allocation!$E$8</f>
        <v>-14599.4640553198</v>
      </c>
      <c r="W51" s="170" t="n">
        <f aca="false">SUM(B51:U51)</f>
        <v>-330626.663205522</v>
      </c>
    </row>
    <row r="52" customFormat="false" ht="12.75" hidden="false" customHeight="false" outlineLevel="0" collapsed="false">
      <c r="A52" s="258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W52" s="251"/>
    </row>
    <row r="53" customFormat="false" ht="12.75" hidden="false" customHeight="false" outlineLevel="0" collapsed="false">
      <c r="A53" s="254" t="s">
        <v>197</v>
      </c>
      <c r="B53" s="330" t="n">
        <f aca="false">SUM(B48:B51)</f>
        <v>22344.9172667601</v>
      </c>
      <c r="C53" s="330" t="n">
        <f aca="false">SUM(C48:C51)</f>
        <v>24058.7173528709</v>
      </c>
      <c r="D53" s="330" t="n">
        <f aca="false">SUM(D48:D51)</f>
        <v>26007.8769330456</v>
      </c>
      <c r="E53" s="330" t="n">
        <f aca="false">SUM(E48:E51)</f>
        <v>27950.8051992073</v>
      </c>
      <c r="F53" s="330" t="n">
        <f aca="false">SUM(F48:F51)</f>
        <v>30047.2912085915</v>
      </c>
      <c r="G53" s="330" t="n">
        <f aca="false">SUM(G48:G51)</f>
        <v>31412.1082168247</v>
      </c>
      <c r="H53" s="330" t="n">
        <f aca="false">SUM(H48:H51)</f>
        <v>32746.9251949074</v>
      </c>
      <c r="I53" s="330" t="n">
        <f aca="false">SUM(I48:I51)</f>
        <v>34055.3255737058</v>
      </c>
      <c r="J53" s="330" t="n">
        <f aca="false">SUM(J48:J51)</f>
        <v>35395.6876247893</v>
      </c>
      <c r="K53" s="330" t="n">
        <f aca="false">SUM(K48:K51)</f>
        <v>36702.9699910346</v>
      </c>
      <c r="L53" s="330" t="n">
        <f aca="false">SUM(L48:L51)</f>
        <v>38002.3714465034</v>
      </c>
      <c r="M53" s="330" t="n">
        <f aca="false">SUM(M48:M51)</f>
        <v>39273.1584725075</v>
      </c>
      <c r="N53" s="330" t="n">
        <f aca="false">SUM(N48:N51)</f>
        <v>40614.4321287717</v>
      </c>
      <c r="O53" s="330" t="n">
        <f aca="false">SUM(O48:O51)</f>
        <v>41917.4161623574</v>
      </c>
      <c r="P53" s="330" t="n">
        <f aca="false">SUM(P48:P51)</f>
        <v>43255.2476827774</v>
      </c>
      <c r="Q53" s="330" t="n">
        <f aca="false">SUM(Q48:Q51)</f>
        <v>44257.3926781505</v>
      </c>
      <c r="R53" s="330" t="n">
        <f aca="false">SUM(R48:R51)</f>
        <v>45342.9266573831</v>
      </c>
      <c r="S53" s="330" t="n">
        <f aca="false">SUM(S48:S51)</f>
        <v>46412.5425462243</v>
      </c>
      <c r="T53" s="330" t="n">
        <f aca="false">SUM(T48:T51)</f>
        <v>47478.0599514626</v>
      </c>
      <c r="U53" s="330" t="n">
        <f aca="false">SUM(U48:U51)</f>
        <v>48549.978260805</v>
      </c>
      <c r="V53" s="293"/>
      <c r="W53" s="170" t="n">
        <f aca="false">SUM(B53:U53)</f>
        <v>735826.15054868</v>
      </c>
    </row>
    <row r="54" customFormat="false" ht="12.75" hidden="false" customHeight="false" outlineLevel="0" collapsed="false">
      <c r="A54" s="254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W54" s="251"/>
    </row>
    <row r="55" customFormat="false" ht="15" hidden="false" customHeight="false" outlineLevel="0" collapsed="false">
      <c r="A55" s="258" t="s">
        <v>198</v>
      </c>
      <c r="B55" s="329" t="n">
        <f aca="false">-B91</f>
        <v>-548.670264168192</v>
      </c>
      <c r="C55" s="329" t="n">
        <f aca="false">-C91</f>
        <v>-0</v>
      </c>
      <c r="D55" s="329" t="n">
        <f aca="false">-D91</f>
        <v>-0</v>
      </c>
      <c r="E55" s="329" t="n">
        <f aca="false">-E91</f>
        <v>-12.3591542042824</v>
      </c>
      <c r="F55" s="329" t="n">
        <f aca="false">-F91</f>
        <v>-784.285482066128</v>
      </c>
      <c r="G55" s="329" t="n">
        <f aca="false">-G91</f>
        <v>-1062.48361294425</v>
      </c>
      <c r="H55" s="329" t="n">
        <f aca="false">-H91</f>
        <v>-1252.65023118026</v>
      </c>
      <c r="I55" s="329" t="n">
        <f aca="false">-I91</f>
        <v>-1359.36781465914</v>
      </c>
      <c r="J55" s="329" t="n">
        <f aca="false">-J91</f>
        <v>-1479.02692442237</v>
      </c>
      <c r="K55" s="329" t="n">
        <f aca="false">-K91</f>
        <v>-1595.18937954115</v>
      </c>
      <c r="L55" s="329" t="n">
        <f aca="false">-L91</f>
        <v>-1718.72811869125</v>
      </c>
      <c r="M55" s="329" t="n">
        <f aca="false">-M91</f>
        <v>-1840.71209029832</v>
      </c>
      <c r="N55" s="329" t="n">
        <f aca="false">-N91</f>
        <v>-1976.67346425937</v>
      </c>
      <c r="O55" s="329" t="n">
        <f aca="false">-O91</f>
        <v>-2111.59550381552</v>
      </c>
      <c r="P55" s="329" t="n">
        <f aca="false">-P91</f>
        <v>-2257.93605522768</v>
      </c>
      <c r="Q55" s="329" t="n">
        <f aca="false">-Q91</f>
        <v>-3115.74455062905</v>
      </c>
      <c r="R55" s="329" t="n">
        <f aca="false">-R91</f>
        <v>-3983.52524612331</v>
      </c>
      <c r="S55" s="329" t="n">
        <f aca="false">-S91</f>
        <v>-4130.72305552336</v>
      </c>
      <c r="T55" s="329" t="n">
        <f aca="false">-T91</f>
        <v>-4286.92462625485</v>
      </c>
      <c r="U55" s="329" t="n">
        <f aca="false">-U91</f>
        <v>-4452.88381435516</v>
      </c>
      <c r="W55" s="170" t="n">
        <f aca="false">SUM(B55:U55)</f>
        <v>-37969.4793883636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customFormat="false" ht="12.75" hidden="false" customHeight="false" outlineLevel="0" collapsed="false">
      <c r="A56" s="258" t="s">
        <v>199</v>
      </c>
      <c r="B56" s="331" t="n">
        <f aca="false">-Allocation!$E$8*Tax!B24</f>
        <v>-3106.98127293483</v>
      </c>
      <c r="C56" s="331" t="n">
        <f aca="false">-Allocation!$E$8*Tax!C24</f>
        <v>-0</v>
      </c>
      <c r="D56" s="331" t="n">
        <f aca="false">-Allocation!$E$8*Tax!D24</f>
        <v>-250.145053527844</v>
      </c>
      <c r="E56" s="331" t="n">
        <f aca="false">-Allocation!$E$8*Tax!E24</f>
        <v>-2802.40092895667</v>
      </c>
      <c r="F56" s="331" t="n">
        <f aca="false">-Allocation!$E$8*Tax!F24</f>
        <v>-4470.99901795131</v>
      </c>
      <c r="G56" s="331" t="n">
        <f aca="false">-Allocation!$E$8*Tax!G24</f>
        <v>-5603.36638849985</v>
      </c>
      <c r="H56" s="331" t="n">
        <f aca="false">-Allocation!$E$8*Tax!H24</f>
        <v>-6375.43393090539</v>
      </c>
      <c r="I56" s="331" t="n">
        <f aca="false">-Allocation!$E$8*Tax!I24</f>
        <v>-6810.10471475314</v>
      </c>
      <c r="J56" s="331" t="n">
        <f aca="false">-Allocation!$E$8*Tax!J24</f>
        <v>-7312.91186822751</v>
      </c>
      <c r="K56" s="331" t="n">
        <f aca="false">-Allocation!$E$8*Tax!K24</f>
        <v>-7810.55668305373</v>
      </c>
      <c r="L56" s="331" t="n">
        <f aca="false">-Allocation!$E$8*Tax!L24</f>
        <v>-8308.01121826987</v>
      </c>
      <c r="M56" s="331" t="n">
        <f aca="false">-Allocation!$E$8*Tax!M24</f>
        <v>-8818.79911361467</v>
      </c>
      <c r="N56" s="331" t="n">
        <f aca="false">-Allocation!$E$8*Tax!N24</f>
        <v>-9343.89251420313</v>
      </c>
      <c r="O56" s="331" t="n">
        <f aca="false">-Allocation!$E$8*Tax!O24</f>
        <v>-9910.26888180348</v>
      </c>
      <c r="P56" s="331" t="n">
        <f aca="false">-Allocation!$E$8*Tax!P24</f>
        <v>-10467.9033280508</v>
      </c>
      <c r="Q56" s="331" t="n">
        <f aca="false">-Allocation!$E$8*Tax!Q24</f>
        <v>-14119.8953924032</v>
      </c>
      <c r="R56" s="331" t="n">
        <f aca="false">-Allocation!$E$8*Tax!R24</f>
        <v>-17741.1358524617</v>
      </c>
      <c r="S56" s="331" t="n">
        <f aca="false">-Allocation!$E$8*Tax!S24</f>
        <v>-18394.3185820897</v>
      </c>
      <c r="T56" s="331" t="n">
        <f aca="false">-Allocation!$E$8*Tax!T24</f>
        <v>-19087.8794956111</v>
      </c>
      <c r="U56" s="331" t="n">
        <f aca="false">-Allocation!$E$8*Tax!U24</f>
        <v>-19825.2251509603</v>
      </c>
      <c r="W56" s="170" t="n">
        <f aca="false">SUM(B56:U56)</f>
        <v>-180560.229388278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customFormat="false" ht="12.75" hidden="false" customHeight="false" outlineLevel="0" collapsed="false">
      <c r="A57" s="258"/>
      <c r="B57" s="322"/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W57" s="251"/>
    </row>
    <row r="58" customFormat="false" ht="15.75" hidden="false" customHeight="false" outlineLevel="0" collapsed="false">
      <c r="A58" s="332" t="s">
        <v>200</v>
      </c>
      <c r="B58" s="333" t="n">
        <f aca="false">B53+B56+B55</f>
        <v>18689.2657296571</v>
      </c>
      <c r="C58" s="333" t="n">
        <f aca="false">C53+C56+C55</f>
        <v>24058.7173528709</v>
      </c>
      <c r="D58" s="333" t="n">
        <f aca="false">D53+D56+D55</f>
        <v>25757.7318795177</v>
      </c>
      <c r="E58" s="333" t="n">
        <f aca="false">E53+E56+E55</f>
        <v>25136.0451160464</v>
      </c>
      <c r="F58" s="333" t="n">
        <f aca="false">F53+F56+F55</f>
        <v>24792.006708574</v>
      </c>
      <c r="G58" s="333" t="n">
        <f aca="false">G53+G56+G55</f>
        <v>24746.2582153806</v>
      </c>
      <c r="H58" s="333" t="n">
        <f aca="false">H53+H56+H55</f>
        <v>25118.8410328218</v>
      </c>
      <c r="I58" s="333" t="n">
        <f aca="false">I53+I56+I55</f>
        <v>25885.8530442935</v>
      </c>
      <c r="J58" s="333" t="n">
        <f aca="false">J53+J56+J55</f>
        <v>26603.7488321395</v>
      </c>
      <c r="K58" s="333" t="n">
        <f aca="false">K53+K56+K55</f>
        <v>27297.2239284397</v>
      </c>
      <c r="L58" s="333" t="n">
        <f aca="false">L53+L56+L55</f>
        <v>27975.6321095423</v>
      </c>
      <c r="M58" s="333" t="n">
        <f aca="false">M53+M56+M55</f>
        <v>28613.6472685945</v>
      </c>
      <c r="N58" s="333" t="n">
        <f aca="false">N53+N56+N55</f>
        <v>29293.8661503092</v>
      </c>
      <c r="O58" s="333" t="n">
        <f aca="false">O53+O56+O55</f>
        <v>29895.5517767384</v>
      </c>
      <c r="P58" s="333" t="n">
        <f aca="false">P53+P56+P55</f>
        <v>30529.408299499</v>
      </c>
      <c r="Q58" s="333" t="n">
        <f aca="false">Q53+Q56+Q55</f>
        <v>27021.7527351182</v>
      </c>
      <c r="R58" s="333" t="n">
        <f aca="false">R53+R56+R55</f>
        <v>23618.2655587982</v>
      </c>
      <c r="S58" s="333" t="n">
        <f aca="false">S53+S56+S55</f>
        <v>23887.5009086113</v>
      </c>
      <c r="T58" s="333" t="n">
        <f aca="false">T53+T56+T55</f>
        <v>24103.2558295967</v>
      </c>
      <c r="U58" s="333" t="n">
        <f aca="false">U53+U56+U55</f>
        <v>24271.8692954895</v>
      </c>
      <c r="V58" s="324"/>
      <c r="W58" s="170" t="n">
        <f aca="false">SUM(B58:U58)</f>
        <v>517296.441772038</v>
      </c>
    </row>
    <row r="59" customFormat="false" ht="12.75" hidden="false" customHeight="false" outlineLevel="0" collapsed="false">
      <c r="A59" s="334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  <c r="CO59" s="293"/>
      <c r="CP59" s="293"/>
      <c r="CQ59" s="293"/>
      <c r="CR59" s="293"/>
      <c r="CS59" s="293"/>
      <c r="CT59" s="293"/>
      <c r="CU59" s="293"/>
      <c r="CV59" s="293"/>
      <c r="CW59" s="293"/>
      <c r="CX59" s="293"/>
      <c r="CY59" s="293"/>
      <c r="CZ59" s="293"/>
      <c r="DA59" s="293"/>
      <c r="DB59" s="293"/>
      <c r="DC59" s="293"/>
      <c r="DD59" s="293"/>
      <c r="DE59" s="293"/>
      <c r="DF59" s="293"/>
      <c r="DG59" s="293"/>
      <c r="DH59" s="293"/>
      <c r="DI59" s="293"/>
      <c r="DJ59" s="293"/>
      <c r="DK59" s="293"/>
      <c r="DL59" s="293"/>
      <c r="DM59" s="293"/>
      <c r="DN59" s="293"/>
      <c r="DO59" s="293"/>
      <c r="DP59" s="293"/>
      <c r="DQ59" s="293"/>
      <c r="DR59" s="293"/>
      <c r="DS59" s="293"/>
      <c r="DT59" s="293"/>
      <c r="DU59" s="293"/>
      <c r="DV59" s="293"/>
      <c r="DW59" s="293"/>
      <c r="DX59" s="293"/>
      <c r="DY59" s="293"/>
      <c r="DZ59" s="293"/>
      <c r="EA59" s="293"/>
      <c r="EB59" s="293"/>
      <c r="EC59" s="293"/>
      <c r="ED59" s="293"/>
      <c r="EE59" s="293"/>
      <c r="EF59" s="293"/>
      <c r="EG59" s="293"/>
      <c r="EH59" s="293"/>
      <c r="EI59" s="293"/>
      <c r="EJ59" s="293"/>
      <c r="EK59" s="293"/>
      <c r="EL59" s="293"/>
      <c r="EM59" s="293"/>
      <c r="EN59" s="293"/>
      <c r="EO59" s="293"/>
      <c r="EP59" s="293"/>
      <c r="EQ59" s="293"/>
      <c r="ER59" s="293"/>
      <c r="ES59" s="293"/>
      <c r="ET59" s="293"/>
      <c r="EU59" s="293"/>
      <c r="EV59" s="293"/>
      <c r="EW59" s="293"/>
      <c r="EX59" s="293"/>
      <c r="EY59" s="293"/>
      <c r="EZ59" s="293"/>
      <c r="FA59" s="293"/>
      <c r="FB59" s="293"/>
      <c r="FC59" s="293"/>
      <c r="FD59" s="293"/>
      <c r="FE59" s="293"/>
      <c r="FF59" s="293"/>
      <c r="FG59" s="293"/>
      <c r="FH59" s="293"/>
      <c r="FI59" s="293"/>
      <c r="FJ59" s="293"/>
      <c r="FK59" s="293"/>
      <c r="FL59" s="293"/>
      <c r="FM59" s="293"/>
      <c r="FN59" s="293"/>
      <c r="FO59" s="293"/>
      <c r="FP59" s="293"/>
      <c r="FQ59" s="293"/>
      <c r="FR59" s="293"/>
      <c r="FS59" s="293"/>
      <c r="FT59" s="293"/>
      <c r="FU59" s="293"/>
      <c r="FV59" s="293"/>
      <c r="FW59" s="293"/>
      <c r="FX59" s="293"/>
      <c r="FY59" s="293"/>
      <c r="FZ59" s="293"/>
      <c r="GA59" s="293"/>
      <c r="GB59" s="293"/>
      <c r="GC59" s="293"/>
      <c r="GD59" s="293"/>
      <c r="GE59" s="293"/>
      <c r="GF59" s="293"/>
      <c r="GG59" s="293"/>
      <c r="GH59" s="293"/>
      <c r="GI59" s="293"/>
      <c r="GJ59" s="293"/>
      <c r="GK59" s="293"/>
      <c r="GL59" s="293"/>
      <c r="GM59" s="293"/>
      <c r="GN59" s="293"/>
      <c r="GO59" s="293"/>
      <c r="GP59" s="293"/>
      <c r="GQ59" s="293"/>
      <c r="GR59" s="293"/>
      <c r="GS59" s="293"/>
      <c r="GT59" s="293"/>
      <c r="GU59" s="293"/>
      <c r="GV59" s="293"/>
      <c r="GW59" s="293"/>
      <c r="GX59" s="293"/>
      <c r="GY59" s="293"/>
      <c r="GZ59" s="293"/>
      <c r="HA59" s="293"/>
      <c r="HB59" s="293"/>
      <c r="HC59" s="293"/>
      <c r="HD59" s="293"/>
      <c r="HE59" s="293"/>
      <c r="HF59" s="293"/>
      <c r="HG59" s="293"/>
      <c r="HH59" s="293"/>
      <c r="HI59" s="293"/>
      <c r="HJ59" s="293"/>
      <c r="HK59" s="293"/>
      <c r="HL59" s="293"/>
      <c r="HM59" s="293"/>
      <c r="HN59" s="293"/>
      <c r="HO59" s="293"/>
      <c r="HP59" s="293"/>
      <c r="HQ59" s="293"/>
      <c r="HR59" s="293"/>
      <c r="HS59" s="293"/>
      <c r="HT59" s="293"/>
      <c r="HU59" s="293"/>
      <c r="HV59" s="293"/>
      <c r="HW59" s="293"/>
      <c r="HX59" s="293"/>
      <c r="HY59" s="293"/>
      <c r="HZ59" s="293"/>
      <c r="IA59" s="293"/>
      <c r="IB59" s="293"/>
      <c r="IC59" s="293"/>
      <c r="ID59" s="293"/>
      <c r="IE59" s="293"/>
      <c r="IF59" s="293"/>
      <c r="IG59" s="293"/>
      <c r="IH59" s="293"/>
      <c r="II59" s="293"/>
      <c r="IJ59" s="293"/>
      <c r="IK59" s="293"/>
      <c r="IL59" s="293"/>
      <c r="IM59" s="293"/>
      <c r="IN59" s="293"/>
      <c r="IO59" s="293"/>
      <c r="IP59" s="293"/>
      <c r="IQ59" s="293"/>
      <c r="IR59" s="293"/>
      <c r="IS59" s="293"/>
      <c r="IT59" s="293"/>
      <c r="IU59" s="293"/>
      <c r="IV59" s="293"/>
      <c r="IW59" s="293"/>
    </row>
    <row r="60" customFormat="false" ht="12.75" hidden="false" customHeight="false" outlineLevel="0" collapsed="false">
      <c r="A60" s="241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</row>
    <row r="61" customFormat="false" ht="12.75" hidden="false" customHeight="false" outlineLevel="0" collapsed="false">
      <c r="A61" s="365"/>
      <c r="B61" s="366"/>
      <c r="C61" s="366"/>
      <c r="D61" s="366"/>
      <c r="E61" s="366"/>
      <c r="F61" s="366"/>
      <c r="G61" s="366"/>
      <c r="H61" s="366"/>
      <c r="I61" s="366"/>
      <c r="J61" s="366"/>
      <c r="K61" s="366"/>
      <c r="L61" s="172"/>
      <c r="M61" s="172"/>
      <c r="N61" s="172"/>
      <c r="O61" s="172"/>
      <c r="P61" s="172"/>
      <c r="Q61" s="172"/>
      <c r="R61" s="172"/>
      <c r="S61" s="172"/>
      <c r="T61" s="172"/>
      <c r="U61" s="172"/>
    </row>
    <row r="62" customFormat="false" ht="18" hidden="false" customHeight="false" outlineLevel="0" collapsed="false">
      <c r="A62" s="326" t="s">
        <v>231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</row>
    <row r="63" customFormat="false" ht="12.75" hidden="false" customHeight="false" outlineLevel="0" collapsed="false">
      <c r="A63" s="293"/>
      <c r="B63" s="294"/>
      <c r="C63" s="294"/>
      <c r="D63" s="294"/>
      <c r="E63" s="294"/>
      <c r="F63" s="294"/>
      <c r="G63" s="295"/>
      <c r="H63" s="294"/>
      <c r="I63" s="294"/>
      <c r="J63" s="294"/>
      <c r="K63" s="294"/>
      <c r="L63" s="294"/>
      <c r="M63" s="295"/>
      <c r="N63" s="294"/>
      <c r="O63" s="294"/>
      <c r="P63" s="294"/>
      <c r="Q63" s="294"/>
      <c r="R63" s="294"/>
      <c r="S63" s="295"/>
      <c r="T63" s="294"/>
      <c r="U63" s="294"/>
    </row>
    <row r="64" customFormat="false" ht="15.75" hidden="false" customHeight="false" outlineLevel="0" collapsed="false">
      <c r="A64" s="248"/>
      <c r="B64" s="297" t="n">
        <v>3</v>
      </c>
      <c r="C64" s="297" t="n">
        <v>4</v>
      </c>
      <c r="D64" s="297" t="n">
        <v>5</v>
      </c>
      <c r="E64" s="298" t="n">
        <v>6</v>
      </c>
      <c r="F64" s="297" t="n">
        <v>7</v>
      </c>
      <c r="G64" s="297" t="n">
        <v>8</v>
      </c>
      <c r="H64" s="297" t="n">
        <v>9</v>
      </c>
      <c r="I64" s="297" t="n">
        <v>10</v>
      </c>
      <c r="J64" s="297" t="n">
        <v>11</v>
      </c>
      <c r="K64" s="298" t="n">
        <v>12</v>
      </c>
      <c r="L64" s="297" t="n">
        <v>13</v>
      </c>
      <c r="M64" s="297" t="n">
        <v>14</v>
      </c>
      <c r="N64" s="297" t="n">
        <v>15</v>
      </c>
      <c r="O64" s="297" t="n">
        <v>16</v>
      </c>
      <c r="P64" s="297" t="n">
        <v>17</v>
      </c>
      <c r="Q64" s="298" t="n">
        <v>18</v>
      </c>
      <c r="R64" s="297" t="n">
        <v>19</v>
      </c>
      <c r="S64" s="297" t="n">
        <v>20</v>
      </c>
      <c r="T64" s="297" t="n">
        <v>21</v>
      </c>
      <c r="U64" s="297" t="n">
        <v>22</v>
      </c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  <c r="BF64" s="324"/>
      <c r="BG64" s="324"/>
      <c r="BH64" s="324"/>
      <c r="BI64" s="324"/>
      <c r="BJ64" s="324"/>
      <c r="BK64" s="324"/>
      <c r="BL64" s="324"/>
      <c r="BM64" s="324"/>
      <c r="BN64" s="324"/>
      <c r="BO64" s="324"/>
      <c r="BP64" s="324"/>
      <c r="BQ64" s="324"/>
      <c r="BR64" s="324"/>
      <c r="BS64" s="324"/>
      <c r="BT64" s="324"/>
      <c r="BU64" s="324"/>
      <c r="BV64" s="324"/>
      <c r="BW64" s="324"/>
      <c r="BX64" s="324"/>
      <c r="BY64" s="324"/>
      <c r="BZ64" s="324"/>
      <c r="CA64" s="324"/>
      <c r="CB64" s="324"/>
      <c r="CC64" s="324"/>
      <c r="CD64" s="324"/>
      <c r="CE64" s="324"/>
      <c r="CF64" s="324"/>
      <c r="CG64" s="324"/>
      <c r="CH64" s="324"/>
      <c r="CI64" s="324"/>
      <c r="CJ64" s="324"/>
      <c r="CK64" s="324"/>
      <c r="CL64" s="324"/>
      <c r="CM64" s="324"/>
      <c r="CN64" s="324"/>
      <c r="CO64" s="324"/>
      <c r="CP64" s="324"/>
      <c r="CQ64" s="324"/>
      <c r="CR64" s="324"/>
      <c r="CS64" s="324"/>
      <c r="CT64" s="324"/>
      <c r="CU64" s="324"/>
      <c r="CV64" s="324"/>
      <c r="CW64" s="324"/>
      <c r="CX64" s="324"/>
      <c r="CY64" s="324"/>
      <c r="CZ64" s="324"/>
      <c r="DA64" s="324"/>
      <c r="DB64" s="324"/>
      <c r="DC64" s="324"/>
      <c r="DD64" s="324"/>
      <c r="DE64" s="324"/>
      <c r="DF64" s="324"/>
      <c r="DG64" s="324"/>
      <c r="DH64" s="324"/>
      <c r="DI64" s="324"/>
      <c r="DJ64" s="324"/>
      <c r="DK64" s="324"/>
      <c r="DL64" s="324"/>
      <c r="DM64" s="324"/>
      <c r="DN64" s="324"/>
      <c r="DO64" s="324"/>
      <c r="DP64" s="324"/>
      <c r="DQ64" s="324"/>
      <c r="DR64" s="324"/>
      <c r="DS64" s="324"/>
      <c r="DT64" s="324"/>
      <c r="DU64" s="324"/>
      <c r="DV64" s="324"/>
      <c r="DW64" s="324"/>
      <c r="DX64" s="324"/>
      <c r="DY64" s="324"/>
      <c r="DZ64" s="324"/>
      <c r="EA64" s="324"/>
      <c r="EB64" s="324"/>
      <c r="EC64" s="324"/>
      <c r="ED64" s="324"/>
      <c r="EE64" s="324"/>
      <c r="EF64" s="324"/>
      <c r="EG64" s="324"/>
      <c r="EH64" s="324"/>
      <c r="EI64" s="324"/>
      <c r="EJ64" s="324"/>
      <c r="EK64" s="324"/>
      <c r="EL64" s="324"/>
      <c r="EM64" s="324"/>
      <c r="EN64" s="324"/>
      <c r="EO64" s="324"/>
      <c r="EP64" s="324"/>
      <c r="EQ64" s="324"/>
      <c r="ER64" s="324"/>
      <c r="ES64" s="324"/>
      <c r="ET64" s="324"/>
      <c r="EU64" s="324"/>
      <c r="EV64" s="324"/>
      <c r="EW64" s="324"/>
      <c r="EX64" s="324"/>
      <c r="EY64" s="324"/>
      <c r="EZ64" s="324"/>
      <c r="FA64" s="324"/>
      <c r="FB64" s="324"/>
      <c r="FC64" s="324"/>
      <c r="FD64" s="324"/>
      <c r="FE64" s="324"/>
      <c r="FF64" s="324"/>
      <c r="FG64" s="324"/>
      <c r="FH64" s="324"/>
      <c r="FI64" s="324"/>
      <c r="FJ64" s="324"/>
      <c r="FK64" s="324"/>
      <c r="FL64" s="324"/>
      <c r="FM64" s="324"/>
      <c r="FN64" s="324"/>
      <c r="FO64" s="324"/>
      <c r="FP64" s="324"/>
      <c r="FQ64" s="324"/>
      <c r="FR64" s="324"/>
      <c r="FS64" s="324"/>
      <c r="FT64" s="324"/>
      <c r="FU64" s="324"/>
      <c r="FV64" s="324"/>
      <c r="FW64" s="324"/>
      <c r="FX64" s="324"/>
      <c r="FY64" s="324"/>
      <c r="FZ64" s="324"/>
      <c r="GA64" s="324"/>
      <c r="GB64" s="324"/>
      <c r="GC64" s="324"/>
      <c r="GD64" s="324"/>
      <c r="GE64" s="324"/>
      <c r="GF64" s="324"/>
      <c r="GG64" s="324"/>
      <c r="GH64" s="324"/>
      <c r="GI64" s="324"/>
      <c r="GJ64" s="324"/>
      <c r="GK64" s="324"/>
      <c r="GL64" s="324"/>
      <c r="GM64" s="324"/>
      <c r="GN64" s="324"/>
      <c r="GO64" s="324"/>
      <c r="GP64" s="324"/>
      <c r="GQ64" s="324"/>
      <c r="GR64" s="324"/>
      <c r="GS64" s="324"/>
      <c r="GT64" s="324"/>
      <c r="GU64" s="324"/>
      <c r="GV64" s="324"/>
      <c r="GW64" s="324"/>
      <c r="GX64" s="324"/>
      <c r="GY64" s="324"/>
      <c r="GZ64" s="324"/>
      <c r="HA64" s="324"/>
      <c r="HB64" s="324"/>
      <c r="HC64" s="324"/>
      <c r="HD64" s="324"/>
      <c r="HE64" s="324"/>
      <c r="HF64" s="324"/>
      <c r="HG64" s="324"/>
      <c r="HH64" s="324"/>
      <c r="HI64" s="324"/>
      <c r="HJ64" s="324"/>
      <c r="HK64" s="324"/>
      <c r="HL64" s="324"/>
      <c r="HM64" s="324"/>
      <c r="HN64" s="324"/>
      <c r="HO64" s="324"/>
      <c r="HP64" s="324"/>
      <c r="HQ64" s="324"/>
      <c r="HR64" s="324"/>
      <c r="HS64" s="324"/>
      <c r="HT64" s="324"/>
      <c r="HU64" s="324"/>
      <c r="HV64" s="324"/>
      <c r="HW64" s="324"/>
      <c r="HX64" s="324"/>
      <c r="HY64" s="324"/>
      <c r="HZ64" s="324"/>
      <c r="IA64" s="324"/>
      <c r="IB64" s="324"/>
      <c r="IC64" s="324"/>
      <c r="ID64" s="324"/>
      <c r="IE64" s="324"/>
      <c r="IF64" s="324"/>
      <c r="IG64" s="324"/>
      <c r="IH64" s="324"/>
      <c r="II64" s="324"/>
      <c r="IJ64" s="324"/>
      <c r="IK64" s="324"/>
      <c r="IL64" s="324"/>
      <c r="IM64" s="324"/>
      <c r="IN64" s="324"/>
      <c r="IO64" s="324"/>
      <c r="IP64" s="324"/>
      <c r="IQ64" s="324"/>
      <c r="IR64" s="324"/>
      <c r="IS64" s="324"/>
      <c r="IT64" s="324"/>
      <c r="IU64" s="324"/>
      <c r="IV64" s="324"/>
      <c r="IW64" s="324"/>
    </row>
    <row r="65" customFormat="false" ht="13.5" hidden="false" customHeight="false" outlineLevel="0" collapsed="false">
      <c r="A65" s="154" t="s">
        <v>101</v>
      </c>
      <c r="B65" s="155" t="n">
        <v>2001</v>
      </c>
      <c r="C65" s="155" t="n">
        <v>2002</v>
      </c>
      <c r="D65" s="155" t="n">
        <v>2003</v>
      </c>
      <c r="E65" s="155" t="n">
        <v>2004</v>
      </c>
      <c r="F65" s="155" t="n">
        <v>2005</v>
      </c>
      <c r="G65" s="155" t="n">
        <v>2006</v>
      </c>
      <c r="H65" s="155" t="n">
        <v>2007</v>
      </c>
      <c r="I65" s="155" t="n">
        <v>2008</v>
      </c>
      <c r="J65" s="155" t="n">
        <v>2009</v>
      </c>
      <c r="K65" s="155" t="n">
        <v>2010</v>
      </c>
      <c r="L65" s="155" t="n">
        <v>2011</v>
      </c>
      <c r="M65" s="155" t="n">
        <v>2012</v>
      </c>
      <c r="N65" s="155" t="n">
        <v>2013</v>
      </c>
      <c r="O65" s="155" t="n">
        <v>2014</v>
      </c>
      <c r="P65" s="155" t="n">
        <v>2015</v>
      </c>
      <c r="Q65" s="155" t="n">
        <v>2016</v>
      </c>
      <c r="R65" s="155" t="n">
        <v>2017</v>
      </c>
      <c r="S65" s="155" t="n">
        <v>2018</v>
      </c>
      <c r="T65" s="155" t="n">
        <v>2019</v>
      </c>
      <c r="U65" s="155" t="n">
        <v>2020</v>
      </c>
    </row>
    <row r="66" customFormat="false" ht="12.75" hidden="false" customHeight="false" outlineLevel="0" collapsed="false">
      <c r="A66" s="248"/>
      <c r="B66" s="300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</row>
    <row r="67" customFormat="false" ht="12.75" hidden="false" customHeight="false" outlineLevel="0" collapsed="false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customFormat="false" ht="12.75" hidden="false" customHeight="false" outlineLevel="0" collapsed="false">
      <c r="A68" s="301" t="s">
        <v>202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customFormat="false" ht="12.75" hidden="false" customHeight="false" outlineLevel="0" collapsed="false">
      <c r="A69" s="367"/>
      <c r="B69" s="351"/>
      <c r="C69" s="351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</row>
    <row r="70" customFormat="false" ht="12.75" hidden="false" customHeight="false" outlineLevel="0" collapsed="false">
      <c r="A70" s="24" t="s">
        <v>204</v>
      </c>
      <c r="B70" s="353" t="n">
        <f aca="false">Allocation!$C$8*'Summary Output'!$C$7</f>
        <v>191626.87988027</v>
      </c>
      <c r="C70" s="353" t="n">
        <f aca="false">Allocation!$C$8*'Summary Output'!$C$7</f>
        <v>191626.87988027</v>
      </c>
      <c r="D70" s="353" t="n">
        <f aca="false">Allocation!$C$8*'Summary Output'!$C$7</f>
        <v>191626.87988027</v>
      </c>
      <c r="E70" s="353" t="n">
        <f aca="false">Allocation!$C$8*'Summary Output'!$C$7</f>
        <v>191626.87988027</v>
      </c>
      <c r="F70" s="353" t="n">
        <f aca="false">Allocation!$C$8*'Summary Output'!$C$7</f>
        <v>191626.87988027</v>
      </c>
      <c r="G70" s="353" t="n">
        <f aca="false">Allocation!$C$8*'Summary Output'!$C$7</f>
        <v>191626.87988027</v>
      </c>
      <c r="H70" s="353" t="n">
        <f aca="false">Allocation!$C$8*'Summary Output'!$C$7</f>
        <v>191626.87988027</v>
      </c>
      <c r="I70" s="353" t="n">
        <f aca="false">Allocation!$C$8*'Summary Output'!$C$7</f>
        <v>191626.87988027</v>
      </c>
      <c r="J70" s="353" t="n">
        <f aca="false">Allocation!$C$8*'Summary Output'!$C$7</f>
        <v>191626.87988027</v>
      </c>
      <c r="K70" s="353" t="n">
        <f aca="false">Allocation!$C$8*'Summary Output'!$C$7</f>
        <v>191626.87988027</v>
      </c>
      <c r="L70" s="353" t="n">
        <f aca="false">Allocation!$C$8*'Summary Output'!$C$7</f>
        <v>191626.87988027</v>
      </c>
      <c r="M70" s="353" t="n">
        <f aca="false">Allocation!$C$8*'Summary Output'!$C$7</f>
        <v>191626.87988027</v>
      </c>
      <c r="N70" s="353" t="n">
        <f aca="false">Allocation!$C$8*'Summary Output'!$C$7</f>
        <v>191626.87988027</v>
      </c>
      <c r="O70" s="353" t="n">
        <f aca="false">Allocation!$C$8*'Summary Output'!$C$7</f>
        <v>191626.87988027</v>
      </c>
      <c r="P70" s="353" t="n">
        <f aca="false">Allocation!$C$8*'Summary Output'!$C$7</f>
        <v>191626.87988027</v>
      </c>
      <c r="Q70" s="353" t="n">
        <f aca="false">Allocation!$C$8*'Summary Output'!$C$7</f>
        <v>191626.87988027</v>
      </c>
      <c r="R70" s="353" t="n">
        <f aca="false">Allocation!$C$8*'Summary Output'!$C$7</f>
        <v>191626.87988027</v>
      </c>
      <c r="S70" s="353" t="n">
        <f aca="false">Allocation!$C$8*'Summary Output'!$C$7</f>
        <v>191626.87988027</v>
      </c>
      <c r="T70" s="353" t="n">
        <f aca="false">Allocation!$C$8*'Summary Output'!$C$7</f>
        <v>191626.87988027</v>
      </c>
      <c r="U70" s="353" t="n">
        <f aca="false">Allocation!$C$8*'Summary Output'!$C$7</f>
        <v>191626.87988027</v>
      </c>
      <c r="V70" s="353"/>
      <c r="W70" s="353"/>
    </row>
    <row r="71" customFormat="false" ht="12.75" hidden="false" customHeight="false" outlineLevel="0" collapsed="false">
      <c r="A71" s="24" t="s">
        <v>209</v>
      </c>
      <c r="B71" s="354" t="n">
        <f aca="false">Assumptions!E41</f>
        <v>0.0015</v>
      </c>
      <c r="C71" s="354" t="n">
        <f aca="false">Assumptions!$E$42</f>
        <v>0.001</v>
      </c>
      <c r="D71" s="354" t="n">
        <f aca="false">Assumptions!$E$42</f>
        <v>0.001</v>
      </c>
      <c r="E71" s="354" t="n">
        <f aca="false">Assumptions!$E$42</f>
        <v>0.001</v>
      </c>
      <c r="F71" s="354" t="n">
        <f aca="false">Assumptions!$E$42</f>
        <v>0.001</v>
      </c>
      <c r="G71" s="354" t="n">
        <f aca="false">Assumptions!$E$42</f>
        <v>0.001</v>
      </c>
      <c r="H71" s="354" t="n">
        <f aca="false">Assumptions!$E$42</f>
        <v>0.001</v>
      </c>
      <c r="I71" s="354" t="n">
        <f aca="false">Assumptions!$E$42</f>
        <v>0.001</v>
      </c>
      <c r="J71" s="354" t="n">
        <f aca="false">Assumptions!$E$42</f>
        <v>0.001</v>
      </c>
      <c r="K71" s="354" t="n">
        <f aca="false">Assumptions!$E$42</f>
        <v>0.001</v>
      </c>
      <c r="L71" s="354" t="n">
        <f aca="false">Assumptions!$E$42</f>
        <v>0.001</v>
      </c>
      <c r="M71" s="354" t="n">
        <f aca="false">Assumptions!$E$42</f>
        <v>0.001</v>
      </c>
      <c r="N71" s="354" t="n">
        <f aca="false">Assumptions!$E$42</f>
        <v>0.001</v>
      </c>
      <c r="O71" s="354" t="n">
        <f aca="false">Assumptions!$E$42</f>
        <v>0.001</v>
      </c>
      <c r="P71" s="354" t="n">
        <f aca="false">Assumptions!$E$42</f>
        <v>0.001</v>
      </c>
      <c r="Q71" s="354" t="n">
        <f aca="false">Assumptions!$E$42</f>
        <v>0.001</v>
      </c>
      <c r="R71" s="354" t="n">
        <f aca="false">Assumptions!$E$42</f>
        <v>0.001</v>
      </c>
      <c r="S71" s="354" t="n">
        <f aca="false">Assumptions!$E$42</f>
        <v>0.001</v>
      </c>
      <c r="T71" s="354" t="n">
        <f aca="false">Assumptions!$E$42</f>
        <v>0.001</v>
      </c>
      <c r="U71" s="354" t="n">
        <f aca="false">Assumptions!$E$42</f>
        <v>0.001</v>
      </c>
      <c r="V71" s="354"/>
      <c r="W71" s="354"/>
    </row>
    <row r="72" customFormat="false" ht="12.75" hidden="false" customHeight="false" outlineLevel="0" collapsed="false">
      <c r="A72" s="40" t="s">
        <v>210</v>
      </c>
      <c r="B72" s="355" t="n">
        <f aca="false">B70*B71</f>
        <v>287.440319820405</v>
      </c>
      <c r="C72" s="355" t="n">
        <f aca="false">C70*C71</f>
        <v>191.62687988027</v>
      </c>
      <c r="D72" s="355" t="n">
        <f aca="false">D70*D71</f>
        <v>191.62687988027</v>
      </c>
      <c r="E72" s="355" t="n">
        <f aca="false">E70*E71</f>
        <v>191.62687988027</v>
      </c>
      <c r="F72" s="355" t="n">
        <f aca="false">F70*F71</f>
        <v>191.62687988027</v>
      </c>
      <c r="G72" s="355" t="n">
        <f aca="false">G70*G71</f>
        <v>191.62687988027</v>
      </c>
      <c r="H72" s="355" t="n">
        <f aca="false">H70*H71</f>
        <v>191.62687988027</v>
      </c>
      <c r="I72" s="355" t="n">
        <f aca="false">I70*I71</f>
        <v>191.62687988027</v>
      </c>
      <c r="J72" s="355" t="n">
        <f aca="false">J70*J71</f>
        <v>191.62687988027</v>
      </c>
      <c r="K72" s="355" t="n">
        <f aca="false">K70*K71</f>
        <v>191.62687988027</v>
      </c>
      <c r="L72" s="355" t="n">
        <f aca="false">L70*L71</f>
        <v>191.62687988027</v>
      </c>
      <c r="M72" s="355" t="n">
        <f aca="false">M70*M71</f>
        <v>191.62687988027</v>
      </c>
      <c r="N72" s="355" t="n">
        <f aca="false">N70*N71</f>
        <v>191.62687988027</v>
      </c>
      <c r="O72" s="355" t="n">
        <f aca="false">O70*O71</f>
        <v>191.62687988027</v>
      </c>
      <c r="P72" s="355" t="n">
        <f aca="false">P70*P71</f>
        <v>191.62687988027</v>
      </c>
      <c r="Q72" s="355" t="n">
        <f aca="false">Q70*Q71</f>
        <v>191.62687988027</v>
      </c>
      <c r="R72" s="355" t="n">
        <f aca="false">R70*R71</f>
        <v>191.62687988027</v>
      </c>
      <c r="S72" s="355" t="n">
        <f aca="false">S70*S71</f>
        <v>191.62687988027</v>
      </c>
      <c r="T72" s="355" t="n">
        <f aca="false">T70*T71</f>
        <v>191.62687988027</v>
      </c>
      <c r="U72" s="355" t="n">
        <f aca="false">U70*U71</f>
        <v>191.62687988027</v>
      </c>
      <c r="V72" s="355"/>
      <c r="W72" s="355"/>
    </row>
    <row r="73" customFormat="false" ht="12.75" hidden="false" customHeight="false" outlineLevel="0" collapsed="false">
      <c r="A73" s="368"/>
      <c r="B73" s="368"/>
      <c r="C73" s="368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</row>
    <row r="74" customFormat="false" ht="12.75" hidden="false" customHeight="false" outlineLevel="0" collapsed="false">
      <c r="A74" s="368"/>
      <c r="B74" s="368"/>
      <c r="C74" s="368"/>
      <c r="D74" s="369"/>
      <c r="E74" s="369"/>
      <c r="F74" s="369"/>
      <c r="G74" s="369"/>
      <c r="H74" s="369"/>
      <c r="I74" s="369"/>
      <c r="J74" s="369"/>
      <c r="K74" s="369"/>
      <c r="L74" s="369"/>
      <c r="M74" s="369"/>
      <c r="N74" s="369"/>
      <c r="O74" s="369"/>
      <c r="P74" s="369"/>
      <c r="Q74" s="369"/>
      <c r="R74" s="369"/>
      <c r="S74" s="369"/>
      <c r="T74" s="369"/>
      <c r="U74" s="369"/>
      <c r="V74" s="369"/>
      <c r="W74" s="369"/>
    </row>
    <row r="75" customFormat="false" ht="12.75" hidden="false" customHeight="false" outlineLevel="0" collapsed="false">
      <c r="A75" s="301" t="s">
        <v>178</v>
      </c>
      <c r="B75" s="368"/>
      <c r="C75" s="368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52"/>
      <c r="Y75" s="352"/>
      <c r="Z75" s="351"/>
      <c r="AA75" s="358"/>
      <c r="AB75" s="358"/>
      <c r="AC75" s="358"/>
      <c r="AD75" s="358"/>
      <c r="AE75" s="358"/>
      <c r="AF75" s="358"/>
      <c r="AG75" s="358"/>
      <c r="AH75" s="358"/>
      <c r="AI75" s="358"/>
      <c r="AJ75" s="358"/>
      <c r="AK75" s="358"/>
      <c r="AL75" s="358"/>
      <c r="AM75" s="358"/>
      <c r="AN75" s="358"/>
      <c r="AO75" s="358"/>
      <c r="AP75" s="358"/>
      <c r="AQ75" s="358"/>
      <c r="AR75" s="358"/>
      <c r="AS75" s="358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5"/>
      <c r="BG75" s="305"/>
      <c r="BH75" s="305"/>
      <c r="BI75" s="305"/>
      <c r="BJ75" s="305"/>
      <c r="BK75" s="305"/>
      <c r="BL75" s="305"/>
      <c r="BM75" s="305"/>
      <c r="BN75" s="305"/>
      <c r="BO75" s="305"/>
      <c r="BP75" s="305"/>
      <c r="BQ75" s="305"/>
      <c r="BR75" s="305"/>
      <c r="BS75" s="305"/>
      <c r="BT75" s="305"/>
      <c r="BU75" s="305"/>
      <c r="BV75" s="305"/>
      <c r="BW75" s="305"/>
      <c r="BX75" s="305"/>
      <c r="BY75" s="305"/>
      <c r="BZ75" s="305"/>
      <c r="CA75" s="305"/>
      <c r="CB75" s="305"/>
      <c r="CC75" s="305"/>
      <c r="CD75" s="305"/>
      <c r="CE75" s="305"/>
      <c r="CF75" s="305"/>
      <c r="CG75" s="305"/>
      <c r="CH75" s="305"/>
      <c r="CI75" s="305"/>
      <c r="CJ75" s="305"/>
      <c r="CK75" s="305"/>
      <c r="CL75" s="305"/>
      <c r="CM75" s="305"/>
      <c r="CN75" s="305"/>
      <c r="CO75" s="305"/>
      <c r="CP75" s="305"/>
      <c r="CQ75" s="305"/>
      <c r="CR75" s="305"/>
      <c r="CS75" s="305"/>
      <c r="CT75" s="305"/>
      <c r="CU75" s="305"/>
      <c r="CV75" s="305"/>
      <c r="CW75" s="305"/>
      <c r="CX75" s="305"/>
      <c r="CY75" s="305"/>
      <c r="CZ75" s="305"/>
      <c r="DA75" s="305"/>
      <c r="DB75" s="305"/>
      <c r="DC75" s="305"/>
      <c r="DD75" s="305"/>
      <c r="DE75" s="305"/>
      <c r="DF75" s="305"/>
      <c r="DG75" s="305"/>
      <c r="DH75" s="305"/>
      <c r="DI75" s="305"/>
      <c r="DJ75" s="305"/>
      <c r="DK75" s="305"/>
      <c r="DL75" s="305"/>
      <c r="DM75" s="305"/>
      <c r="DN75" s="305"/>
      <c r="DO75" s="305"/>
      <c r="DP75" s="305"/>
      <c r="DQ75" s="305"/>
      <c r="DR75" s="305"/>
      <c r="DS75" s="305"/>
      <c r="DT75" s="305"/>
      <c r="DU75" s="305"/>
      <c r="DV75" s="305"/>
      <c r="DW75" s="305"/>
      <c r="DX75" s="305"/>
      <c r="DY75" s="305"/>
      <c r="DZ75" s="305"/>
      <c r="EA75" s="305"/>
      <c r="EB75" s="305"/>
      <c r="EC75" s="305"/>
      <c r="ED75" s="305"/>
      <c r="EE75" s="305"/>
      <c r="EF75" s="305"/>
      <c r="EG75" s="305"/>
      <c r="EH75" s="305"/>
      <c r="EI75" s="305"/>
      <c r="EJ75" s="305"/>
      <c r="EK75" s="305"/>
      <c r="EL75" s="305"/>
      <c r="EM75" s="305"/>
      <c r="EN75" s="305"/>
      <c r="EO75" s="305"/>
      <c r="EP75" s="305"/>
      <c r="EQ75" s="305"/>
      <c r="ER75" s="305"/>
      <c r="ES75" s="305"/>
      <c r="ET75" s="305"/>
      <c r="EU75" s="305"/>
      <c r="EV75" s="305"/>
      <c r="EW75" s="305"/>
      <c r="EX75" s="305"/>
      <c r="EY75" s="305"/>
      <c r="EZ75" s="305"/>
      <c r="FA75" s="305"/>
      <c r="FB75" s="305"/>
      <c r="FC75" s="305"/>
      <c r="FD75" s="305"/>
      <c r="FE75" s="305"/>
      <c r="FF75" s="305"/>
      <c r="FG75" s="305"/>
      <c r="FH75" s="305"/>
      <c r="FI75" s="305"/>
      <c r="FJ75" s="305"/>
      <c r="FK75" s="305"/>
      <c r="FL75" s="305"/>
      <c r="FM75" s="305"/>
      <c r="FN75" s="305"/>
      <c r="FO75" s="305"/>
      <c r="FP75" s="305"/>
      <c r="FQ75" s="305"/>
      <c r="FR75" s="305"/>
      <c r="FS75" s="305"/>
      <c r="FT75" s="305"/>
      <c r="FU75" s="305"/>
      <c r="FV75" s="305"/>
      <c r="FW75" s="305"/>
      <c r="FX75" s="305"/>
      <c r="FY75" s="305"/>
      <c r="FZ75" s="305"/>
      <c r="GA75" s="305"/>
      <c r="GB75" s="305"/>
      <c r="GC75" s="305"/>
      <c r="GD75" s="305"/>
      <c r="GE75" s="305"/>
      <c r="GF75" s="305"/>
      <c r="GG75" s="305"/>
      <c r="GH75" s="305"/>
      <c r="GI75" s="305"/>
      <c r="GJ75" s="305"/>
      <c r="GK75" s="305"/>
      <c r="GL75" s="305"/>
      <c r="GM75" s="305"/>
      <c r="GN75" s="305"/>
      <c r="GO75" s="305"/>
      <c r="GP75" s="305"/>
      <c r="GQ75" s="305"/>
      <c r="GR75" s="305"/>
      <c r="GS75" s="305"/>
      <c r="GT75" s="305"/>
      <c r="GU75" s="305"/>
      <c r="GV75" s="305"/>
      <c r="GW75" s="305"/>
      <c r="GX75" s="305"/>
      <c r="GY75" s="305"/>
      <c r="GZ75" s="305"/>
      <c r="HA75" s="305"/>
      <c r="HB75" s="305"/>
      <c r="HC75" s="305"/>
      <c r="HD75" s="305"/>
      <c r="HE75" s="305"/>
      <c r="HF75" s="305"/>
      <c r="HG75" s="305"/>
      <c r="HH75" s="305"/>
      <c r="HI75" s="305"/>
      <c r="HJ75" s="305"/>
      <c r="HK75" s="305"/>
      <c r="HL75" s="305"/>
      <c r="HM75" s="305"/>
      <c r="HN75" s="305"/>
      <c r="HO75" s="305"/>
      <c r="HP75" s="305"/>
      <c r="HQ75" s="305"/>
      <c r="HR75" s="305"/>
      <c r="HS75" s="305"/>
      <c r="HT75" s="305"/>
      <c r="HU75" s="305"/>
      <c r="HV75" s="305"/>
      <c r="HW75" s="305"/>
      <c r="HX75" s="305"/>
      <c r="HY75" s="305"/>
      <c r="HZ75" s="305"/>
      <c r="IA75" s="305"/>
      <c r="IB75" s="305"/>
      <c r="IC75" s="305"/>
      <c r="ID75" s="305"/>
      <c r="IE75" s="305"/>
      <c r="IF75" s="305"/>
      <c r="IG75" s="305"/>
      <c r="IH75" s="305"/>
      <c r="II75" s="305"/>
      <c r="IJ75" s="305"/>
      <c r="IK75" s="305"/>
      <c r="IL75" s="305"/>
      <c r="IM75" s="305"/>
      <c r="IN75" s="305"/>
      <c r="IO75" s="305"/>
      <c r="IP75" s="305"/>
      <c r="IQ75" s="305"/>
      <c r="IR75" s="305"/>
      <c r="IS75" s="305"/>
      <c r="IT75" s="305"/>
      <c r="IU75" s="305"/>
      <c r="IV75" s="305"/>
      <c r="IW75" s="305"/>
    </row>
    <row r="76" customFormat="false" ht="12.75" hidden="false" customHeight="false" outlineLevel="0" collapsed="false">
      <c r="A76" s="301"/>
      <c r="B76" s="368"/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53"/>
      <c r="Y76" s="353"/>
      <c r="Z76" s="351"/>
      <c r="AA76" s="358"/>
      <c r="AB76" s="358"/>
      <c r="AC76" s="358"/>
      <c r="AD76" s="358"/>
      <c r="AE76" s="358"/>
      <c r="AF76" s="358"/>
      <c r="AG76" s="358"/>
      <c r="AH76" s="358"/>
      <c r="AI76" s="358"/>
      <c r="AJ76" s="358"/>
      <c r="AK76" s="358"/>
      <c r="AL76" s="358"/>
      <c r="AM76" s="358"/>
      <c r="AN76" s="358"/>
      <c r="AO76" s="358"/>
      <c r="AP76" s="358"/>
      <c r="AQ76" s="358"/>
      <c r="AR76" s="358"/>
      <c r="AS76" s="358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5"/>
      <c r="BG76" s="305"/>
      <c r="BH76" s="305"/>
      <c r="BI76" s="305"/>
      <c r="BJ76" s="305"/>
      <c r="BK76" s="305"/>
      <c r="BL76" s="305"/>
      <c r="BM76" s="305"/>
      <c r="BN76" s="305"/>
      <c r="BO76" s="305"/>
      <c r="BP76" s="305"/>
      <c r="BQ76" s="305"/>
      <c r="BR76" s="305"/>
      <c r="BS76" s="305"/>
      <c r="BT76" s="305"/>
      <c r="BU76" s="305"/>
      <c r="BV76" s="305"/>
      <c r="BW76" s="305"/>
      <c r="BX76" s="305"/>
      <c r="BY76" s="305"/>
      <c r="BZ76" s="305"/>
      <c r="CA76" s="305"/>
      <c r="CB76" s="305"/>
      <c r="CC76" s="305"/>
      <c r="CD76" s="305"/>
      <c r="CE76" s="305"/>
      <c r="CF76" s="305"/>
      <c r="CG76" s="305"/>
      <c r="CH76" s="305"/>
      <c r="CI76" s="305"/>
      <c r="CJ76" s="305"/>
      <c r="CK76" s="305"/>
      <c r="CL76" s="305"/>
      <c r="CM76" s="305"/>
      <c r="CN76" s="305"/>
      <c r="CO76" s="305"/>
      <c r="CP76" s="305"/>
      <c r="CQ76" s="305"/>
      <c r="CR76" s="305"/>
      <c r="CS76" s="305"/>
      <c r="CT76" s="305"/>
      <c r="CU76" s="305"/>
      <c r="CV76" s="305"/>
      <c r="CW76" s="305"/>
      <c r="CX76" s="305"/>
      <c r="CY76" s="305"/>
      <c r="CZ76" s="305"/>
      <c r="DA76" s="305"/>
      <c r="DB76" s="305"/>
      <c r="DC76" s="305"/>
      <c r="DD76" s="305"/>
      <c r="DE76" s="305"/>
      <c r="DF76" s="305"/>
      <c r="DG76" s="305"/>
      <c r="DH76" s="305"/>
      <c r="DI76" s="305"/>
      <c r="DJ76" s="305"/>
      <c r="DK76" s="305"/>
      <c r="DL76" s="305"/>
      <c r="DM76" s="305"/>
      <c r="DN76" s="305"/>
      <c r="DO76" s="305"/>
      <c r="DP76" s="305"/>
      <c r="DQ76" s="305"/>
      <c r="DR76" s="305"/>
      <c r="DS76" s="305"/>
      <c r="DT76" s="305"/>
      <c r="DU76" s="305"/>
      <c r="DV76" s="305"/>
      <c r="DW76" s="305"/>
      <c r="DX76" s="305"/>
      <c r="DY76" s="305"/>
      <c r="DZ76" s="305"/>
      <c r="EA76" s="305"/>
      <c r="EB76" s="305"/>
      <c r="EC76" s="305"/>
      <c r="ED76" s="305"/>
      <c r="EE76" s="305"/>
      <c r="EF76" s="305"/>
      <c r="EG76" s="305"/>
      <c r="EH76" s="305"/>
      <c r="EI76" s="305"/>
      <c r="EJ76" s="305"/>
      <c r="EK76" s="305"/>
      <c r="EL76" s="305"/>
      <c r="EM76" s="305"/>
      <c r="EN76" s="305"/>
      <c r="EO76" s="305"/>
      <c r="EP76" s="305"/>
      <c r="EQ76" s="305"/>
      <c r="ER76" s="305"/>
      <c r="ES76" s="305"/>
      <c r="ET76" s="305"/>
      <c r="EU76" s="305"/>
      <c r="EV76" s="305"/>
      <c r="EW76" s="305"/>
      <c r="EX76" s="305"/>
      <c r="EY76" s="305"/>
      <c r="EZ76" s="305"/>
      <c r="FA76" s="305"/>
      <c r="FB76" s="305"/>
      <c r="FC76" s="305"/>
      <c r="FD76" s="305"/>
      <c r="FE76" s="305"/>
      <c r="FF76" s="305"/>
      <c r="FG76" s="305"/>
      <c r="FH76" s="305"/>
      <c r="FI76" s="305"/>
      <c r="FJ76" s="305"/>
      <c r="FK76" s="305"/>
      <c r="FL76" s="305"/>
      <c r="FM76" s="305"/>
      <c r="FN76" s="305"/>
      <c r="FO76" s="305"/>
      <c r="FP76" s="305"/>
      <c r="FQ76" s="305"/>
      <c r="FR76" s="305"/>
      <c r="FS76" s="305"/>
      <c r="FT76" s="305"/>
      <c r="FU76" s="305"/>
      <c r="FV76" s="305"/>
      <c r="FW76" s="305"/>
      <c r="FX76" s="305"/>
      <c r="FY76" s="305"/>
      <c r="FZ76" s="305"/>
      <c r="GA76" s="305"/>
      <c r="GB76" s="305"/>
      <c r="GC76" s="305"/>
      <c r="GD76" s="305"/>
      <c r="GE76" s="305"/>
      <c r="GF76" s="305"/>
      <c r="GG76" s="305"/>
      <c r="GH76" s="305"/>
      <c r="GI76" s="305"/>
      <c r="GJ76" s="305"/>
      <c r="GK76" s="305"/>
      <c r="GL76" s="305"/>
      <c r="GM76" s="305"/>
      <c r="GN76" s="305"/>
      <c r="GO76" s="305"/>
      <c r="GP76" s="305"/>
      <c r="GQ76" s="305"/>
      <c r="GR76" s="305"/>
      <c r="GS76" s="305"/>
      <c r="GT76" s="305"/>
      <c r="GU76" s="305"/>
      <c r="GV76" s="305"/>
      <c r="GW76" s="305"/>
      <c r="GX76" s="305"/>
      <c r="GY76" s="305"/>
      <c r="GZ76" s="305"/>
      <c r="HA76" s="305"/>
      <c r="HB76" s="305"/>
      <c r="HC76" s="305"/>
      <c r="HD76" s="305"/>
      <c r="HE76" s="305"/>
      <c r="HF76" s="305"/>
      <c r="HG76" s="305"/>
      <c r="HH76" s="305"/>
      <c r="HI76" s="305"/>
      <c r="HJ76" s="305"/>
      <c r="HK76" s="305"/>
      <c r="HL76" s="305"/>
      <c r="HM76" s="305"/>
      <c r="HN76" s="305"/>
      <c r="HO76" s="305"/>
      <c r="HP76" s="305"/>
      <c r="HQ76" s="305"/>
      <c r="HR76" s="305"/>
      <c r="HS76" s="305"/>
      <c r="HT76" s="305"/>
      <c r="HU76" s="305"/>
      <c r="HV76" s="305"/>
      <c r="HW76" s="305"/>
      <c r="HX76" s="305"/>
      <c r="HY76" s="305"/>
      <c r="HZ76" s="305"/>
      <c r="IA76" s="305"/>
      <c r="IB76" s="305"/>
      <c r="IC76" s="305"/>
      <c r="ID76" s="305"/>
      <c r="IE76" s="305"/>
      <c r="IF76" s="305"/>
      <c r="IG76" s="305"/>
      <c r="IH76" s="305"/>
      <c r="II76" s="305"/>
      <c r="IJ76" s="305"/>
      <c r="IK76" s="305"/>
      <c r="IL76" s="305"/>
      <c r="IM76" s="305"/>
      <c r="IN76" s="305"/>
      <c r="IO76" s="305"/>
      <c r="IP76" s="305"/>
      <c r="IQ76" s="305"/>
      <c r="IR76" s="305"/>
      <c r="IS76" s="305"/>
      <c r="IT76" s="305"/>
      <c r="IU76" s="305"/>
      <c r="IV76" s="305"/>
      <c r="IW76" s="305"/>
    </row>
    <row r="77" customFormat="false" ht="12.75" hidden="false" customHeight="false" outlineLevel="0" collapsed="false">
      <c r="A77" s="24" t="s">
        <v>181</v>
      </c>
      <c r="B77" s="172" t="n">
        <f aca="false">B33</f>
        <v>14510.1586228763</v>
      </c>
      <c r="C77" s="172" t="n">
        <f aca="false">C33</f>
        <v>16813.4686835364</v>
      </c>
      <c r="D77" s="172" t="n">
        <f aca="false">D33</f>
        <v>19195.691404026</v>
      </c>
      <c r="E77" s="172" t="n">
        <f aca="false">E33</f>
        <v>21686.7567048719</v>
      </c>
      <c r="F77" s="172" t="n">
        <f aca="false">F33</f>
        <v>24419.8212061474</v>
      </c>
      <c r="G77" s="172" t="n">
        <f aca="false">G33</f>
        <v>25890.4679630291</v>
      </c>
      <c r="H77" s="172" t="n">
        <f aca="false">H33</f>
        <v>27405.7237098055</v>
      </c>
      <c r="I77" s="172" t="n">
        <f aca="false">I33</f>
        <v>28926.3835859009</v>
      </c>
      <c r="J77" s="172" t="n">
        <f aca="false">J33</f>
        <v>30558.602445768</v>
      </c>
      <c r="K77" s="172" t="n">
        <f aca="false">K33</f>
        <v>32210.8064951211</v>
      </c>
      <c r="L77" s="172" t="n">
        <f aca="false">L33</f>
        <v>33897.05919046</v>
      </c>
      <c r="M77" s="172" t="n">
        <f aca="false">M33</f>
        <v>35630.3428566415</v>
      </c>
      <c r="N77" s="172" t="n">
        <f aca="false">N33</f>
        <v>37489.6127499046</v>
      </c>
      <c r="O77" s="172" t="n">
        <f aca="false">O33</f>
        <v>39403.0923485246</v>
      </c>
      <c r="P77" s="172" t="n">
        <f aca="false">P33</f>
        <v>41406.9190308002</v>
      </c>
      <c r="Q77" s="172" t="n">
        <f aca="false">Q33</f>
        <v>43223.0581128856</v>
      </c>
      <c r="R77" s="172" t="n">
        <f aca="false">R33</f>
        <v>45178.085775652</v>
      </c>
      <c r="S77" s="172" t="n">
        <f aca="false">S33</f>
        <v>47228.1945416694</v>
      </c>
      <c r="T77" s="172" t="n">
        <f aca="false">T33</f>
        <v>49403.7038833337</v>
      </c>
      <c r="U77" s="172" t="n">
        <f aca="false">U33</f>
        <v>51715.1131883519</v>
      </c>
      <c r="W77" s="335" t="n">
        <f aca="false">SUM(B77:U77)</f>
        <v>666193.062499306</v>
      </c>
      <c r="X77" s="354"/>
      <c r="Y77" s="354"/>
      <c r="Z77" s="358"/>
      <c r="AA77" s="358"/>
      <c r="AB77" s="358"/>
      <c r="AC77" s="358"/>
      <c r="AD77" s="358"/>
      <c r="AE77" s="358"/>
      <c r="AF77" s="358"/>
      <c r="AG77" s="358"/>
      <c r="AH77" s="358"/>
      <c r="AI77" s="358"/>
      <c r="AJ77" s="358"/>
      <c r="AK77" s="358"/>
      <c r="AL77" s="358"/>
      <c r="AM77" s="358"/>
      <c r="AN77" s="358"/>
      <c r="AO77" s="358"/>
      <c r="AP77" s="358"/>
      <c r="AQ77" s="358"/>
      <c r="AR77" s="358"/>
      <c r="AS77" s="358"/>
      <c r="AT77" s="351"/>
      <c r="AU77" s="351"/>
      <c r="AV77" s="351"/>
      <c r="AW77" s="351"/>
      <c r="AX77" s="351"/>
      <c r="AY77" s="351"/>
      <c r="AZ77" s="351"/>
      <c r="BA77" s="351"/>
      <c r="BB77" s="351"/>
      <c r="BC77" s="351"/>
      <c r="BD77" s="351"/>
      <c r="BE77" s="351"/>
      <c r="BF77" s="351"/>
      <c r="BG77" s="351"/>
      <c r="BH77" s="351"/>
      <c r="BI77" s="351"/>
      <c r="BJ77" s="351"/>
      <c r="BK77" s="351"/>
      <c r="BL77" s="351"/>
      <c r="BM77" s="351"/>
      <c r="BN77" s="351"/>
      <c r="BO77" s="351"/>
      <c r="BP77" s="351"/>
      <c r="BQ77" s="351"/>
      <c r="BR77" s="351"/>
      <c r="BS77" s="351"/>
      <c r="BT77" s="351"/>
      <c r="BU77" s="351"/>
      <c r="BV77" s="351"/>
      <c r="BW77" s="351"/>
      <c r="BX77" s="351"/>
      <c r="BY77" s="351"/>
      <c r="BZ77" s="351"/>
      <c r="CA77" s="351"/>
      <c r="CB77" s="351"/>
      <c r="CC77" s="351"/>
      <c r="CD77" s="351"/>
      <c r="CE77" s="351"/>
      <c r="CF77" s="351"/>
      <c r="CG77" s="351"/>
      <c r="CH77" s="351"/>
      <c r="CI77" s="351"/>
      <c r="CJ77" s="351"/>
      <c r="CK77" s="351"/>
      <c r="CL77" s="351"/>
      <c r="CM77" s="351"/>
      <c r="CN77" s="351"/>
      <c r="CO77" s="351"/>
      <c r="CP77" s="351"/>
      <c r="CQ77" s="351"/>
      <c r="CR77" s="351"/>
      <c r="CS77" s="351"/>
      <c r="CT77" s="351"/>
      <c r="CU77" s="351"/>
      <c r="CV77" s="351"/>
      <c r="CW77" s="351"/>
      <c r="CX77" s="351"/>
      <c r="CY77" s="351"/>
      <c r="CZ77" s="351"/>
      <c r="DA77" s="351"/>
      <c r="DB77" s="351"/>
      <c r="DC77" s="351"/>
      <c r="DD77" s="351"/>
      <c r="DE77" s="351"/>
      <c r="DF77" s="351"/>
      <c r="DG77" s="351"/>
      <c r="DH77" s="351"/>
      <c r="DI77" s="351"/>
      <c r="DJ77" s="351"/>
      <c r="DK77" s="351"/>
      <c r="DL77" s="351"/>
      <c r="DM77" s="351"/>
      <c r="DN77" s="351"/>
      <c r="DO77" s="351"/>
      <c r="DP77" s="351"/>
      <c r="DQ77" s="351"/>
      <c r="DR77" s="351"/>
      <c r="DS77" s="351"/>
      <c r="DT77" s="351"/>
      <c r="DU77" s="351"/>
      <c r="DV77" s="351"/>
      <c r="DW77" s="351"/>
      <c r="DX77" s="351"/>
      <c r="DY77" s="351"/>
      <c r="DZ77" s="351"/>
      <c r="EA77" s="351"/>
      <c r="EB77" s="351"/>
      <c r="EC77" s="351"/>
      <c r="ED77" s="351"/>
      <c r="EE77" s="351"/>
      <c r="EF77" s="351"/>
      <c r="EG77" s="351"/>
      <c r="EH77" s="351"/>
      <c r="EI77" s="351"/>
      <c r="EJ77" s="351"/>
      <c r="EK77" s="351"/>
      <c r="EL77" s="351"/>
      <c r="EM77" s="351"/>
      <c r="EN77" s="351"/>
      <c r="EO77" s="351"/>
      <c r="EP77" s="351"/>
      <c r="EQ77" s="351"/>
      <c r="ER77" s="351"/>
      <c r="ES77" s="351"/>
      <c r="ET77" s="351"/>
      <c r="EU77" s="351"/>
      <c r="EV77" s="351"/>
      <c r="EW77" s="351"/>
      <c r="EX77" s="351"/>
      <c r="EY77" s="351"/>
      <c r="EZ77" s="351"/>
      <c r="FA77" s="351"/>
      <c r="FB77" s="351"/>
      <c r="FC77" s="351"/>
      <c r="FD77" s="351"/>
      <c r="FE77" s="351"/>
      <c r="FF77" s="351"/>
      <c r="FG77" s="351"/>
      <c r="FH77" s="351"/>
      <c r="FI77" s="351"/>
      <c r="FJ77" s="351"/>
      <c r="FK77" s="351"/>
      <c r="FL77" s="351"/>
      <c r="FM77" s="351"/>
      <c r="FN77" s="351"/>
      <c r="FO77" s="351"/>
      <c r="FP77" s="351"/>
      <c r="FQ77" s="351"/>
      <c r="FR77" s="351"/>
      <c r="FS77" s="351"/>
      <c r="FT77" s="351"/>
      <c r="FU77" s="351"/>
      <c r="FV77" s="351"/>
      <c r="FW77" s="351"/>
      <c r="FX77" s="351"/>
      <c r="FY77" s="351"/>
      <c r="FZ77" s="351"/>
      <c r="GA77" s="351"/>
      <c r="GB77" s="351"/>
      <c r="GC77" s="351"/>
      <c r="GD77" s="351"/>
      <c r="GE77" s="351"/>
      <c r="GF77" s="351"/>
      <c r="GG77" s="351"/>
      <c r="GH77" s="351"/>
      <c r="GI77" s="351"/>
      <c r="GJ77" s="351"/>
      <c r="GK77" s="351"/>
      <c r="GL77" s="351"/>
      <c r="GM77" s="351"/>
      <c r="GN77" s="351"/>
      <c r="GO77" s="351"/>
      <c r="GP77" s="351"/>
      <c r="GQ77" s="351"/>
      <c r="GR77" s="351"/>
      <c r="GS77" s="351"/>
      <c r="GT77" s="351"/>
      <c r="GU77" s="351"/>
      <c r="GV77" s="351"/>
      <c r="GW77" s="351"/>
      <c r="GX77" s="351"/>
      <c r="GY77" s="351"/>
      <c r="GZ77" s="351"/>
      <c r="HA77" s="351"/>
      <c r="HB77" s="351"/>
      <c r="HC77" s="351"/>
      <c r="HD77" s="351"/>
      <c r="HE77" s="351"/>
      <c r="HF77" s="351"/>
      <c r="HG77" s="351"/>
      <c r="HH77" s="351"/>
      <c r="HI77" s="351"/>
      <c r="HJ77" s="351"/>
      <c r="HK77" s="351"/>
      <c r="HL77" s="351"/>
      <c r="HM77" s="351"/>
      <c r="HN77" s="351"/>
      <c r="HO77" s="351"/>
      <c r="HP77" s="351"/>
      <c r="HQ77" s="351"/>
      <c r="HR77" s="351"/>
      <c r="HS77" s="351"/>
      <c r="HT77" s="351"/>
      <c r="HU77" s="351"/>
      <c r="HV77" s="351"/>
      <c r="HW77" s="351"/>
      <c r="HX77" s="351"/>
      <c r="HY77" s="351"/>
      <c r="HZ77" s="351"/>
      <c r="IA77" s="351"/>
      <c r="IB77" s="351"/>
      <c r="IC77" s="351"/>
      <c r="ID77" s="351"/>
      <c r="IE77" s="351"/>
      <c r="IF77" s="351"/>
      <c r="IG77" s="351"/>
      <c r="IH77" s="351"/>
      <c r="II77" s="351"/>
      <c r="IJ77" s="351"/>
      <c r="IK77" s="351"/>
      <c r="IL77" s="351"/>
      <c r="IM77" s="351"/>
      <c r="IN77" s="351"/>
      <c r="IO77" s="351"/>
      <c r="IP77" s="351"/>
      <c r="IQ77" s="351"/>
      <c r="IR77" s="351"/>
      <c r="IS77" s="351"/>
      <c r="IT77" s="351"/>
      <c r="IU77" s="351"/>
      <c r="IV77" s="351"/>
      <c r="IW77" s="351"/>
    </row>
    <row r="78" customFormat="false" ht="12.75" hidden="false" customHeight="false" outlineLevel="0" collapsed="false">
      <c r="A78" s="24" t="s">
        <v>182</v>
      </c>
      <c r="B78" s="172" t="n">
        <f aca="false">B27</f>
        <v>10302.7672344219</v>
      </c>
      <c r="C78" s="172" t="n">
        <f aca="false">C27</f>
        <v>10302.7672344219</v>
      </c>
      <c r="D78" s="172" t="n">
        <f aca="false">D27</f>
        <v>10302.7672344219</v>
      </c>
      <c r="E78" s="172" t="n">
        <f aca="false">E27</f>
        <v>10302.7672344219</v>
      </c>
      <c r="F78" s="172" t="n">
        <f aca="false">F27</f>
        <v>10302.7672344219</v>
      </c>
      <c r="G78" s="172" t="n">
        <f aca="false">G27</f>
        <v>10302.7672344219</v>
      </c>
      <c r="H78" s="172" t="n">
        <f aca="false">H27</f>
        <v>10302.7672344219</v>
      </c>
      <c r="I78" s="172" t="n">
        <f aca="false">I27</f>
        <v>10302.7672344219</v>
      </c>
      <c r="J78" s="172" t="n">
        <f aca="false">J27</f>
        <v>10302.7672344219</v>
      </c>
      <c r="K78" s="172" t="n">
        <f aca="false">K27</f>
        <v>10302.7672344219</v>
      </c>
      <c r="L78" s="172" t="n">
        <f aca="false">L27</f>
        <v>10302.7672344219</v>
      </c>
      <c r="M78" s="172" t="n">
        <f aca="false">M27</f>
        <v>10302.7672344219</v>
      </c>
      <c r="N78" s="172" t="n">
        <f aca="false">N27</f>
        <v>10302.7672344219</v>
      </c>
      <c r="O78" s="172" t="n">
        <f aca="false">O27</f>
        <v>10302.7672344219</v>
      </c>
      <c r="P78" s="172" t="n">
        <f aca="false">P27</f>
        <v>10302.7672344219</v>
      </c>
      <c r="Q78" s="172" t="n">
        <f aca="false">Q27</f>
        <v>10302.7672344219</v>
      </c>
      <c r="R78" s="172" t="n">
        <f aca="false">R27</f>
        <v>10302.7672344219</v>
      </c>
      <c r="S78" s="172" t="n">
        <f aca="false">S27</f>
        <v>10302.7672344219</v>
      </c>
      <c r="T78" s="172" t="n">
        <f aca="false">T27</f>
        <v>10302.7672344219</v>
      </c>
      <c r="U78" s="172" t="n">
        <f aca="false">U27</f>
        <v>10302.7672344219</v>
      </c>
      <c r="W78" s="335" t="n">
        <f aca="false">SUM(B78:U78)</f>
        <v>206055.344688438</v>
      </c>
      <c r="X78" s="355"/>
      <c r="Y78" s="355"/>
      <c r="Z78" s="358"/>
      <c r="AA78" s="358"/>
      <c r="AB78" s="358"/>
      <c r="AC78" s="358"/>
      <c r="AD78" s="358"/>
      <c r="AE78" s="358"/>
      <c r="AF78" s="358"/>
      <c r="AG78" s="358"/>
      <c r="AH78" s="358"/>
      <c r="AI78" s="358"/>
      <c r="AJ78" s="358"/>
      <c r="AK78" s="358"/>
      <c r="AL78" s="358"/>
      <c r="AM78" s="358"/>
      <c r="AN78" s="358"/>
      <c r="AO78" s="358"/>
      <c r="AP78" s="358"/>
      <c r="AQ78" s="358"/>
      <c r="AR78" s="358"/>
      <c r="AS78" s="358"/>
      <c r="AT78" s="351"/>
      <c r="AU78" s="351"/>
      <c r="AV78" s="351"/>
      <c r="AW78" s="351"/>
      <c r="AX78" s="351"/>
      <c r="AY78" s="351"/>
      <c r="AZ78" s="351"/>
      <c r="BA78" s="351"/>
      <c r="BB78" s="351"/>
      <c r="BC78" s="351"/>
      <c r="BD78" s="351"/>
      <c r="BE78" s="351"/>
      <c r="BF78" s="351"/>
      <c r="BG78" s="351"/>
      <c r="BH78" s="351"/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1"/>
      <c r="BV78" s="351"/>
      <c r="BW78" s="351"/>
      <c r="BX78" s="351"/>
      <c r="BY78" s="351"/>
      <c r="BZ78" s="351"/>
      <c r="CA78" s="351"/>
      <c r="CB78" s="351"/>
      <c r="CC78" s="351"/>
      <c r="CD78" s="351"/>
      <c r="CE78" s="351"/>
      <c r="CF78" s="351"/>
      <c r="CG78" s="351"/>
      <c r="CH78" s="351"/>
      <c r="CI78" s="351"/>
      <c r="CJ78" s="351"/>
      <c r="CK78" s="351"/>
      <c r="CL78" s="351"/>
      <c r="CM78" s="351"/>
      <c r="CN78" s="351"/>
      <c r="CO78" s="351"/>
      <c r="CP78" s="351"/>
      <c r="CQ78" s="351"/>
      <c r="CR78" s="351"/>
      <c r="CS78" s="351"/>
      <c r="CT78" s="351"/>
      <c r="CU78" s="351"/>
      <c r="CV78" s="351"/>
      <c r="CW78" s="351"/>
      <c r="CX78" s="351"/>
      <c r="CY78" s="351"/>
      <c r="CZ78" s="351"/>
      <c r="DA78" s="351"/>
      <c r="DB78" s="351"/>
      <c r="DC78" s="351"/>
      <c r="DD78" s="351"/>
      <c r="DE78" s="351"/>
      <c r="DF78" s="351"/>
      <c r="DG78" s="351"/>
      <c r="DH78" s="351"/>
      <c r="DI78" s="351"/>
      <c r="DJ78" s="351"/>
      <c r="DK78" s="351"/>
      <c r="DL78" s="351"/>
      <c r="DM78" s="351"/>
      <c r="DN78" s="351"/>
      <c r="DO78" s="351"/>
      <c r="DP78" s="351"/>
      <c r="DQ78" s="351"/>
      <c r="DR78" s="351"/>
      <c r="DS78" s="351"/>
      <c r="DT78" s="351"/>
      <c r="DU78" s="351"/>
      <c r="DV78" s="351"/>
      <c r="DW78" s="351"/>
      <c r="DX78" s="351"/>
      <c r="DY78" s="351"/>
      <c r="DZ78" s="351"/>
      <c r="EA78" s="351"/>
      <c r="EB78" s="351"/>
      <c r="EC78" s="351"/>
      <c r="ED78" s="351"/>
      <c r="EE78" s="351"/>
      <c r="EF78" s="351"/>
      <c r="EG78" s="351"/>
      <c r="EH78" s="351"/>
      <c r="EI78" s="351"/>
      <c r="EJ78" s="351"/>
      <c r="EK78" s="351"/>
      <c r="EL78" s="351"/>
      <c r="EM78" s="351"/>
      <c r="EN78" s="351"/>
      <c r="EO78" s="351"/>
      <c r="EP78" s="351"/>
      <c r="EQ78" s="351"/>
      <c r="ER78" s="351"/>
      <c r="ES78" s="351"/>
      <c r="ET78" s="351"/>
      <c r="EU78" s="351"/>
      <c r="EV78" s="351"/>
      <c r="EW78" s="351"/>
      <c r="EX78" s="351"/>
      <c r="EY78" s="351"/>
      <c r="EZ78" s="351"/>
      <c r="FA78" s="351"/>
      <c r="FB78" s="351"/>
      <c r="FC78" s="351"/>
      <c r="FD78" s="351"/>
      <c r="FE78" s="351"/>
      <c r="FF78" s="351"/>
      <c r="FG78" s="351"/>
      <c r="FH78" s="351"/>
      <c r="FI78" s="351"/>
      <c r="FJ78" s="351"/>
      <c r="FK78" s="351"/>
      <c r="FL78" s="351"/>
      <c r="FM78" s="351"/>
      <c r="FN78" s="351"/>
      <c r="FO78" s="351"/>
      <c r="FP78" s="351"/>
      <c r="FQ78" s="351"/>
      <c r="FR78" s="351"/>
      <c r="FS78" s="351"/>
      <c r="FT78" s="351"/>
      <c r="FU78" s="351"/>
      <c r="FV78" s="351"/>
      <c r="FW78" s="351"/>
      <c r="FX78" s="351"/>
      <c r="FY78" s="351"/>
      <c r="FZ78" s="351"/>
      <c r="GA78" s="351"/>
      <c r="GB78" s="351"/>
      <c r="GC78" s="351"/>
      <c r="GD78" s="351"/>
      <c r="GE78" s="351"/>
      <c r="GF78" s="351"/>
      <c r="GG78" s="351"/>
      <c r="GH78" s="351"/>
      <c r="GI78" s="351"/>
      <c r="GJ78" s="351"/>
      <c r="GK78" s="351"/>
      <c r="GL78" s="351"/>
      <c r="GM78" s="351"/>
      <c r="GN78" s="351"/>
      <c r="GO78" s="351"/>
      <c r="GP78" s="351"/>
      <c r="GQ78" s="351"/>
      <c r="GR78" s="351"/>
      <c r="GS78" s="351"/>
      <c r="GT78" s="351"/>
      <c r="GU78" s="351"/>
      <c r="GV78" s="351"/>
      <c r="GW78" s="351"/>
      <c r="GX78" s="351"/>
      <c r="GY78" s="351"/>
      <c r="GZ78" s="351"/>
      <c r="HA78" s="351"/>
      <c r="HB78" s="351"/>
      <c r="HC78" s="351"/>
      <c r="HD78" s="351"/>
      <c r="HE78" s="351"/>
      <c r="HF78" s="351"/>
      <c r="HG78" s="351"/>
      <c r="HH78" s="351"/>
      <c r="HI78" s="351"/>
      <c r="HJ78" s="351"/>
      <c r="HK78" s="351"/>
      <c r="HL78" s="351"/>
      <c r="HM78" s="351"/>
      <c r="HN78" s="351"/>
      <c r="HO78" s="351"/>
      <c r="HP78" s="351"/>
      <c r="HQ78" s="351"/>
      <c r="HR78" s="351"/>
      <c r="HS78" s="351"/>
      <c r="HT78" s="351"/>
      <c r="HU78" s="351"/>
      <c r="HV78" s="351"/>
      <c r="HW78" s="351"/>
      <c r="HX78" s="351"/>
      <c r="HY78" s="351"/>
      <c r="HZ78" s="351"/>
      <c r="IA78" s="351"/>
      <c r="IB78" s="351"/>
      <c r="IC78" s="351"/>
      <c r="ID78" s="351"/>
      <c r="IE78" s="351"/>
      <c r="IF78" s="351"/>
      <c r="IG78" s="351"/>
      <c r="IH78" s="351"/>
      <c r="II78" s="351"/>
      <c r="IJ78" s="351"/>
      <c r="IK78" s="351"/>
      <c r="IL78" s="351"/>
      <c r="IM78" s="351"/>
      <c r="IN78" s="351"/>
      <c r="IO78" s="351"/>
      <c r="IP78" s="351"/>
      <c r="IQ78" s="351"/>
      <c r="IR78" s="351"/>
      <c r="IS78" s="351"/>
      <c r="IT78" s="351"/>
      <c r="IU78" s="351"/>
      <c r="IV78" s="351"/>
      <c r="IW78" s="351"/>
    </row>
    <row r="79" customFormat="false" ht="15" hidden="false" customHeight="false" outlineLevel="0" collapsed="false">
      <c r="A79" s="24" t="s">
        <v>211</v>
      </c>
      <c r="B79" s="197" t="n">
        <f aca="false">-Depreciation!C57</f>
        <v>-17171.2787240365</v>
      </c>
      <c r="C79" s="197" t="n">
        <f aca="false">-Depreciation!D57</f>
        <v>-32625.4295756693</v>
      </c>
      <c r="D79" s="197" t="n">
        <f aca="false">-Depreciation!E57</f>
        <v>-29362.8866181024</v>
      </c>
      <c r="E79" s="197" t="n">
        <f aca="false">-Depreciation!F57</f>
        <v>-26443.7692350162</v>
      </c>
      <c r="F79" s="197" t="n">
        <f aca="false">-Depreciation!G57</f>
        <v>-23799.3923115146</v>
      </c>
      <c r="G79" s="197" t="n">
        <f aca="false">-Depreciation!H57</f>
        <v>-21395.4132901495</v>
      </c>
      <c r="H79" s="197" t="n">
        <f aca="false">-Depreciation!I57</f>
        <v>-20262.1088943631</v>
      </c>
      <c r="I79" s="197" t="n">
        <f aca="false">-Depreciation!J57</f>
        <v>-20296.4514518111</v>
      </c>
      <c r="J79" s="197" t="n">
        <f aca="false">-Depreciation!K57</f>
        <v>-20262.1088943631</v>
      </c>
      <c r="K79" s="197" t="n">
        <f aca="false">-Depreciation!L57</f>
        <v>-20296.4514518111</v>
      </c>
      <c r="L79" s="197" t="n">
        <f aca="false">-Depreciation!M57</f>
        <v>-20262.1088943631</v>
      </c>
      <c r="M79" s="197" t="n">
        <f aca="false">-Depreciation!N57</f>
        <v>-20296.4514518111</v>
      </c>
      <c r="N79" s="197" t="n">
        <f aca="false">-Depreciation!O57</f>
        <v>-20262.1088943631</v>
      </c>
      <c r="O79" s="197" t="n">
        <f aca="false">-Depreciation!P57</f>
        <v>-20296.4514518111</v>
      </c>
      <c r="P79" s="197" t="n">
        <f aca="false">-Depreciation!Q57</f>
        <v>-20262.1088943631</v>
      </c>
      <c r="Q79" s="197" t="n">
        <f aca="false">-Depreciation!R57</f>
        <v>-10131.0544471815</v>
      </c>
      <c r="R79" s="197" t="n">
        <f aca="false">-Depreciation!S57</f>
        <v>-0</v>
      </c>
      <c r="S79" s="197" t="n">
        <f aca="false">-Depreciation!T57</f>
        <v>-0</v>
      </c>
      <c r="T79" s="197" t="n">
        <f aca="false">-Depreciation!U57</f>
        <v>-0</v>
      </c>
      <c r="U79" s="197" t="n">
        <f aca="false">-Depreciation!V57</f>
        <v>-0</v>
      </c>
      <c r="W79" s="343" t="n">
        <f aca="false">SUM(B79:U79)</f>
        <v>-343425.57448073</v>
      </c>
      <c r="X79" s="369"/>
      <c r="Y79" s="369"/>
      <c r="Z79" s="358"/>
      <c r="AA79" s="358"/>
      <c r="AB79" s="358"/>
      <c r="AC79" s="358"/>
      <c r="AD79" s="358"/>
      <c r="AE79" s="358"/>
      <c r="AF79" s="358"/>
      <c r="AG79" s="358"/>
      <c r="AH79" s="358"/>
      <c r="AI79" s="358"/>
      <c r="AJ79" s="358"/>
      <c r="AK79" s="358"/>
      <c r="AL79" s="358"/>
      <c r="AM79" s="358"/>
      <c r="AN79" s="358"/>
      <c r="AO79" s="358"/>
      <c r="AP79" s="358"/>
      <c r="AQ79" s="358"/>
      <c r="AR79" s="358"/>
      <c r="AS79" s="358"/>
      <c r="AT79" s="351"/>
      <c r="AU79" s="351"/>
      <c r="AV79" s="351"/>
      <c r="AW79" s="351"/>
      <c r="AX79" s="351"/>
      <c r="AY79" s="351"/>
      <c r="AZ79" s="351"/>
      <c r="BA79" s="351"/>
      <c r="BB79" s="351"/>
      <c r="BC79" s="351"/>
      <c r="BD79" s="351"/>
      <c r="BE79" s="351"/>
      <c r="BF79" s="351"/>
      <c r="BG79" s="351"/>
      <c r="BH79" s="351"/>
      <c r="BI79" s="351"/>
      <c r="BJ79" s="351"/>
      <c r="BK79" s="351"/>
      <c r="BL79" s="351"/>
      <c r="BM79" s="351"/>
      <c r="BN79" s="351"/>
      <c r="BO79" s="351"/>
      <c r="BP79" s="351"/>
      <c r="BQ79" s="351"/>
      <c r="BR79" s="351"/>
      <c r="BS79" s="351"/>
      <c r="BT79" s="351"/>
      <c r="BU79" s="351"/>
      <c r="BV79" s="351"/>
      <c r="BW79" s="351"/>
      <c r="BX79" s="351"/>
      <c r="BY79" s="351"/>
      <c r="BZ79" s="351"/>
      <c r="CA79" s="351"/>
      <c r="CB79" s="351"/>
      <c r="CC79" s="351"/>
      <c r="CD79" s="351"/>
      <c r="CE79" s="351"/>
      <c r="CF79" s="351"/>
      <c r="CG79" s="351"/>
      <c r="CH79" s="351"/>
      <c r="CI79" s="351"/>
      <c r="CJ79" s="351"/>
      <c r="CK79" s="351"/>
      <c r="CL79" s="351"/>
      <c r="CM79" s="351"/>
      <c r="CN79" s="351"/>
      <c r="CO79" s="351"/>
      <c r="CP79" s="351"/>
      <c r="CQ79" s="351"/>
      <c r="CR79" s="351"/>
      <c r="CS79" s="351"/>
      <c r="CT79" s="351"/>
      <c r="CU79" s="351"/>
      <c r="CV79" s="351"/>
      <c r="CW79" s="351"/>
      <c r="CX79" s="351"/>
      <c r="CY79" s="351"/>
      <c r="CZ79" s="351"/>
      <c r="DA79" s="351"/>
      <c r="DB79" s="351"/>
      <c r="DC79" s="351"/>
      <c r="DD79" s="351"/>
      <c r="DE79" s="351"/>
      <c r="DF79" s="351"/>
      <c r="DG79" s="351"/>
      <c r="DH79" s="351"/>
      <c r="DI79" s="351"/>
      <c r="DJ79" s="351"/>
      <c r="DK79" s="351"/>
      <c r="DL79" s="351"/>
      <c r="DM79" s="351"/>
      <c r="DN79" s="351"/>
      <c r="DO79" s="351"/>
      <c r="DP79" s="351"/>
      <c r="DQ79" s="351"/>
      <c r="DR79" s="351"/>
      <c r="DS79" s="351"/>
      <c r="DT79" s="351"/>
      <c r="DU79" s="351"/>
      <c r="DV79" s="351"/>
      <c r="DW79" s="351"/>
      <c r="DX79" s="351"/>
      <c r="DY79" s="351"/>
      <c r="DZ79" s="351"/>
      <c r="EA79" s="351"/>
      <c r="EB79" s="351"/>
      <c r="EC79" s="351"/>
      <c r="ED79" s="351"/>
      <c r="EE79" s="351"/>
      <c r="EF79" s="351"/>
      <c r="EG79" s="351"/>
      <c r="EH79" s="351"/>
      <c r="EI79" s="351"/>
      <c r="EJ79" s="351"/>
      <c r="EK79" s="351"/>
      <c r="EL79" s="351"/>
      <c r="EM79" s="351"/>
      <c r="EN79" s="351"/>
      <c r="EO79" s="351"/>
      <c r="EP79" s="351"/>
      <c r="EQ79" s="351"/>
      <c r="ER79" s="351"/>
      <c r="ES79" s="351"/>
      <c r="ET79" s="351"/>
      <c r="EU79" s="351"/>
      <c r="EV79" s="351"/>
      <c r="EW79" s="351"/>
      <c r="EX79" s="351"/>
      <c r="EY79" s="351"/>
      <c r="EZ79" s="351"/>
      <c r="FA79" s="351"/>
      <c r="FB79" s="351"/>
      <c r="FC79" s="351"/>
      <c r="FD79" s="351"/>
      <c r="FE79" s="351"/>
      <c r="FF79" s="351"/>
      <c r="FG79" s="351"/>
      <c r="FH79" s="351"/>
      <c r="FI79" s="351"/>
      <c r="FJ79" s="351"/>
      <c r="FK79" s="351"/>
      <c r="FL79" s="351"/>
      <c r="FM79" s="351"/>
      <c r="FN79" s="351"/>
      <c r="FO79" s="351"/>
      <c r="FP79" s="351"/>
      <c r="FQ79" s="351"/>
      <c r="FR79" s="351"/>
      <c r="FS79" s="351"/>
      <c r="FT79" s="351"/>
      <c r="FU79" s="351"/>
      <c r="FV79" s="351"/>
      <c r="FW79" s="351"/>
      <c r="FX79" s="351"/>
      <c r="FY79" s="351"/>
      <c r="FZ79" s="351"/>
      <c r="GA79" s="351"/>
      <c r="GB79" s="351"/>
      <c r="GC79" s="351"/>
      <c r="GD79" s="351"/>
      <c r="GE79" s="351"/>
      <c r="GF79" s="351"/>
      <c r="GG79" s="351"/>
      <c r="GH79" s="351"/>
      <c r="GI79" s="351"/>
      <c r="GJ79" s="351"/>
      <c r="GK79" s="351"/>
      <c r="GL79" s="351"/>
      <c r="GM79" s="351"/>
      <c r="GN79" s="351"/>
      <c r="GO79" s="351"/>
      <c r="GP79" s="351"/>
      <c r="GQ79" s="351"/>
      <c r="GR79" s="351"/>
      <c r="GS79" s="351"/>
      <c r="GT79" s="351"/>
      <c r="GU79" s="351"/>
      <c r="GV79" s="351"/>
      <c r="GW79" s="351"/>
      <c r="GX79" s="351"/>
      <c r="GY79" s="351"/>
      <c r="GZ79" s="351"/>
      <c r="HA79" s="351"/>
      <c r="HB79" s="351"/>
      <c r="HC79" s="351"/>
      <c r="HD79" s="351"/>
      <c r="HE79" s="351"/>
      <c r="HF79" s="351"/>
      <c r="HG79" s="351"/>
      <c r="HH79" s="351"/>
      <c r="HI79" s="351"/>
      <c r="HJ79" s="351"/>
      <c r="HK79" s="351"/>
      <c r="HL79" s="351"/>
      <c r="HM79" s="351"/>
      <c r="HN79" s="351"/>
      <c r="HO79" s="351"/>
      <c r="HP79" s="351"/>
      <c r="HQ79" s="351"/>
      <c r="HR79" s="351"/>
      <c r="HS79" s="351"/>
      <c r="HT79" s="351"/>
      <c r="HU79" s="351"/>
      <c r="HV79" s="351"/>
      <c r="HW79" s="351"/>
      <c r="HX79" s="351"/>
      <c r="HY79" s="351"/>
      <c r="HZ79" s="351"/>
      <c r="IA79" s="351"/>
      <c r="IB79" s="351"/>
      <c r="IC79" s="351"/>
      <c r="ID79" s="351"/>
      <c r="IE79" s="351"/>
      <c r="IF79" s="351"/>
      <c r="IG79" s="351"/>
      <c r="IH79" s="351"/>
      <c r="II79" s="351"/>
      <c r="IJ79" s="351"/>
      <c r="IK79" s="351"/>
      <c r="IL79" s="351"/>
      <c r="IM79" s="351"/>
      <c r="IN79" s="351"/>
      <c r="IO79" s="351"/>
      <c r="IP79" s="351"/>
      <c r="IQ79" s="351"/>
      <c r="IR79" s="351"/>
      <c r="IS79" s="351"/>
      <c r="IT79" s="351"/>
      <c r="IU79" s="351"/>
      <c r="IV79" s="351"/>
      <c r="IW79" s="351"/>
    </row>
    <row r="80" customFormat="false" ht="12.75" hidden="false" customHeight="false" outlineLevel="0" collapsed="false">
      <c r="A80" s="307" t="s">
        <v>212</v>
      </c>
      <c r="B80" s="172" t="n">
        <f aca="false">SUM(B77:B79)</f>
        <v>7641.64713326173</v>
      </c>
      <c r="C80" s="172" t="n">
        <f aca="false">SUM(C77:C79)</f>
        <v>-5509.19365771107</v>
      </c>
      <c r="D80" s="172" t="n">
        <f aca="false">SUM(D77:D79)</f>
        <v>135.572020345473</v>
      </c>
      <c r="E80" s="172" t="n">
        <f aca="false">SUM(E77:E79)</f>
        <v>5545.7547042776</v>
      </c>
      <c r="F80" s="172" t="n">
        <f aca="false">SUM(F77:F79)</f>
        <v>10923.1961290547</v>
      </c>
      <c r="G80" s="172" t="n">
        <f aca="false">SUM(G77:G79)</f>
        <v>14797.8219073016</v>
      </c>
      <c r="H80" s="172" t="n">
        <f aca="false">SUM(H77:H79)</f>
        <v>17446.3820498643</v>
      </c>
      <c r="I80" s="172" t="n">
        <f aca="false">SUM(I77:I79)</f>
        <v>18932.6993685117</v>
      </c>
      <c r="J80" s="172" t="n">
        <f aca="false">SUM(J77:J79)</f>
        <v>20599.2607858268</v>
      </c>
      <c r="K80" s="172" t="n">
        <f aca="false">SUM(K77:K79)</f>
        <v>22217.1222777318</v>
      </c>
      <c r="L80" s="172" t="n">
        <f aca="false">SUM(L77:L79)</f>
        <v>23937.7175305189</v>
      </c>
      <c r="M80" s="172" t="n">
        <f aca="false">SUM(M77:M79)</f>
        <v>25636.6586392523</v>
      </c>
      <c r="N80" s="172" t="n">
        <f aca="false">SUM(N77:N79)</f>
        <v>27530.2710899634</v>
      </c>
      <c r="O80" s="172" t="n">
        <f aca="false">SUM(O77:O79)</f>
        <v>29409.4081311353</v>
      </c>
      <c r="P80" s="172" t="n">
        <f aca="false">SUM(P77:P79)</f>
        <v>31447.577370859</v>
      </c>
      <c r="Q80" s="172" t="n">
        <f aca="false">SUM(Q77:Q79)</f>
        <v>43394.770900126</v>
      </c>
      <c r="R80" s="172" t="n">
        <f aca="false">SUM(R77:R79)</f>
        <v>55480.8530100739</v>
      </c>
      <c r="S80" s="172" t="n">
        <f aca="false">SUM(S77:S79)</f>
        <v>57530.9617760913</v>
      </c>
      <c r="T80" s="172" t="n">
        <f aca="false">SUM(T77:T79)</f>
        <v>59706.4711177556</v>
      </c>
      <c r="U80" s="172" t="n">
        <f aca="false">SUM(U77:U79)</f>
        <v>62017.8804227738</v>
      </c>
      <c r="W80" s="335" t="n">
        <f aca="false">SUM(B80:U80)</f>
        <v>528822.832707014</v>
      </c>
      <c r="X80" s="369"/>
      <c r="Y80" s="369"/>
      <c r="Z80" s="358"/>
      <c r="AA80" s="358"/>
      <c r="AB80" s="358"/>
      <c r="AC80" s="358"/>
      <c r="AD80" s="358"/>
      <c r="AE80" s="358"/>
      <c r="AF80" s="358"/>
      <c r="AG80" s="358"/>
      <c r="AH80" s="358"/>
      <c r="AI80" s="358"/>
      <c r="AJ80" s="358"/>
      <c r="AK80" s="358"/>
      <c r="AL80" s="358"/>
      <c r="AM80" s="358"/>
      <c r="AN80" s="358"/>
      <c r="AO80" s="358"/>
      <c r="AP80" s="358"/>
      <c r="AQ80" s="358"/>
      <c r="AR80" s="358"/>
      <c r="AS80" s="358"/>
      <c r="AT80" s="351"/>
      <c r="AU80" s="351"/>
      <c r="AV80" s="351"/>
      <c r="AW80" s="351"/>
      <c r="AX80" s="351"/>
      <c r="AY80" s="351"/>
      <c r="AZ80" s="351"/>
      <c r="BA80" s="351"/>
      <c r="BB80" s="351"/>
      <c r="BC80" s="351"/>
      <c r="BD80" s="351"/>
      <c r="BE80" s="351"/>
      <c r="BF80" s="351"/>
      <c r="BG80" s="351"/>
      <c r="BH80" s="351"/>
      <c r="BI80" s="351"/>
      <c r="BJ80" s="351"/>
      <c r="BK80" s="351"/>
      <c r="BL80" s="351"/>
      <c r="BM80" s="351"/>
      <c r="BN80" s="351"/>
      <c r="BO80" s="351"/>
      <c r="BP80" s="351"/>
      <c r="BQ80" s="351"/>
      <c r="BR80" s="351"/>
      <c r="BS80" s="351"/>
      <c r="BT80" s="351"/>
      <c r="BU80" s="351"/>
      <c r="BV80" s="351"/>
      <c r="BW80" s="351"/>
      <c r="BX80" s="351"/>
      <c r="BY80" s="351"/>
      <c r="BZ80" s="351"/>
      <c r="CA80" s="351"/>
      <c r="CB80" s="351"/>
      <c r="CC80" s="351"/>
      <c r="CD80" s="351"/>
      <c r="CE80" s="351"/>
      <c r="CF80" s="351"/>
      <c r="CG80" s="351"/>
      <c r="CH80" s="351"/>
      <c r="CI80" s="351"/>
      <c r="CJ80" s="351"/>
      <c r="CK80" s="351"/>
      <c r="CL80" s="351"/>
      <c r="CM80" s="351"/>
      <c r="CN80" s="351"/>
      <c r="CO80" s="351"/>
      <c r="CP80" s="351"/>
      <c r="CQ80" s="351"/>
      <c r="CR80" s="351"/>
      <c r="CS80" s="351"/>
      <c r="CT80" s="351"/>
      <c r="CU80" s="351"/>
      <c r="CV80" s="351"/>
      <c r="CW80" s="351"/>
      <c r="CX80" s="351"/>
      <c r="CY80" s="351"/>
      <c r="CZ80" s="351"/>
      <c r="DA80" s="351"/>
      <c r="DB80" s="351"/>
      <c r="DC80" s="351"/>
      <c r="DD80" s="351"/>
      <c r="DE80" s="351"/>
      <c r="DF80" s="351"/>
      <c r="DG80" s="351"/>
      <c r="DH80" s="351"/>
      <c r="DI80" s="351"/>
      <c r="DJ80" s="351"/>
      <c r="DK80" s="351"/>
      <c r="DL80" s="351"/>
      <c r="DM80" s="351"/>
      <c r="DN80" s="351"/>
      <c r="DO80" s="351"/>
      <c r="DP80" s="351"/>
      <c r="DQ80" s="351"/>
      <c r="DR80" s="351"/>
      <c r="DS80" s="351"/>
      <c r="DT80" s="351"/>
      <c r="DU80" s="351"/>
      <c r="DV80" s="351"/>
      <c r="DW80" s="351"/>
      <c r="DX80" s="351"/>
      <c r="DY80" s="351"/>
      <c r="DZ80" s="351"/>
      <c r="EA80" s="351"/>
      <c r="EB80" s="351"/>
      <c r="EC80" s="351"/>
      <c r="ED80" s="351"/>
      <c r="EE80" s="351"/>
      <c r="EF80" s="351"/>
      <c r="EG80" s="351"/>
      <c r="EH80" s="351"/>
      <c r="EI80" s="351"/>
      <c r="EJ80" s="351"/>
      <c r="EK80" s="351"/>
      <c r="EL80" s="351"/>
      <c r="EM80" s="351"/>
      <c r="EN80" s="351"/>
      <c r="EO80" s="351"/>
      <c r="EP80" s="351"/>
      <c r="EQ80" s="351"/>
      <c r="ER80" s="351"/>
      <c r="ES80" s="351"/>
      <c r="ET80" s="351"/>
      <c r="EU80" s="351"/>
      <c r="EV80" s="351"/>
      <c r="EW80" s="351"/>
      <c r="EX80" s="351"/>
      <c r="EY80" s="351"/>
      <c r="EZ80" s="351"/>
      <c r="FA80" s="351"/>
      <c r="FB80" s="351"/>
      <c r="FC80" s="351"/>
      <c r="FD80" s="351"/>
      <c r="FE80" s="351"/>
      <c r="FF80" s="351"/>
      <c r="FG80" s="351"/>
      <c r="FH80" s="351"/>
      <c r="FI80" s="351"/>
      <c r="FJ80" s="351"/>
      <c r="FK80" s="351"/>
      <c r="FL80" s="351"/>
      <c r="FM80" s="351"/>
      <c r="FN80" s="351"/>
      <c r="FO80" s="351"/>
      <c r="FP80" s="351"/>
      <c r="FQ80" s="351"/>
      <c r="FR80" s="351"/>
      <c r="FS80" s="351"/>
      <c r="FT80" s="351"/>
      <c r="FU80" s="351"/>
      <c r="FV80" s="351"/>
      <c r="FW80" s="351"/>
      <c r="FX80" s="351"/>
      <c r="FY80" s="351"/>
      <c r="FZ80" s="351"/>
      <c r="GA80" s="351"/>
      <c r="GB80" s="351"/>
      <c r="GC80" s="351"/>
      <c r="GD80" s="351"/>
      <c r="GE80" s="351"/>
      <c r="GF80" s="351"/>
      <c r="GG80" s="351"/>
      <c r="GH80" s="351"/>
      <c r="GI80" s="351"/>
      <c r="GJ80" s="351"/>
      <c r="GK80" s="351"/>
      <c r="GL80" s="351"/>
      <c r="GM80" s="351"/>
      <c r="GN80" s="351"/>
      <c r="GO80" s="351"/>
      <c r="GP80" s="351"/>
      <c r="GQ80" s="351"/>
      <c r="GR80" s="351"/>
      <c r="GS80" s="351"/>
      <c r="GT80" s="351"/>
      <c r="GU80" s="351"/>
      <c r="GV80" s="351"/>
      <c r="GW80" s="351"/>
      <c r="GX80" s="351"/>
      <c r="GY80" s="351"/>
      <c r="GZ80" s="351"/>
      <c r="HA80" s="351"/>
      <c r="HB80" s="351"/>
      <c r="HC80" s="351"/>
      <c r="HD80" s="351"/>
      <c r="HE80" s="351"/>
      <c r="HF80" s="351"/>
      <c r="HG80" s="351"/>
      <c r="HH80" s="351"/>
      <c r="HI80" s="351"/>
      <c r="HJ80" s="351"/>
      <c r="HK80" s="351"/>
      <c r="HL80" s="351"/>
      <c r="HM80" s="351"/>
      <c r="HN80" s="351"/>
      <c r="HO80" s="351"/>
      <c r="HP80" s="351"/>
      <c r="HQ80" s="351"/>
      <c r="HR80" s="351"/>
      <c r="HS80" s="351"/>
      <c r="HT80" s="351"/>
      <c r="HU80" s="351"/>
      <c r="HV80" s="351"/>
      <c r="HW80" s="351"/>
      <c r="HX80" s="351"/>
      <c r="HY80" s="351"/>
      <c r="HZ80" s="351"/>
      <c r="IA80" s="351"/>
      <c r="IB80" s="351"/>
      <c r="IC80" s="351"/>
      <c r="ID80" s="351"/>
      <c r="IE80" s="351"/>
      <c r="IF80" s="351"/>
      <c r="IG80" s="351"/>
      <c r="IH80" s="351"/>
      <c r="II80" s="351"/>
      <c r="IJ80" s="351"/>
      <c r="IK80" s="351"/>
      <c r="IL80" s="351"/>
      <c r="IM80" s="351"/>
      <c r="IN80" s="351"/>
      <c r="IO80" s="351"/>
      <c r="IP80" s="351"/>
      <c r="IQ80" s="351"/>
      <c r="IR80" s="351"/>
      <c r="IS80" s="351"/>
      <c r="IT80" s="351"/>
      <c r="IU80" s="351"/>
      <c r="IV80" s="351"/>
      <c r="IW80" s="351"/>
    </row>
    <row r="81" customFormat="false" ht="12.75" hidden="false" customHeight="false" outlineLevel="0" collapsed="false">
      <c r="A81" s="24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X81" s="369"/>
      <c r="Y81" s="369"/>
      <c r="Z81" s="358"/>
      <c r="AA81" s="358"/>
      <c r="AB81" s="358"/>
      <c r="AC81" s="358"/>
      <c r="AD81" s="358"/>
      <c r="AE81" s="358"/>
      <c r="AF81" s="358"/>
      <c r="AG81" s="358"/>
      <c r="AH81" s="358"/>
      <c r="AI81" s="358"/>
      <c r="AJ81" s="358"/>
      <c r="AK81" s="358"/>
      <c r="AL81" s="358"/>
      <c r="AM81" s="358"/>
      <c r="AN81" s="358"/>
      <c r="AO81" s="358"/>
      <c r="AP81" s="358"/>
      <c r="AQ81" s="358"/>
      <c r="AR81" s="358"/>
      <c r="AS81" s="358"/>
      <c r="AT81" s="351"/>
      <c r="AU81" s="351"/>
      <c r="AV81" s="351"/>
      <c r="AW81" s="351"/>
      <c r="AX81" s="351"/>
      <c r="AY81" s="351"/>
      <c r="AZ81" s="351"/>
      <c r="BA81" s="351"/>
      <c r="BB81" s="351"/>
      <c r="BC81" s="351"/>
      <c r="BD81" s="351"/>
      <c r="BE81" s="351"/>
      <c r="BF81" s="351"/>
      <c r="BG81" s="351"/>
      <c r="BH81" s="351"/>
      <c r="BI81" s="351"/>
      <c r="BJ81" s="351"/>
      <c r="BK81" s="351"/>
      <c r="BL81" s="351"/>
      <c r="BM81" s="351"/>
      <c r="BN81" s="351"/>
      <c r="BO81" s="351"/>
      <c r="BP81" s="351"/>
      <c r="BQ81" s="351"/>
      <c r="BR81" s="351"/>
      <c r="BS81" s="351"/>
      <c r="BT81" s="351"/>
      <c r="BU81" s="351"/>
      <c r="BV81" s="351"/>
      <c r="BW81" s="351"/>
      <c r="BX81" s="351"/>
      <c r="BY81" s="351"/>
      <c r="BZ81" s="351"/>
      <c r="CA81" s="351"/>
      <c r="CB81" s="351"/>
      <c r="CC81" s="351"/>
      <c r="CD81" s="351"/>
      <c r="CE81" s="351"/>
      <c r="CF81" s="351"/>
      <c r="CG81" s="351"/>
      <c r="CH81" s="351"/>
      <c r="CI81" s="351"/>
      <c r="CJ81" s="351"/>
      <c r="CK81" s="351"/>
      <c r="CL81" s="351"/>
      <c r="CM81" s="351"/>
      <c r="CN81" s="351"/>
      <c r="CO81" s="351"/>
      <c r="CP81" s="351"/>
      <c r="CQ81" s="351"/>
      <c r="CR81" s="351"/>
      <c r="CS81" s="351"/>
      <c r="CT81" s="351"/>
      <c r="CU81" s="351"/>
      <c r="CV81" s="351"/>
      <c r="CW81" s="351"/>
      <c r="CX81" s="351"/>
      <c r="CY81" s="351"/>
      <c r="CZ81" s="351"/>
      <c r="DA81" s="351"/>
      <c r="DB81" s="351"/>
      <c r="DC81" s="351"/>
      <c r="DD81" s="351"/>
      <c r="DE81" s="351"/>
      <c r="DF81" s="351"/>
      <c r="DG81" s="351"/>
      <c r="DH81" s="351"/>
      <c r="DI81" s="351"/>
      <c r="DJ81" s="351"/>
      <c r="DK81" s="351"/>
      <c r="DL81" s="351"/>
      <c r="DM81" s="351"/>
      <c r="DN81" s="351"/>
      <c r="DO81" s="351"/>
      <c r="DP81" s="351"/>
      <c r="DQ81" s="351"/>
      <c r="DR81" s="351"/>
      <c r="DS81" s="351"/>
      <c r="DT81" s="351"/>
      <c r="DU81" s="351"/>
      <c r="DV81" s="351"/>
      <c r="DW81" s="351"/>
      <c r="DX81" s="351"/>
      <c r="DY81" s="351"/>
      <c r="DZ81" s="351"/>
      <c r="EA81" s="351"/>
      <c r="EB81" s="351"/>
      <c r="EC81" s="351"/>
      <c r="ED81" s="351"/>
      <c r="EE81" s="351"/>
      <c r="EF81" s="351"/>
      <c r="EG81" s="351"/>
      <c r="EH81" s="351"/>
      <c r="EI81" s="351"/>
      <c r="EJ81" s="351"/>
      <c r="EK81" s="351"/>
      <c r="EL81" s="351"/>
      <c r="EM81" s="351"/>
      <c r="EN81" s="351"/>
      <c r="EO81" s="351"/>
      <c r="EP81" s="351"/>
      <c r="EQ81" s="351"/>
      <c r="ER81" s="351"/>
      <c r="ES81" s="351"/>
      <c r="ET81" s="351"/>
      <c r="EU81" s="351"/>
      <c r="EV81" s="351"/>
      <c r="EW81" s="351"/>
      <c r="EX81" s="351"/>
      <c r="EY81" s="351"/>
      <c r="EZ81" s="351"/>
      <c r="FA81" s="351"/>
      <c r="FB81" s="351"/>
      <c r="FC81" s="351"/>
      <c r="FD81" s="351"/>
      <c r="FE81" s="351"/>
      <c r="FF81" s="351"/>
      <c r="FG81" s="351"/>
      <c r="FH81" s="351"/>
      <c r="FI81" s="351"/>
      <c r="FJ81" s="351"/>
      <c r="FK81" s="351"/>
      <c r="FL81" s="351"/>
      <c r="FM81" s="351"/>
      <c r="FN81" s="351"/>
      <c r="FO81" s="351"/>
      <c r="FP81" s="351"/>
      <c r="FQ81" s="351"/>
      <c r="FR81" s="351"/>
      <c r="FS81" s="351"/>
      <c r="FT81" s="351"/>
      <c r="FU81" s="351"/>
      <c r="FV81" s="351"/>
      <c r="FW81" s="351"/>
      <c r="FX81" s="351"/>
      <c r="FY81" s="351"/>
      <c r="FZ81" s="351"/>
      <c r="GA81" s="351"/>
      <c r="GB81" s="351"/>
      <c r="GC81" s="351"/>
      <c r="GD81" s="351"/>
      <c r="GE81" s="351"/>
      <c r="GF81" s="351"/>
      <c r="GG81" s="351"/>
      <c r="GH81" s="351"/>
      <c r="GI81" s="351"/>
      <c r="GJ81" s="351"/>
      <c r="GK81" s="351"/>
      <c r="GL81" s="351"/>
      <c r="GM81" s="351"/>
      <c r="GN81" s="351"/>
      <c r="GO81" s="351"/>
      <c r="GP81" s="351"/>
      <c r="GQ81" s="351"/>
      <c r="GR81" s="351"/>
      <c r="GS81" s="351"/>
      <c r="GT81" s="351"/>
      <c r="GU81" s="351"/>
      <c r="GV81" s="351"/>
      <c r="GW81" s="351"/>
      <c r="GX81" s="351"/>
      <c r="GY81" s="351"/>
      <c r="GZ81" s="351"/>
      <c r="HA81" s="351"/>
      <c r="HB81" s="351"/>
      <c r="HC81" s="351"/>
      <c r="HD81" s="351"/>
      <c r="HE81" s="351"/>
      <c r="HF81" s="351"/>
      <c r="HG81" s="351"/>
      <c r="HH81" s="351"/>
      <c r="HI81" s="351"/>
      <c r="HJ81" s="351"/>
      <c r="HK81" s="351"/>
      <c r="HL81" s="351"/>
      <c r="HM81" s="351"/>
      <c r="HN81" s="351"/>
      <c r="HO81" s="351"/>
      <c r="HP81" s="351"/>
      <c r="HQ81" s="351"/>
      <c r="HR81" s="351"/>
      <c r="HS81" s="351"/>
      <c r="HT81" s="351"/>
      <c r="HU81" s="351"/>
      <c r="HV81" s="351"/>
      <c r="HW81" s="351"/>
      <c r="HX81" s="351"/>
      <c r="HY81" s="351"/>
      <c r="HZ81" s="351"/>
      <c r="IA81" s="351"/>
      <c r="IB81" s="351"/>
      <c r="IC81" s="351"/>
      <c r="ID81" s="351"/>
      <c r="IE81" s="351"/>
      <c r="IF81" s="351"/>
      <c r="IG81" s="351"/>
      <c r="IH81" s="351"/>
      <c r="II81" s="351"/>
      <c r="IJ81" s="351"/>
      <c r="IK81" s="351"/>
      <c r="IL81" s="351"/>
      <c r="IM81" s="351"/>
      <c r="IN81" s="351"/>
      <c r="IO81" s="351"/>
      <c r="IP81" s="351"/>
      <c r="IQ81" s="351"/>
      <c r="IR81" s="351"/>
      <c r="IS81" s="351"/>
      <c r="IT81" s="351"/>
      <c r="IU81" s="351"/>
      <c r="IV81" s="351"/>
      <c r="IW81" s="351"/>
    </row>
    <row r="82" customFormat="false" ht="12.75" hidden="false" customHeight="false" outlineLevel="0" collapsed="false">
      <c r="A82" s="24" t="s">
        <v>78</v>
      </c>
      <c r="B82" s="344" t="n">
        <f aca="false">Assumptions!$E$38</f>
        <v>0.0718</v>
      </c>
      <c r="C82" s="344" t="n">
        <f aca="false">Assumptions!$E$38</f>
        <v>0.0718</v>
      </c>
      <c r="D82" s="344" t="n">
        <f aca="false">Assumptions!$E$38</f>
        <v>0.0718</v>
      </c>
      <c r="E82" s="344" t="n">
        <f aca="false">Assumptions!$E$38</f>
        <v>0.0718</v>
      </c>
      <c r="F82" s="344" t="n">
        <f aca="false">Assumptions!$E$38</f>
        <v>0.0718</v>
      </c>
      <c r="G82" s="344" t="n">
        <f aca="false">Assumptions!$E$38</f>
        <v>0.0718</v>
      </c>
      <c r="H82" s="344" t="n">
        <f aca="false">Assumptions!$E$38</f>
        <v>0.0718</v>
      </c>
      <c r="I82" s="344" t="n">
        <f aca="false">Assumptions!$E$38</f>
        <v>0.0718</v>
      </c>
      <c r="J82" s="344" t="n">
        <f aca="false">Assumptions!$E$38</f>
        <v>0.0718</v>
      </c>
      <c r="K82" s="344" t="n">
        <f aca="false">Assumptions!$E$38</f>
        <v>0.0718</v>
      </c>
      <c r="L82" s="344" t="n">
        <f aca="false">Assumptions!$E$38</f>
        <v>0.0718</v>
      </c>
      <c r="M82" s="344" t="n">
        <f aca="false">Assumptions!$E$38</f>
        <v>0.0718</v>
      </c>
      <c r="N82" s="344" t="n">
        <f aca="false">Assumptions!$E$38</f>
        <v>0.0718</v>
      </c>
      <c r="O82" s="344" t="n">
        <f aca="false">Assumptions!$E$38</f>
        <v>0.0718</v>
      </c>
      <c r="P82" s="344" t="n">
        <f aca="false">Assumptions!$E$38</f>
        <v>0.0718</v>
      </c>
      <c r="Q82" s="344" t="n">
        <f aca="false">Assumptions!$E$38</f>
        <v>0.0718</v>
      </c>
      <c r="R82" s="344" t="n">
        <f aca="false">Assumptions!$E$38</f>
        <v>0.0718</v>
      </c>
      <c r="S82" s="344" t="n">
        <f aca="false">Assumptions!$E$38</f>
        <v>0.0718</v>
      </c>
      <c r="T82" s="344" t="n">
        <f aca="false">Assumptions!$E$38</f>
        <v>0.0718</v>
      </c>
      <c r="U82" s="344" t="n">
        <f aca="false">Assumptions!$E$38</f>
        <v>0.0718</v>
      </c>
      <c r="X82" s="369"/>
      <c r="Y82" s="369"/>
      <c r="Z82" s="358"/>
      <c r="AA82" s="358"/>
      <c r="AB82" s="358"/>
      <c r="AC82" s="358"/>
      <c r="AD82" s="358"/>
      <c r="AE82" s="358"/>
      <c r="AF82" s="358"/>
      <c r="AG82" s="358"/>
      <c r="AH82" s="358"/>
      <c r="AI82" s="358"/>
      <c r="AJ82" s="358"/>
      <c r="AK82" s="358"/>
      <c r="AL82" s="358"/>
      <c r="AM82" s="358"/>
      <c r="AN82" s="358"/>
      <c r="AO82" s="358"/>
      <c r="AP82" s="358"/>
      <c r="AQ82" s="358"/>
      <c r="AR82" s="358"/>
      <c r="AS82" s="358"/>
      <c r="AT82" s="351"/>
      <c r="AU82" s="351"/>
      <c r="AV82" s="351"/>
      <c r="AW82" s="351"/>
      <c r="AX82" s="351"/>
      <c r="AY82" s="351"/>
      <c r="AZ82" s="351"/>
      <c r="BA82" s="351"/>
      <c r="BB82" s="351"/>
      <c r="BC82" s="351"/>
      <c r="BD82" s="351"/>
      <c r="BE82" s="351"/>
      <c r="BF82" s="351"/>
      <c r="BG82" s="351"/>
      <c r="BH82" s="351"/>
      <c r="BI82" s="351"/>
      <c r="BJ82" s="351"/>
      <c r="BK82" s="351"/>
      <c r="BL82" s="351"/>
      <c r="BM82" s="351"/>
      <c r="BN82" s="351"/>
      <c r="BO82" s="351"/>
      <c r="BP82" s="351"/>
      <c r="BQ82" s="351"/>
      <c r="BR82" s="351"/>
      <c r="BS82" s="351"/>
      <c r="BT82" s="351"/>
      <c r="BU82" s="351"/>
      <c r="BV82" s="351"/>
      <c r="BW82" s="351"/>
      <c r="BX82" s="351"/>
      <c r="BY82" s="351"/>
      <c r="BZ82" s="351"/>
      <c r="CA82" s="351"/>
      <c r="CB82" s="351"/>
      <c r="CC82" s="351"/>
      <c r="CD82" s="351"/>
      <c r="CE82" s="351"/>
      <c r="CF82" s="351"/>
      <c r="CG82" s="351"/>
      <c r="CH82" s="351"/>
      <c r="CI82" s="351"/>
      <c r="CJ82" s="351"/>
      <c r="CK82" s="351"/>
      <c r="CL82" s="351"/>
      <c r="CM82" s="351"/>
      <c r="CN82" s="351"/>
      <c r="CO82" s="351"/>
      <c r="CP82" s="351"/>
      <c r="CQ82" s="351"/>
      <c r="CR82" s="351"/>
      <c r="CS82" s="351"/>
      <c r="CT82" s="351"/>
      <c r="CU82" s="351"/>
      <c r="CV82" s="351"/>
      <c r="CW82" s="351"/>
      <c r="CX82" s="351"/>
      <c r="CY82" s="351"/>
      <c r="CZ82" s="351"/>
      <c r="DA82" s="351"/>
      <c r="DB82" s="351"/>
      <c r="DC82" s="351"/>
      <c r="DD82" s="351"/>
      <c r="DE82" s="351"/>
      <c r="DF82" s="351"/>
      <c r="DG82" s="351"/>
      <c r="DH82" s="351"/>
      <c r="DI82" s="351"/>
      <c r="DJ82" s="351"/>
      <c r="DK82" s="351"/>
      <c r="DL82" s="351"/>
      <c r="DM82" s="351"/>
      <c r="DN82" s="351"/>
      <c r="DO82" s="351"/>
      <c r="DP82" s="351"/>
      <c r="DQ82" s="351"/>
      <c r="DR82" s="351"/>
      <c r="DS82" s="351"/>
      <c r="DT82" s="351"/>
      <c r="DU82" s="351"/>
      <c r="DV82" s="351"/>
      <c r="DW82" s="351"/>
      <c r="DX82" s="351"/>
      <c r="DY82" s="351"/>
      <c r="DZ82" s="351"/>
      <c r="EA82" s="351"/>
      <c r="EB82" s="351"/>
      <c r="EC82" s="351"/>
      <c r="ED82" s="351"/>
      <c r="EE82" s="351"/>
      <c r="EF82" s="351"/>
      <c r="EG82" s="351"/>
      <c r="EH82" s="351"/>
      <c r="EI82" s="351"/>
      <c r="EJ82" s="351"/>
      <c r="EK82" s="351"/>
      <c r="EL82" s="351"/>
      <c r="EM82" s="351"/>
      <c r="EN82" s="351"/>
      <c r="EO82" s="351"/>
      <c r="EP82" s="351"/>
      <c r="EQ82" s="351"/>
      <c r="ER82" s="351"/>
      <c r="ES82" s="351"/>
      <c r="ET82" s="351"/>
      <c r="EU82" s="351"/>
      <c r="EV82" s="351"/>
      <c r="EW82" s="351"/>
      <c r="EX82" s="351"/>
      <c r="EY82" s="351"/>
      <c r="EZ82" s="351"/>
      <c r="FA82" s="351"/>
      <c r="FB82" s="351"/>
      <c r="FC82" s="351"/>
      <c r="FD82" s="351"/>
      <c r="FE82" s="351"/>
      <c r="FF82" s="351"/>
      <c r="FG82" s="351"/>
      <c r="FH82" s="351"/>
      <c r="FI82" s="351"/>
      <c r="FJ82" s="351"/>
      <c r="FK82" s="351"/>
      <c r="FL82" s="351"/>
      <c r="FM82" s="351"/>
      <c r="FN82" s="351"/>
      <c r="FO82" s="351"/>
      <c r="FP82" s="351"/>
      <c r="FQ82" s="351"/>
      <c r="FR82" s="351"/>
      <c r="FS82" s="351"/>
      <c r="FT82" s="351"/>
      <c r="FU82" s="351"/>
      <c r="FV82" s="351"/>
      <c r="FW82" s="351"/>
      <c r="FX82" s="351"/>
      <c r="FY82" s="351"/>
      <c r="FZ82" s="351"/>
      <c r="GA82" s="351"/>
      <c r="GB82" s="351"/>
      <c r="GC82" s="351"/>
      <c r="GD82" s="351"/>
      <c r="GE82" s="351"/>
      <c r="GF82" s="351"/>
      <c r="GG82" s="351"/>
      <c r="GH82" s="351"/>
      <c r="GI82" s="351"/>
      <c r="GJ82" s="351"/>
      <c r="GK82" s="351"/>
      <c r="GL82" s="351"/>
      <c r="GM82" s="351"/>
      <c r="GN82" s="351"/>
      <c r="GO82" s="351"/>
      <c r="GP82" s="351"/>
      <c r="GQ82" s="351"/>
      <c r="GR82" s="351"/>
      <c r="GS82" s="351"/>
      <c r="GT82" s="351"/>
      <c r="GU82" s="351"/>
      <c r="GV82" s="351"/>
      <c r="GW82" s="351"/>
      <c r="GX82" s="351"/>
      <c r="GY82" s="351"/>
      <c r="GZ82" s="351"/>
      <c r="HA82" s="351"/>
      <c r="HB82" s="351"/>
      <c r="HC82" s="351"/>
      <c r="HD82" s="351"/>
      <c r="HE82" s="351"/>
      <c r="HF82" s="351"/>
      <c r="HG82" s="351"/>
      <c r="HH82" s="351"/>
      <c r="HI82" s="351"/>
      <c r="HJ82" s="351"/>
      <c r="HK82" s="351"/>
      <c r="HL82" s="351"/>
      <c r="HM82" s="351"/>
      <c r="HN82" s="351"/>
      <c r="HO82" s="351"/>
      <c r="HP82" s="351"/>
      <c r="HQ82" s="351"/>
      <c r="HR82" s="351"/>
      <c r="HS82" s="351"/>
      <c r="HT82" s="351"/>
      <c r="HU82" s="351"/>
      <c r="HV82" s="351"/>
      <c r="HW82" s="351"/>
      <c r="HX82" s="351"/>
      <c r="HY82" s="351"/>
      <c r="HZ82" s="351"/>
      <c r="IA82" s="351"/>
      <c r="IB82" s="351"/>
      <c r="IC82" s="351"/>
      <c r="ID82" s="351"/>
      <c r="IE82" s="351"/>
      <c r="IF82" s="351"/>
      <c r="IG82" s="351"/>
      <c r="IH82" s="351"/>
      <c r="II82" s="351"/>
      <c r="IJ82" s="351"/>
      <c r="IK82" s="351"/>
      <c r="IL82" s="351"/>
      <c r="IM82" s="351"/>
      <c r="IN82" s="351"/>
      <c r="IO82" s="351"/>
      <c r="IP82" s="351"/>
      <c r="IQ82" s="351"/>
      <c r="IR82" s="351"/>
      <c r="IS82" s="351"/>
      <c r="IT82" s="351"/>
      <c r="IU82" s="351"/>
      <c r="IV82" s="351"/>
      <c r="IW82" s="351"/>
    </row>
    <row r="83" customFormat="false" ht="12.75" hidden="false" customHeight="false" outlineLevel="0" collapsed="false">
      <c r="A83" s="24" t="s">
        <v>213</v>
      </c>
      <c r="B83" s="172" t="n">
        <f aca="false">B80*B82</f>
        <v>548.670264168192</v>
      </c>
      <c r="C83" s="172" t="n">
        <f aca="false">C80*C82</f>
        <v>-395.560104623654</v>
      </c>
      <c r="D83" s="172" t="n">
        <f aca="false">D80*D82</f>
        <v>9.73407106080496</v>
      </c>
      <c r="E83" s="172" t="n">
        <f aca="false">E80*E82</f>
        <v>398.185187767132</v>
      </c>
      <c r="F83" s="172" t="n">
        <f aca="false">F80*F82</f>
        <v>784.285482066128</v>
      </c>
      <c r="G83" s="172" t="n">
        <f aca="false">G80*G82</f>
        <v>1062.48361294425</v>
      </c>
      <c r="H83" s="172" t="n">
        <f aca="false">H80*H82</f>
        <v>1252.65023118026</v>
      </c>
      <c r="I83" s="172" t="n">
        <f aca="false">I80*I82</f>
        <v>1359.36781465914</v>
      </c>
      <c r="J83" s="172" t="n">
        <f aca="false">J80*J82</f>
        <v>1479.02692442237</v>
      </c>
      <c r="K83" s="172" t="n">
        <f aca="false">K80*K82</f>
        <v>1595.18937954115</v>
      </c>
      <c r="L83" s="172" t="n">
        <f aca="false">L80*L82</f>
        <v>1718.72811869125</v>
      </c>
      <c r="M83" s="172" t="n">
        <f aca="false">M80*M82</f>
        <v>1840.71209029832</v>
      </c>
      <c r="N83" s="172" t="n">
        <f aca="false">N80*N82</f>
        <v>1976.67346425937</v>
      </c>
      <c r="O83" s="172" t="n">
        <f aca="false">O80*O82</f>
        <v>2111.59550381552</v>
      </c>
      <c r="P83" s="172" t="n">
        <f aca="false">P80*P82</f>
        <v>2257.93605522768</v>
      </c>
      <c r="Q83" s="172" t="n">
        <f aca="false">Q80*Q82</f>
        <v>3115.74455062905</v>
      </c>
      <c r="R83" s="172" t="n">
        <f aca="false">R80*R82</f>
        <v>3983.52524612331</v>
      </c>
      <c r="S83" s="172" t="n">
        <f aca="false">S80*S82</f>
        <v>4130.72305552336</v>
      </c>
      <c r="T83" s="172" t="n">
        <f aca="false">T80*T82</f>
        <v>4286.92462625485</v>
      </c>
      <c r="U83" s="172" t="n">
        <f aca="false">U80*U82</f>
        <v>4452.88381435516</v>
      </c>
    </row>
    <row r="84" customFormat="false" ht="12.75" hidden="false" customHeight="false" outlineLevel="0" collapsed="false">
      <c r="A84" s="24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</row>
    <row r="85" customFormat="false" ht="12.75" hidden="false" customHeight="false" outlineLevel="0" collapsed="false">
      <c r="A85" s="24" t="s">
        <v>214</v>
      </c>
      <c r="B85" s="172" t="n">
        <v>0</v>
      </c>
      <c r="C85" s="172" t="n">
        <f aca="false">B89</f>
        <v>0</v>
      </c>
      <c r="D85" s="172" t="n">
        <f aca="false">C89</f>
        <v>395.560104623654</v>
      </c>
      <c r="E85" s="172" t="n">
        <f aca="false">D89</f>
        <v>385.82603356285</v>
      </c>
      <c r="F85" s="172" t="n">
        <f aca="false">E89</f>
        <v>0</v>
      </c>
      <c r="G85" s="172" t="n">
        <f aca="false">F89</f>
        <v>0</v>
      </c>
      <c r="H85" s="172" t="n">
        <f aca="false">G89</f>
        <v>0</v>
      </c>
      <c r="I85" s="172" t="n">
        <f aca="false">H89</f>
        <v>0</v>
      </c>
      <c r="J85" s="172" t="n">
        <f aca="false">I89</f>
        <v>0</v>
      </c>
      <c r="K85" s="172" t="n">
        <f aca="false">J89</f>
        <v>0</v>
      </c>
      <c r="L85" s="172" t="n">
        <f aca="false">K89</f>
        <v>0</v>
      </c>
      <c r="M85" s="172" t="n">
        <f aca="false">L89</f>
        <v>0</v>
      </c>
      <c r="N85" s="172" t="n">
        <f aca="false">M89</f>
        <v>0</v>
      </c>
      <c r="O85" s="172" t="n">
        <f aca="false">N89</f>
        <v>0</v>
      </c>
      <c r="P85" s="172" t="n">
        <f aca="false">O89</f>
        <v>0</v>
      </c>
      <c r="Q85" s="172" t="n">
        <f aca="false">P89</f>
        <v>0</v>
      </c>
      <c r="R85" s="172" t="n">
        <v>0</v>
      </c>
      <c r="S85" s="172" t="n">
        <f aca="false">R89</f>
        <v>0</v>
      </c>
      <c r="T85" s="172" t="n">
        <f aca="false">S89</f>
        <v>0</v>
      </c>
      <c r="U85" s="172" t="n">
        <f aca="false">T89</f>
        <v>0</v>
      </c>
    </row>
    <row r="86" customFormat="false" ht="12.75" hidden="false" customHeight="false" outlineLevel="0" collapsed="false">
      <c r="A86" s="24" t="s">
        <v>215</v>
      </c>
      <c r="B86" s="172" t="n">
        <f aca="false">IF(B62&gt;2020,0,IF(B83&lt;0,-B83,0))</f>
        <v>0</v>
      </c>
      <c r="C86" s="172" t="n">
        <f aca="false">IF(C62&gt;2020,0,IF(C83&lt;0,-C83,0))</f>
        <v>395.560104623654</v>
      </c>
      <c r="D86" s="172" t="n">
        <f aca="false">IF(D62&gt;2020,0,IF(D83&lt;0,-D83,0))</f>
        <v>0</v>
      </c>
      <c r="E86" s="172" t="n">
        <f aca="false">IF(E62&gt;2020,0,IF(E83&lt;0,-E83,0))</f>
        <v>0</v>
      </c>
      <c r="F86" s="172" t="n">
        <f aca="false">IF(F62&gt;2020,0,IF(F83&lt;0,-F83,0))</f>
        <v>0</v>
      </c>
      <c r="G86" s="172" t="n">
        <f aca="false">IF(G62&gt;2020,0,IF(G83&lt;0,-G83,0))</f>
        <v>0</v>
      </c>
      <c r="H86" s="172" t="n">
        <f aca="false">IF(H62&gt;2020,0,IF(H83&lt;0,-H83,0))</f>
        <v>0</v>
      </c>
      <c r="I86" s="172" t="n">
        <f aca="false">IF(I62&gt;2020,0,IF(I83&lt;0,-I83,0))</f>
        <v>0</v>
      </c>
      <c r="J86" s="172" t="n">
        <f aca="false">IF(J62&gt;2020,0,IF(J83&lt;0,-J83,0))</f>
        <v>0</v>
      </c>
      <c r="K86" s="172" t="n">
        <f aca="false">IF(K62&gt;2020,0,IF(K83&lt;0,-K83,0))</f>
        <v>0</v>
      </c>
      <c r="L86" s="172" t="n">
        <f aca="false">IF(L62&gt;2020,0,IF(L83&lt;0,-L83,0))</f>
        <v>0</v>
      </c>
      <c r="M86" s="172" t="n">
        <f aca="false">IF(M62&gt;2020,0,IF(M83&lt;0,-M83,0))</f>
        <v>0</v>
      </c>
      <c r="N86" s="172" t="n">
        <f aca="false">IF(N62&gt;2020,0,IF(N83&lt;0,-N83,0))</f>
        <v>0</v>
      </c>
      <c r="O86" s="172" t="n">
        <f aca="false">IF(O62&gt;2020,0,IF(O83&lt;0,-O83,0))</f>
        <v>0</v>
      </c>
      <c r="P86" s="172" t="n">
        <f aca="false">IF(P62&gt;2020,0,IF(P83&lt;0,-P83,0))</f>
        <v>0</v>
      </c>
      <c r="Q86" s="172" t="n">
        <f aca="false">IF(Q62&gt;2020,0,IF(Q83&lt;0,-Q83,0))</f>
        <v>0</v>
      </c>
      <c r="R86" s="172" t="n">
        <f aca="false">IF(R62&gt;2020,0,IF(R83&lt;0,-R83,0))</f>
        <v>0</v>
      </c>
      <c r="S86" s="172" t="n">
        <f aca="false">IF(S62&gt;2020,0,IF(S83&lt;0,-S83,0))</f>
        <v>0</v>
      </c>
      <c r="T86" s="172" t="n">
        <f aca="false">IF(T62&gt;2020,0,IF(T83&lt;0,-T83,0))</f>
        <v>0</v>
      </c>
      <c r="U86" s="172" t="n">
        <f aca="false">IF(U62&gt;2020,0,IF(U83&lt;0,-U83,0))</f>
        <v>0</v>
      </c>
    </row>
    <row r="87" customFormat="false" ht="12.75" hidden="false" customHeight="false" outlineLevel="0" collapsed="false">
      <c r="A87" s="24" t="s">
        <v>216</v>
      </c>
      <c r="B87" s="345" t="n">
        <v>0</v>
      </c>
      <c r="C87" s="345" t="n">
        <v>0</v>
      </c>
      <c r="D87" s="345" t="n">
        <v>0</v>
      </c>
      <c r="E87" s="345" t="n">
        <v>0</v>
      </c>
      <c r="F87" s="345" t="n">
        <v>0</v>
      </c>
      <c r="G87" s="345" t="n">
        <v>0</v>
      </c>
      <c r="H87" s="345" t="n">
        <v>0</v>
      </c>
      <c r="I87" s="345" t="n">
        <v>0</v>
      </c>
      <c r="J87" s="345" t="n">
        <v>0</v>
      </c>
      <c r="K87" s="345" t="n">
        <v>0</v>
      </c>
      <c r="L87" s="345" t="n">
        <v>0</v>
      </c>
      <c r="M87" s="345" t="n">
        <v>0</v>
      </c>
      <c r="N87" s="345" t="n">
        <v>0</v>
      </c>
      <c r="O87" s="345" t="n">
        <v>0</v>
      </c>
      <c r="P87" s="345" t="n">
        <v>0</v>
      </c>
      <c r="Q87" s="345" t="n">
        <v>0</v>
      </c>
      <c r="R87" s="345" t="n">
        <v>0</v>
      </c>
      <c r="S87" s="345" t="n">
        <v>0</v>
      </c>
      <c r="T87" s="172" t="n">
        <f aca="false">IF(L86&gt;(SUM(M88:S88)+SUM(L87:S87))*-1,L86-(SUM(L88:S88)+SUM(L87:S87))*-1,0)</f>
        <v>0</v>
      </c>
      <c r="U87" s="172" t="n">
        <f aca="false">IF(M86&gt;(SUM(N88:T88)+SUM(M87:T87))*-1,M86-(SUM(M88:T88)+SUM(M87:T87))*-1,0)</f>
        <v>0</v>
      </c>
    </row>
    <row r="88" customFormat="false" ht="12.75" hidden="false" customHeight="false" outlineLevel="0" collapsed="false">
      <c r="A88" s="12" t="s">
        <v>189</v>
      </c>
      <c r="B88" s="197" t="n">
        <f aca="false">IF(B83&lt;0,0,IF(B85&gt;B83,-B83,-B85))</f>
        <v>-0</v>
      </c>
      <c r="C88" s="197" t="n">
        <f aca="false">IF(C83&lt;0,0,IF(C85&gt;C83,-C83,-C85))</f>
        <v>0</v>
      </c>
      <c r="D88" s="197" t="n">
        <f aca="false">IF(D83&lt;0,0,IF(D85&gt;D83,-D83,-D85))</f>
        <v>-9.73407106080496</v>
      </c>
      <c r="E88" s="197" t="n">
        <f aca="false">IF(E83&lt;0,0,IF(E85&gt;E83,-E83,-E85))</f>
        <v>-385.82603356285</v>
      </c>
      <c r="F88" s="197" t="n">
        <f aca="false">IF(F83&lt;0,0,IF(F85&gt;F83,-F83,-F85))</f>
        <v>-0</v>
      </c>
      <c r="G88" s="197" t="n">
        <f aca="false">IF(G83&lt;0,0,IF(G85&gt;G83,-G83,-G85))</f>
        <v>-0</v>
      </c>
      <c r="H88" s="197" t="n">
        <f aca="false">IF(H83&lt;0,0,IF(H85&gt;H83,-H83,-H85))</f>
        <v>-0</v>
      </c>
      <c r="I88" s="197" t="n">
        <f aca="false">IF(I83&lt;0,0,IF(I85&gt;I83,-I83,-I85))</f>
        <v>-0</v>
      </c>
      <c r="J88" s="197" t="n">
        <f aca="false">IF(J83&lt;0,0,IF(J85&gt;J83,-J83,-J85))</f>
        <v>-0</v>
      </c>
      <c r="K88" s="197" t="n">
        <f aca="false">IF(K83&lt;0,0,IF(K85&gt;K83,-K83,-K85))</f>
        <v>-0</v>
      </c>
      <c r="L88" s="197" t="n">
        <f aca="false">IF(L83&lt;0,0,IF(L85&gt;L83,-L83,-L85))</f>
        <v>-0</v>
      </c>
      <c r="M88" s="197" t="n">
        <f aca="false">IF(M83&lt;0,0,IF(M85&gt;M83,-M83,-M85))</f>
        <v>-0</v>
      </c>
      <c r="N88" s="197" t="n">
        <f aca="false">IF(N83&lt;0,0,IF(N85&gt;N83,-N83,-N85))</f>
        <v>-0</v>
      </c>
      <c r="O88" s="197" t="n">
        <f aca="false">IF(O83&lt;0,0,IF(O85&gt;O83,-O83,-O85))</f>
        <v>-0</v>
      </c>
      <c r="P88" s="197" t="n">
        <f aca="false">IF(P83&lt;0,0,IF(P85&gt;P83,-P83,-P85))</f>
        <v>-0</v>
      </c>
      <c r="Q88" s="197" t="n">
        <f aca="false">IF(Q83&lt;0,0,IF(Q85&gt;Q83,-Q83,-Q85))</f>
        <v>-0</v>
      </c>
      <c r="R88" s="197" t="n">
        <f aca="false">IF(R83&lt;0,0,IF(R85&gt;R83,-R83,-R85))</f>
        <v>-0</v>
      </c>
      <c r="S88" s="197" t="n">
        <f aca="false">IF(S83&lt;0,0,IF(S85&gt;S83,-S83,-S85))</f>
        <v>-0</v>
      </c>
      <c r="T88" s="197" t="n">
        <f aca="false">IF(T83&lt;0,0,IF(T85&gt;T83,-T83,-T85))</f>
        <v>-0</v>
      </c>
      <c r="U88" s="197" t="n">
        <f aca="false">IF(U83&lt;0,0,IF(U85&gt;U83,-U83,-U85))</f>
        <v>-0</v>
      </c>
    </row>
    <row r="89" customFormat="false" ht="12.75" hidden="false" customHeight="false" outlineLevel="0" collapsed="false">
      <c r="A89" s="12" t="s">
        <v>217</v>
      </c>
      <c r="B89" s="197" t="n">
        <f aca="false">SUM(B85:B88)</f>
        <v>0</v>
      </c>
      <c r="C89" s="197" t="n">
        <f aca="false">SUM(C85:C88)</f>
        <v>395.560104623654</v>
      </c>
      <c r="D89" s="197" t="n">
        <f aca="false">SUM(D85:D88)</f>
        <v>385.82603356285</v>
      </c>
      <c r="E89" s="197" t="n">
        <f aca="false">SUM(E85:E88)</f>
        <v>0</v>
      </c>
      <c r="F89" s="197" t="n">
        <f aca="false">SUM(F85:F88)</f>
        <v>0</v>
      </c>
      <c r="G89" s="197" t="n">
        <f aca="false">SUM(G85:G88)</f>
        <v>0</v>
      </c>
      <c r="H89" s="197" t="n">
        <f aca="false">SUM(H85:H88)</f>
        <v>0</v>
      </c>
      <c r="I89" s="197" t="n">
        <f aca="false">SUM(I85:I88)</f>
        <v>0</v>
      </c>
      <c r="J89" s="197" t="n">
        <f aca="false">SUM(J85:J88)</f>
        <v>0</v>
      </c>
      <c r="K89" s="197" t="n">
        <f aca="false">SUM(K85:K88)</f>
        <v>0</v>
      </c>
      <c r="L89" s="197" t="n">
        <f aca="false">SUM(L85:L88)</f>
        <v>0</v>
      </c>
      <c r="M89" s="197" t="n">
        <f aca="false">SUM(M85:M88)</f>
        <v>0</v>
      </c>
      <c r="N89" s="197" t="n">
        <f aca="false">SUM(N85:N88)</f>
        <v>0</v>
      </c>
      <c r="O89" s="197" t="n">
        <f aca="false">SUM(O85:O88)</f>
        <v>0</v>
      </c>
      <c r="P89" s="197" t="n">
        <f aca="false">SUM(P85:P88)</f>
        <v>0</v>
      </c>
      <c r="Q89" s="197" t="n">
        <f aca="false">SUM(Q85:Q88)</f>
        <v>0</v>
      </c>
      <c r="R89" s="197" t="n">
        <f aca="false">SUM(R85:R88)</f>
        <v>0</v>
      </c>
      <c r="S89" s="197" t="n">
        <f aca="false">SUM(S85:S88)</f>
        <v>0</v>
      </c>
      <c r="T89" s="197" t="n">
        <f aca="false">SUM(T85:T88)</f>
        <v>0</v>
      </c>
      <c r="U89" s="197" t="n">
        <f aca="false">SUM(U85:U88)</f>
        <v>0</v>
      </c>
    </row>
    <row r="90" customFormat="false" ht="12.75" hidden="false" customHeight="false" outlineLevel="0" collapsed="false">
      <c r="A90" s="1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</row>
    <row r="91" customFormat="false" ht="13.5" hidden="false" customHeight="false" outlineLevel="0" collapsed="false">
      <c r="A91" s="40" t="s">
        <v>179</v>
      </c>
      <c r="B91" s="303" t="n">
        <f aca="false">IF(B83&lt;0,0,B83+B88)</f>
        <v>548.670264168192</v>
      </c>
      <c r="C91" s="303" t="n">
        <f aca="false">IF(C83&lt;0,0,C83+C88)</f>
        <v>0</v>
      </c>
      <c r="D91" s="303" t="n">
        <f aca="false">IF(D83&lt;0,0,D83+D88)</f>
        <v>0</v>
      </c>
      <c r="E91" s="303" t="n">
        <f aca="false">IF(E83&lt;0,0,E83+E88)</f>
        <v>12.3591542042824</v>
      </c>
      <c r="F91" s="303" t="n">
        <f aca="false">IF(F83&lt;0,0,F83+F88)</f>
        <v>784.285482066128</v>
      </c>
      <c r="G91" s="303" t="n">
        <f aca="false">IF(G83&lt;0,0,G83+G88)</f>
        <v>1062.48361294425</v>
      </c>
      <c r="H91" s="303" t="n">
        <f aca="false">IF(H83&lt;0,0,H83+H88)</f>
        <v>1252.65023118026</v>
      </c>
      <c r="I91" s="303" t="n">
        <f aca="false">IF(I83&lt;0,0,I83+I88)</f>
        <v>1359.36781465914</v>
      </c>
      <c r="J91" s="303" t="n">
        <f aca="false">IF(J83&lt;0,0,J83+J88)</f>
        <v>1479.02692442237</v>
      </c>
      <c r="K91" s="303" t="n">
        <f aca="false">IF(K83&lt;0,0,K83+K88)</f>
        <v>1595.18937954115</v>
      </c>
      <c r="L91" s="303" t="n">
        <f aca="false">IF(L83&lt;0,0,L83+L88)</f>
        <v>1718.72811869125</v>
      </c>
      <c r="M91" s="303" t="n">
        <f aca="false">IF(M83&lt;0,0,M83+M88)</f>
        <v>1840.71209029832</v>
      </c>
      <c r="N91" s="303" t="n">
        <f aca="false">IF(N83&lt;0,0,N83+N88)</f>
        <v>1976.67346425937</v>
      </c>
      <c r="O91" s="303" t="n">
        <f aca="false">IF(O83&lt;0,0,O83+O88)</f>
        <v>2111.59550381552</v>
      </c>
      <c r="P91" s="303" t="n">
        <f aca="false">IF(P83&lt;0,0,P83+P88)</f>
        <v>2257.93605522768</v>
      </c>
      <c r="Q91" s="303" t="n">
        <f aca="false">IF(Q83&lt;0,0,Q83+Q88)</f>
        <v>3115.74455062905</v>
      </c>
      <c r="R91" s="303" t="n">
        <f aca="false">IF(R83&lt;0,0,R83+R88)</f>
        <v>3983.52524612331</v>
      </c>
      <c r="S91" s="303" t="n">
        <f aca="false">IF(S83&lt;0,0,S83+S88)</f>
        <v>4130.72305552336</v>
      </c>
      <c r="T91" s="303" t="n">
        <f aca="false">IF(T83&lt;0,0,T83+T88)</f>
        <v>4286.92462625485</v>
      </c>
      <c r="U91" s="303" t="n">
        <f aca="false">IF(U83&lt;0,0,U83+U88)</f>
        <v>4452.88381435516</v>
      </c>
      <c r="W91" s="335" t="n">
        <f aca="false">SUM(B91:U91)</f>
        <v>37969.4793883636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28"/>
    <col collapsed="false" customWidth="true" hidden="false" outlineLevel="0" max="2" min="2" style="1" width="3.99"/>
    <col collapsed="false" customWidth="true" hidden="false" outlineLevel="0" max="3" min="3" style="1" width="17.28"/>
    <col collapsed="false" customWidth="true" hidden="false" outlineLevel="0" max="4" min="4" style="1" width="3.56"/>
    <col collapsed="false" customWidth="true" hidden="false" outlineLevel="0" max="5" min="5" style="1" width="13.7"/>
    <col collapsed="false" customWidth="false" hidden="false" outlineLevel="0" max="257" min="6" style="1" width="9.14"/>
  </cols>
  <sheetData>
    <row r="2" customFormat="false" ht="18" hidden="false" customHeight="false" outlineLevel="0" collapsed="false">
      <c r="A2" s="370" t="s">
        <v>232</v>
      </c>
    </row>
    <row r="3" customFormat="false" ht="15.75" hidden="false" customHeight="false" outlineLevel="0" collapsed="false">
      <c r="A3" s="371"/>
    </row>
    <row r="4" customFormat="false" ht="12.75" hidden="false" customHeight="false" outlineLevel="0" collapsed="false">
      <c r="A4" s="372" t="s">
        <v>233</v>
      </c>
      <c r="B4" s="234"/>
      <c r="C4" s="372" t="s">
        <v>234</v>
      </c>
      <c r="D4" s="234"/>
      <c r="E4" s="372" t="s">
        <v>235</v>
      </c>
    </row>
    <row r="6" customFormat="false" ht="12.75" hidden="false" customHeight="false" outlineLevel="0" collapsed="false">
      <c r="A6" s="2" t="s">
        <v>55</v>
      </c>
      <c r="C6" s="373" t="n">
        <v>0.29520493370916</v>
      </c>
      <c r="E6" s="373" t="n">
        <v>0.307115093285811</v>
      </c>
    </row>
    <row r="7" customFormat="false" ht="12.75" hidden="false" customHeight="false" outlineLevel="0" collapsed="false">
      <c r="A7" s="2" t="s">
        <v>56</v>
      </c>
      <c r="C7" s="373" t="n">
        <v>0.270036120145105</v>
      </c>
      <c r="E7" s="373" t="n">
        <v>0.301311923179425</v>
      </c>
    </row>
    <row r="8" customFormat="false" ht="12.75" hidden="false" customHeight="false" outlineLevel="0" collapsed="false">
      <c r="A8" s="192" t="s">
        <v>57</v>
      </c>
      <c r="C8" s="374" t="n">
        <v>0.434758946145734</v>
      </c>
      <c r="E8" s="374" t="n">
        <v>0.391572983534764</v>
      </c>
    </row>
    <row r="9" customFormat="false" ht="12.75" hidden="false" customHeight="false" outlineLevel="0" collapsed="false">
      <c r="A9" s="192"/>
      <c r="C9" s="375"/>
      <c r="E9" s="375"/>
    </row>
    <row r="10" customFormat="false" ht="13.5" hidden="false" customHeight="false" outlineLevel="0" collapsed="false">
      <c r="A10" s="376" t="s">
        <v>15</v>
      </c>
      <c r="B10" s="377"/>
      <c r="C10" s="378" t="n">
        <f aca="false">SUM(C6:C8)</f>
        <v>1</v>
      </c>
      <c r="D10" s="377"/>
      <c r="E10" s="378" t="n">
        <f aca="false">SUM(E6:E8)</f>
        <v>1</v>
      </c>
    </row>
    <row r="1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4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28"/>
    <col collapsed="false" customWidth="true" hidden="false" outlineLevel="0" max="2" min="2" style="1" width="2.7"/>
    <col collapsed="false" customWidth="true" hidden="false" outlineLevel="0" max="3" min="3" style="1" width="9.85"/>
    <col collapsed="false" customWidth="true" hidden="false" outlineLevel="0" max="4" min="4" style="1" width="12.56"/>
    <col collapsed="false" customWidth="true" hidden="false" outlineLevel="0" max="5" min="5" style="1" width="10.41"/>
    <col collapsed="false" customWidth="true" hidden="false" outlineLevel="0" max="6" min="6" style="1" width="2.7"/>
    <col collapsed="false" customWidth="true" hidden="false" outlineLevel="0" max="7" min="7" style="1" width="7.28"/>
    <col collapsed="false" customWidth="false" hidden="false" outlineLevel="0" max="257" min="8" style="1" width="9.14"/>
  </cols>
  <sheetData>
    <row r="2" customFormat="false" ht="12.75" hidden="false" customHeight="false" outlineLevel="0" collapsed="false">
      <c r="A2" s="3" t="s">
        <v>52</v>
      </c>
    </row>
    <row r="4" customFormat="false" ht="13.5" hidden="false" customHeight="false" outlineLevel="0" collapsed="false"/>
    <row r="5" customFormat="false" ht="12.75" hidden="false" customHeight="false" outlineLevel="0" collapsed="false">
      <c r="A5" s="68" t="s">
        <v>53</v>
      </c>
      <c r="B5" s="6"/>
      <c r="C5" s="91" t="s">
        <v>54</v>
      </c>
      <c r="D5" s="91"/>
      <c r="E5" s="91"/>
      <c r="F5" s="69"/>
      <c r="G5" s="92"/>
    </row>
    <row r="6" customFormat="false" ht="12.75" hidden="false" customHeight="false" outlineLevel="0" collapsed="false">
      <c r="A6" s="38"/>
      <c r="B6" s="12"/>
      <c r="C6" s="12"/>
      <c r="D6" s="12"/>
      <c r="E6" s="12"/>
      <c r="F6" s="93"/>
      <c r="G6" s="25"/>
    </row>
    <row r="7" customFormat="false" ht="12.75" hidden="false" customHeight="false" outlineLevel="0" collapsed="false">
      <c r="A7" s="38"/>
      <c r="B7" s="12"/>
      <c r="C7" s="39" t="s">
        <v>55</v>
      </c>
      <c r="D7" s="39" t="s">
        <v>56</v>
      </c>
      <c r="E7" s="39" t="s">
        <v>57</v>
      </c>
      <c r="F7" s="94"/>
      <c r="G7" s="95" t="s">
        <v>15</v>
      </c>
    </row>
    <row r="8" customFormat="false" ht="12.75" hidden="false" customHeight="false" outlineLevel="0" collapsed="false">
      <c r="A8" s="38" t="s">
        <v>58</v>
      </c>
      <c r="B8" s="12"/>
      <c r="C8" s="96" t="n">
        <v>3</v>
      </c>
      <c r="D8" s="96" t="n">
        <v>4</v>
      </c>
      <c r="E8" s="96" t="n">
        <v>8</v>
      </c>
      <c r="F8" s="75"/>
      <c r="G8" s="97" t="n">
        <f aca="false">SUM(C8:E8)</f>
        <v>15</v>
      </c>
    </row>
    <row r="9" customFormat="false" ht="12.75" hidden="false" customHeight="false" outlineLevel="0" collapsed="false">
      <c r="A9" s="38" t="s">
        <v>45</v>
      </c>
      <c r="B9" s="12"/>
      <c r="C9" s="96" t="n">
        <v>510</v>
      </c>
      <c r="D9" s="96" t="n">
        <v>470</v>
      </c>
      <c r="E9" s="96" t="n">
        <v>608</v>
      </c>
      <c r="F9" s="98"/>
      <c r="G9" s="97" t="n">
        <f aca="false">SUM(C9:E9)</f>
        <v>1588</v>
      </c>
    </row>
    <row r="10" customFormat="false" ht="12.75" hidden="false" customHeight="false" outlineLevel="0" collapsed="false">
      <c r="A10" s="38" t="s">
        <v>59</v>
      </c>
      <c r="B10" s="12"/>
      <c r="C10" s="96" t="n">
        <v>10592</v>
      </c>
      <c r="D10" s="96" t="n">
        <v>11734</v>
      </c>
      <c r="E10" s="96" t="n">
        <v>11973</v>
      </c>
      <c r="F10" s="75"/>
      <c r="G10" s="97" t="n">
        <f aca="false">SUMPRODUCT(C10:E10,C9:E9)/G9</f>
        <v>11458.7430730479</v>
      </c>
    </row>
    <row r="11" customFormat="false" ht="13.5" hidden="false" customHeight="false" outlineLevel="0" collapsed="false">
      <c r="A11" s="90" t="s">
        <v>60</v>
      </c>
      <c r="B11" s="29"/>
      <c r="C11" s="99" t="n">
        <v>75</v>
      </c>
      <c r="D11" s="99" t="n">
        <v>75</v>
      </c>
      <c r="E11" s="99" t="n">
        <v>75</v>
      </c>
      <c r="F11" s="29"/>
      <c r="G11" s="100" t="n">
        <f aca="false">SUM(C11:E11)</f>
        <v>225</v>
      </c>
    </row>
    <row r="13" customFormat="false" ht="13.5" hidden="false" customHeight="false" outlineLevel="0" collapsed="false">
      <c r="A13" s="12"/>
      <c r="B13" s="12"/>
      <c r="C13" s="12"/>
      <c r="D13" s="12"/>
      <c r="E13" s="12"/>
      <c r="F13" s="12"/>
      <c r="G13" s="12"/>
    </row>
    <row r="14" customFormat="false" ht="12.75" hidden="false" customHeight="false" outlineLevel="0" collapsed="false">
      <c r="A14" s="68" t="s">
        <v>61</v>
      </c>
      <c r="B14" s="6"/>
      <c r="C14" s="7"/>
      <c r="D14" s="7"/>
      <c r="E14" s="7"/>
      <c r="F14" s="6"/>
      <c r="G14" s="101"/>
    </row>
    <row r="15" customFormat="false" ht="12.75" hidden="false" customHeight="false" outlineLevel="0" collapsed="false">
      <c r="A15" s="38"/>
      <c r="B15" s="12"/>
      <c r="C15" s="12"/>
      <c r="D15" s="12"/>
      <c r="E15" s="12"/>
      <c r="F15" s="93"/>
      <c r="G15" s="102"/>
    </row>
    <row r="16" customFormat="false" ht="12.75" hidden="false" customHeight="false" outlineLevel="0" collapsed="false">
      <c r="A16" s="38" t="s">
        <v>62</v>
      </c>
      <c r="B16" s="12"/>
      <c r="C16" s="103" t="n">
        <v>4</v>
      </c>
      <c r="D16" s="104" t="n">
        <f aca="false">C16</f>
        <v>4</v>
      </c>
      <c r="E16" s="104" t="n">
        <f aca="false">C16</f>
        <v>4</v>
      </c>
      <c r="F16" s="105"/>
      <c r="G16" s="106"/>
    </row>
    <row r="17" customFormat="false" ht="12.75" hidden="false" customHeight="false" outlineLevel="0" collapsed="false">
      <c r="A17" s="38" t="s">
        <v>63</v>
      </c>
      <c r="B17" s="12"/>
      <c r="C17" s="107" t="n">
        <f aca="false">C23</f>
        <v>1.5</v>
      </c>
      <c r="D17" s="107" t="n">
        <f aca="false">D23</f>
        <v>3</v>
      </c>
      <c r="E17" s="107" t="n">
        <f aca="false">E23</f>
        <v>2</v>
      </c>
      <c r="F17" s="12"/>
      <c r="G17" s="25"/>
    </row>
    <row r="18" customFormat="false" ht="12.75" hidden="false" customHeight="false" outlineLevel="0" collapsed="false">
      <c r="A18" s="38" t="s">
        <v>64</v>
      </c>
      <c r="B18" s="12"/>
      <c r="C18" s="75" t="n">
        <f aca="false">C24</f>
        <v>1500</v>
      </c>
      <c r="D18" s="75" t="n">
        <f aca="false">D24</f>
        <v>1500</v>
      </c>
      <c r="E18" s="75" t="n">
        <f aca="false">E24</f>
        <v>1000</v>
      </c>
      <c r="F18" s="12"/>
      <c r="G18" s="97"/>
    </row>
    <row r="19" customFormat="false" ht="13.5" hidden="false" customHeight="false" outlineLevel="0" collapsed="false">
      <c r="A19" s="90" t="s">
        <v>65</v>
      </c>
      <c r="B19" s="29"/>
      <c r="C19" s="108" t="n">
        <v>532991.61978559</v>
      </c>
      <c r="D19" s="108" t="n">
        <v>461312.721856219</v>
      </c>
      <c r="E19" s="108" t="n">
        <v>2002000</v>
      </c>
      <c r="F19" s="29"/>
      <c r="G19" s="100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</row>
    <row r="21" customFormat="false" ht="13.5" hidden="false" customHeight="false" outlineLevel="0" collapsed="false"/>
    <row r="22" customFormat="false" ht="12.75" hidden="false" customHeight="false" outlineLevel="0" collapsed="false">
      <c r="A22" s="5" t="s">
        <v>66</v>
      </c>
      <c r="B22" s="7"/>
      <c r="C22" s="109"/>
      <c r="D22" s="109"/>
      <c r="E22" s="110"/>
      <c r="F22" s="111"/>
      <c r="G22" s="112"/>
    </row>
    <row r="23" customFormat="false" ht="12.75" hidden="false" customHeight="false" outlineLevel="0" collapsed="false">
      <c r="A23" s="113" t="s">
        <v>67</v>
      </c>
      <c r="B23" s="12"/>
      <c r="C23" s="114" t="n">
        <v>1.5</v>
      </c>
      <c r="D23" s="114" t="n">
        <v>3</v>
      </c>
      <c r="E23" s="114" t="n">
        <v>2</v>
      </c>
      <c r="F23" s="115"/>
      <c r="G23" s="116"/>
    </row>
    <row r="24" customFormat="false" ht="12.75" hidden="false" customHeight="false" outlineLevel="0" collapsed="false">
      <c r="A24" s="38" t="s">
        <v>68</v>
      </c>
      <c r="B24" s="12"/>
      <c r="C24" s="96" t="n">
        <v>1500</v>
      </c>
      <c r="D24" s="96" t="n">
        <v>1500</v>
      </c>
      <c r="E24" s="96" t="n">
        <v>1000</v>
      </c>
      <c r="F24" s="117"/>
      <c r="G24" s="118"/>
    </row>
    <row r="25" customFormat="false" ht="12.75" hidden="false" customHeight="false" outlineLevel="0" collapsed="false">
      <c r="A25" s="38" t="s">
        <v>69</v>
      </c>
      <c r="B25" s="12"/>
      <c r="C25" s="60" t="n">
        <v>0.03</v>
      </c>
      <c r="D25" s="117" t="n">
        <f aca="false">C25</f>
        <v>0.03</v>
      </c>
      <c r="E25" s="117" t="n">
        <f aca="false">C25</f>
        <v>0.03</v>
      </c>
      <c r="F25" s="79"/>
      <c r="G25" s="119"/>
    </row>
    <row r="26" customFormat="false" ht="12.75" hidden="false" customHeight="false" outlineLevel="0" collapsed="false">
      <c r="A26" s="38"/>
      <c r="B26" s="12"/>
      <c r="C26" s="78"/>
      <c r="D26" s="78"/>
      <c r="E26" s="78"/>
      <c r="F26" s="120"/>
      <c r="G26" s="121"/>
    </row>
    <row r="27" customFormat="false" ht="12.75" hidden="false" customHeight="false" outlineLevel="0" collapsed="false">
      <c r="A27" s="42" t="s">
        <v>70</v>
      </c>
      <c r="B27" s="12"/>
      <c r="C27" s="122"/>
      <c r="D27" s="122"/>
      <c r="E27" s="122"/>
      <c r="F27" s="120"/>
      <c r="G27" s="121"/>
    </row>
    <row r="28" customFormat="false" ht="12.75" hidden="false" customHeight="false" outlineLevel="0" collapsed="false">
      <c r="A28" s="38" t="s">
        <v>71</v>
      </c>
      <c r="B28" s="12"/>
      <c r="C28" s="123" t="n">
        <v>1242.48171428571</v>
      </c>
      <c r="D28" s="123" t="n">
        <v>1515.79028571429</v>
      </c>
      <c r="E28" s="123" t="n">
        <v>1448.54057142857</v>
      </c>
      <c r="F28" s="120"/>
      <c r="G28" s="121"/>
    </row>
    <row r="29" customFormat="false" ht="12.75" hidden="false" customHeight="false" outlineLevel="0" collapsed="false">
      <c r="A29" s="38" t="s">
        <v>72</v>
      </c>
      <c r="B29" s="12"/>
      <c r="C29" s="98" t="n">
        <f aca="false">C23*C19/1000</f>
        <v>799.487429678385</v>
      </c>
      <c r="D29" s="98" t="n">
        <f aca="false">D23*D19/1000</f>
        <v>1383.93816556866</v>
      </c>
      <c r="E29" s="98" t="n">
        <f aca="false">E23*E19/1000</f>
        <v>4004</v>
      </c>
      <c r="F29" s="120"/>
      <c r="G29" s="121"/>
    </row>
    <row r="30" customFormat="false" ht="12.75" hidden="false" customHeight="false" outlineLevel="0" collapsed="false">
      <c r="A30" s="38" t="s">
        <v>73</v>
      </c>
      <c r="B30" s="12"/>
      <c r="C30" s="98" t="n">
        <f aca="false">C24*C11*C8/1000</f>
        <v>337.5</v>
      </c>
      <c r="D30" s="98" t="n">
        <f aca="false">D24*D11*D8/1000</f>
        <v>450</v>
      </c>
      <c r="E30" s="98" t="n">
        <f aca="false">E24*E11*E8/1000</f>
        <v>600</v>
      </c>
      <c r="F30" s="12"/>
      <c r="G30" s="25"/>
    </row>
    <row r="31" customFormat="false" ht="12.75" hidden="false" customHeight="false" outlineLevel="0" collapsed="false">
      <c r="A31" s="38" t="s">
        <v>74</v>
      </c>
      <c r="B31" s="12"/>
      <c r="C31" s="123" t="n">
        <v>322.251142857143</v>
      </c>
      <c r="D31" s="123" t="n">
        <v>306.267714285714</v>
      </c>
      <c r="E31" s="123" t="n">
        <v>400.647142857143</v>
      </c>
      <c r="F31" s="120"/>
      <c r="G31" s="121"/>
    </row>
    <row r="32" customFormat="false" ht="13.5" hidden="false" customHeight="false" outlineLevel="0" collapsed="false">
      <c r="A32" s="90" t="s">
        <v>75</v>
      </c>
      <c r="B32" s="29"/>
      <c r="C32" s="124" t="n">
        <f aca="false">-Gleason!B50</f>
        <v>92.2251014</v>
      </c>
      <c r="D32" s="124" t="n">
        <f aca="false">-Wheatland!B50</f>
        <v>203.273</v>
      </c>
      <c r="E32" s="124" t="n">
        <f aca="false">-Wilton!B50</f>
        <v>333.7</v>
      </c>
      <c r="F32" s="29"/>
      <c r="G32" s="67"/>
    </row>
    <row r="34" customFormat="false" ht="13.5" hidden="false" customHeight="false" outlineLevel="0" collapsed="false">
      <c r="A34" s="12"/>
      <c r="B34" s="12"/>
      <c r="C34" s="12"/>
      <c r="D34" s="12"/>
      <c r="E34" s="12"/>
      <c r="F34" s="12"/>
      <c r="G34" s="12"/>
    </row>
    <row r="35" customFormat="false" ht="12.75" hidden="false" customHeight="false" outlineLevel="0" collapsed="false">
      <c r="A35" s="68" t="s">
        <v>76</v>
      </c>
      <c r="B35" s="6"/>
      <c r="C35" s="110"/>
      <c r="D35" s="110"/>
      <c r="E35" s="110"/>
      <c r="F35" s="110"/>
      <c r="G35" s="125"/>
    </row>
    <row r="36" customFormat="false" ht="12.75" hidden="false" customHeight="false" outlineLevel="0" collapsed="false">
      <c r="A36" s="38"/>
      <c r="B36" s="12"/>
      <c r="C36" s="115"/>
      <c r="D36" s="115"/>
      <c r="E36" s="115"/>
      <c r="F36" s="115"/>
      <c r="G36" s="116"/>
    </row>
    <row r="37" customFormat="false" ht="12.75" hidden="false" customHeight="false" outlineLevel="0" collapsed="false">
      <c r="A37" s="38" t="s">
        <v>77</v>
      </c>
      <c r="B37" s="12"/>
      <c r="C37" s="60" t="n">
        <v>0.35</v>
      </c>
      <c r="D37" s="60" t="n">
        <v>0.35</v>
      </c>
      <c r="E37" s="60" t="n">
        <v>0.35</v>
      </c>
      <c r="F37" s="117"/>
      <c r="G37" s="118" t="n">
        <v>0.35</v>
      </c>
    </row>
    <row r="38" customFormat="false" ht="12.75" hidden="false" customHeight="false" outlineLevel="0" collapsed="false">
      <c r="A38" s="38" t="s">
        <v>78</v>
      </c>
      <c r="B38" s="12"/>
      <c r="C38" s="126" t="n">
        <v>0.06</v>
      </c>
      <c r="D38" s="126" t="n">
        <v>0.045</v>
      </c>
      <c r="E38" s="126" t="n">
        <v>0.0718</v>
      </c>
      <c r="F38" s="79"/>
      <c r="G38" s="119"/>
    </row>
    <row r="39" customFormat="false" ht="12.75" hidden="false" customHeight="false" outlineLevel="0" collapsed="false">
      <c r="A39" s="38" t="s">
        <v>79</v>
      </c>
      <c r="B39" s="12"/>
      <c r="C39" s="126" t="s">
        <v>80</v>
      </c>
      <c r="D39" s="126" t="n">
        <v>0.034</v>
      </c>
      <c r="E39" s="126" t="s">
        <v>80</v>
      </c>
      <c r="F39" s="79"/>
      <c r="G39" s="119"/>
    </row>
    <row r="40" customFormat="false" ht="12.75" hidden="false" customHeight="false" outlineLevel="0" collapsed="false">
      <c r="A40" s="38" t="s">
        <v>81</v>
      </c>
      <c r="B40" s="12"/>
      <c r="C40" s="126" t="s">
        <v>80</v>
      </c>
      <c r="D40" s="126" t="n">
        <v>0.012</v>
      </c>
      <c r="E40" s="126" t="s">
        <v>80</v>
      </c>
      <c r="F40" s="115"/>
      <c r="G40" s="116"/>
    </row>
    <row r="41" customFormat="false" ht="12.75" hidden="false" customHeight="false" outlineLevel="0" collapsed="false">
      <c r="A41" s="38" t="s">
        <v>82</v>
      </c>
      <c r="B41" s="12"/>
      <c r="C41" s="126" t="n">
        <v>0.0025</v>
      </c>
      <c r="D41" s="126" t="s">
        <v>80</v>
      </c>
      <c r="E41" s="126" t="n">
        <v>0.0015</v>
      </c>
      <c r="F41" s="115"/>
      <c r="G41" s="116"/>
    </row>
    <row r="42" customFormat="false" ht="13.5" hidden="false" customHeight="false" outlineLevel="0" collapsed="false">
      <c r="A42" s="90" t="s">
        <v>83</v>
      </c>
      <c r="B42" s="29"/>
      <c r="C42" s="127" t="n">
        <v>0.0025</v>
      </c>
      <c r="D42" s="127" t="s">
        <v>80</v>
      </c>
      <c r="E42" s="127" t="n">
        <v>0.001</v>
      </c>
      <c r="F42" s="29"/>
      <c r="G42" s="67"/>
    </row>
  </sheetData>
  <mergeCells count="1"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5" activeCellId="0" sqref="B5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45.13"/>
    <col collapsed="false" customWidth="true" hidden="false" outlineLevel="0" max="15" min="2" style="1" width="6.7"/>
    <col collapsed="false" customWidth="true" hidden="false" outlineLevel="0" max="22" min="16" style="1" width="7.7"/>
    <col collapsed="false" customWidth="false" hidden="false" outlineLevel="0" max="257" min="23" style="1" width="9.28"/>
  </cols>
  <sheetData>
    <row r="1" customFormat="false" ht="12" hidden="false" customHeight="true" outlineLevel="0" collapsed="false">
      <c r="A1" s="2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customFormat="false" ht="12.75" hidden="false" customHeight="false" outlineLevel="0" collapsed="false">
      <c r="A2" s="3" t="s">
        <v>84</v>
      </c>
      <c r="B2" s="4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customFormat="false" ht="12.75" hidden="false" customHeight="false" outlineLevel="0" collapsed="false"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</row>
    <row r="4" customFormat="false" ht="12.75" hidden="false" customHeight="false" outlineLevel="0" collapsed="false">
      <c r="C4" s="130" t="n">
        <v>2001</v>
      </c>
      <c r="D4" s="130" t="n">
        <v>2002</v>
      </c>
      <c r="E4" s="130" t="n">
        <v>2003</v>
      </c>
      <c r="F4" s="130" t="n">
        <v>2004</v>
      </c>
      <c r="G4" s="130" t="n">
        <v>2005</v>
      </c>
      <c r="H4" s="130" t="n">
        <v>2006</v>
      </c>
      <c r="I4" s="130" t="n">
        <v>2007</v>
      </c>
      <c r="J4" s="130" t="n">
        <v>2008</v>
      </c>
      <c r="K4" s="130" t="n">
        <v>2009</v>
      </c>
      <c r="L4" s="130" t="n">
        <v>2010</v>
      </c>
      <c r="M4" s="130" t="n">
        <v>2011</v>
      </c>
      <c r="N4" s="130" t="n">
        <v>2012</v>
      </c>
      <c r="O4" s="130" t="n">
        <v>2013</v>
      </c>
      <c r="P4" s="130" t="n">
        <v>2014</v>
      </c>
      <c r="Q4" s="130" t="n">
        <v>2015</v>
      </c>
      <c r="R4" s="130" t="n">
        <v>2016</v>
      </c>
      <c r="S4" s="130" t="n">
        <v>2017</v>
      </c>
      <c r="T4" s="130" t="n">
        <v>2018</v>
      </c>
      <c r="U4" s="130" t="n">
        <v>2019</v>
      </c>
      <c r="V4" s="130" t="n">
        <v>2020</v>
      </c>
    </row>
    <row r="5" customFormat="false" ht="12.75" hidden="false" customHeight="false" outlineLevel="0" collapsed="false"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customFormat="false" ht="12.75" hidden="false" customHeight="false" outlineLevel="0" collapsed="false">
      <c r="A6" s="131" t="s">
        <v>85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customFormat="false" ht="12.75" hidden="false" customHeight="false" outlineLevel="0" collapsed="false">
      <c r="A7" s="131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</row>
    <row r="8" customFormat="false" ht="12.75" hidden="false" customHeight="false" outlineLevel="0" collapsed="false">
      <c r="A8" s="40" t="s">
        <v>86</v>
      </c>
      <c r="C8" s="132" t="n">
        <f aca="false">Assumptions!C25</f>
        <v>0.03</v>
      </c>
      <c r="D8" s="12"/>
      <c r="E8" s="13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customFormat="false" ht="12.75" hidden="false" customHeight="false" outlineLevel="0" collapsed="false">
      <c r="A9" s="40"/>
      <c r="B9" s="134"/>
      <c r="C9" s="12"/>
      <c r="D9" s="12"/>
      <c r="E9" s="13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customFormat="false" ht="12.75" hidden="false" customHeight="false" outlineLevel="0" collapsed="false">
      <c r="A10" s="12"/>
      <c r="B10" s="61"/>
      <c r="C10" s="12"/>
      <c r="D10" s="12"/>
      <c r="E10" s="13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customFormat="false" ht="12.75" hidden="false" customHeight="false" outlineLevel="0" collapsed="false">
      <c r="A11" s="131" t="s">
        <v>87</v>
      </c>
      <c r="B11" s="12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</row>
    <row r="12" customFormat="false" ht="12.75" hidden="false" customHeight="false" outlineLevel="0" collapsed="false">
      <c r="A12" s="12" t="s">
        <v>88</v>
      </c>
      <c r="B12" s="12"/>
    </row>
    <row r="13" customFormat="false" ht="12.75" hidden="false" customHeight="false" outlineLevel="0" collapsed="false">
      <c r="A13" s="12"/>
      <c r="B13" s="12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</row>
    <row r="14" customFormat="false" ht="12.75" hidden="false" customHeight="false" outlineLevel="0" collapsed="false">
      <c r="A14" s="136" t="s">
        <v>89</v>
      </c>
      <c r="B14" s="12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customFormat="false" ht="12.75" hidden="false" customHeight="false" outlineLevel="0" collapsed="false">
      <c r="A15" s="12" t="s">
        <v>90</v>
      </c>
      <c r="B15" s="137"/>
      <c r="C15" s="138" t="n">
        <v>60.9722991689751</v>
      </c>
      <c r="D15" s="138" t="n">
        <v>62.1317424158014</v>
      </c>
      <c r="E15" s="138" t="n">
        <v>63.3132335214248</v>
      </c>
      <c r="F15" s="138" t="n">
        <v>64.5171917457606</v>
      </c>
      <c r="G15" s="138" t="n">
        <v>65.7440443213296</v>
      </c>
      <c r="H15" s="138" t="n">
        <v>64.6476957619109</v>
      </c>
      <c r="I15" s="138" t="n">
        <v>63.5696299256825</v>
      </c>
      <c r="J15" s="138" t="n">
        <v>62.5095419297088</v>
      </c>
      <c r="K15" s="138" t="n">
        <v>61.4671319752861</v>
      </c>
      <c r="L15" s="138" t="n">
        <v>60.4421052631579</v>
      </c>
      <c r="M15" s="138" t="n">
        <v>59.7920389893765</v>
      </c>
      <c r="N15" s="138" t="n">
        <v>59.1489643013195</v>
      </c>
      <c r="O15" s="138" t="n">
        <v>58.51280600316</v>
      </c>
      <c r="P15" s="138" t="n">
        <v>57.8834897078165</v>
      </c>
      <c r="Q15" s="138" t="n">
        <v>57.2609418282549</v>
      </c>
      <c r="R15" s="138" t="n">
        <v>56.3863179526819</v>
      </c>
      <c r="S15" s="138" t="n">
        <v>55.5250533914914</v>
      </c>
      <c r="T15" s="138" t="n">
        <v>54.6769440897911</v>
      </c>
      <c r="U15" s="138" t="n">
        <v>53.8417891094953</v>
      </c>
      <c r="V15" s="138" t="n">
        <v>53.0193905817175</v>
      </c>
    </row>
    <row r="16" customFormat="false" ht="12.75" hidden="false" customHeight="false" outlineLevel="0" collapsed="false">
      <c r="A16" s="12"/>
      <c r="B16" s="12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</row>
    <row r="17" customFormat="false" ht="12.75" hidden="false" customHeight="false" outlineLevel="0" collapsed="false">
      <c r="A17" s="136" t="s">
        <v>91</v>
      </c>
      <c r="B17" s="12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customFormat="false" ht="12.75" hidden="false" customHeight="false" outlineLevel="0" collapsed="false">
      <c r="A18" s="12" t="s">
        <v>92</v>
      </c>
      <c r="B18" s="139"/>
      <c r="C18" s="138" t="n">
        <f aca="false">C15*(1+'Power Price Assumption'!$C$8)^(C4-1998)</f>
        <v>66.6260775540166</v>
      </c>
      <c r="D18" s="138" t="n">
        <f aca="false">D15*(1+'Power Price Assumption'!$C$8)^(D4-1998)</f>
        <v>69.9298234696352</v>
      </c>
      <c r="E18" s="138" t="n">
        <f aca="false">E15*(1+'Power Price Assumption'!$C$8)^(E4-1998)</f>
        <v>73.3973901814894</v>
      </c>
      <c r="F18" s="138" t="n">
        <f aca="false">F15*(1+'Power Price Assumption'!$C$8)^(F4-1998)</f>
        <v>77.0369009696273</v>
      </c>
      <c r="G18" s="138" t="n">
        <f aca="false">G15*(1+'Power Price Assumption'!$C$8)^(G4-1998)</f>
        <v>80.8568819181377</v>
      </c>
      <c r="H18" s="138" t="n">
        <f aca="false">H15*(1+'Power Price Assumption'!$C$8)^(H4-1998)</f>
        <v>81.8937668218377</v>
      </c>
      <c r="I18" s="138" t="n">
        <f aca="false">I15*(1+'Power Price Assumption'!$C$8)^(I4-1998)</f>
        <v>82.9439484329796</v>
      </c>
      <c r="J18" s="138" t="n">
        <f aca="false">J15*(1+'Power Price Assumption'!$C$8)^(J4-1998)</f>
        <v>84.0075972646339</v>
      </c>
      <c r="K18" s="138" t="n">
        <f aca="false">K15*(1+'Power Price Assumption'!$C$8)^(K4-1998)</f>
        <v>85.0848860164807</v>
      </c>
      <c r="L18" s="138" t="n">
        <f aca="false">L15*(1+'Power Price Assumption'!$C$8)^(L4-1998)</f>
        <v>86.1759896028501</v>
      </c>
      <c r="M18" s="138" t="n">
        <f aca="false">M15*(1+'Power Price Assumption'!$C$8)^(M4-1998)</f>
        <v>87.8066250519098</v>
      </c>
      <c r="N18" s="138" t="n">
        <f aca="false">N15*(1+'Power Price Assumption'!$C$8)^(N4-1998)</f>
        <v>89.4681156379976</v>
      </c>
      <c r="O18" s="138" t="n">
        <f aca="false">O15*(1+'Power Price Assumption'!$C$8)^(O4-1998)</f>
        <v>91.1610452068049</v>
      </c>
      <c r="P18" s="138" t="n">
        <f aca="false">P15*(1+'Power Price Assumption'!$C$8)^(P4-1998)</f>
        <v>92.8860086516416</v>
      </c>
      <c r="Q18" s="138" t="n">
        <f aca="false">Q15*(1+'Power Price Assumption'!$C$8)^(Q4-1998)</f>
        <v>94.6436121224815</v>
      </c>
      <c r="R18" s="138" t="n">
        <f aca="false">R15*(1+'Power Price Assumption'!$C$8)^(R4-1998)</f>
        <v>95.9939318842308</v>
      </c>
      <c r="S18" s="138" t="n">
        <f aca="false">S15*(1+'Power Price Assumption'!$C$8)^(S4-1998)</f>
        <v>97.3635172194095</v>
      </c>
      <c r="T18" s="138" t="n">
        <f aca="false">T15*(1+'Power Price Assumption'!$C$8)^(T4-1998)</f>
        <v>98.7526429979633</v>
      </c>
      <c r="U18" s="138" t="n">
        <f aca="false">U15*(1+'Power Price Assumption'!$C$8)^(U4-1998)</f>
        <v>100.161588011522</v>
      </c>
      <c r="V18" s="138" t="n">
        <f aca="false">V15*(1+'Power Price Assumption'!$C$8)^(V4-1998)</f>
        <v>101.59063502935</v>
      </c>
    </row>
    <row r="19" customFormat="false" ht="13.5" hidden="false" customHeight="false" outlineLevel="0" collapsed="false">
      <c r="A19" s="12"/>
      <c r="B19" s="12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customFormat="false" ht="13.5" hidden="false" customHeight="false" outlineLevel="0" collapsed="false">
      <c r="A20" s="141" t="s">
        <v>93</v>
      </c>
      <c r="B20" s="142"/>
      <c r="C20" s="143" t="n">
        <f aca="false">C18/12</f>
        <v>5.55217312950138</v>
      </c>
      <c r="D20" s="143" t="n">
        <f aca="false">D18/12</f>
        <v>5.82748528913626</v>
      </c>
      <c r="E20" s="143" t="n">
        <f aca="false">E18/12</f>
        <v>6.11644918179079</v>
      </c>
      <c r="F20" s="143" t="n">
        <f aca="false">F18/12</f>
        <v>6.41974174746894</v>
      </c>
      <c r="G20" s="143" t="n">
        <f aca="false">G18/12</f>
        <v>6.73807349317814</v>
      </c>
      <c r="H20" s="143" t="n">
        <f aca="false">H18/12</f>
        <v>6.82448056848648</v>
      </c>
      <c r="I20" s="143" t="n">
        <f aca="false">I18/12</f>
        <v>6.9119957027483</v>
      </c>
      <c r="J20" s="143" t="n">
        <f aca="false">J18/12</f>
        <v>7.00063310538616</v>
      </c>
      <c r="K20" s="143" t="n">
        <f aca="false">K18/12</f>
        <v>7.09040716804006</v>
      </c>
      <c r="L20" s="143" t="n">
        <f aca="false">L18/12</f>
        <v>7.18133246690418</v>
      </c>
      <c r="M20" s="143" t="n">
        <f aca="false">M18/12</f>
        <v>7.31721875432582</v>
      </c>
      <c r="N20" s="143" t="n">
        <f aca="false">N18/12</f>
        <v>7.45567630316647</v>
      </c>
      <c r="O20" s="143" t="n">
        <f aca="false">O18/12</f>
        <v>7.59675376723374</v>
      </c>
      <c r="P20" s="143" t="n">
        <f aca="false">P18/12</f>
        <v>7.74050072097014</v>
      </c>
      <c r="Q20" s="143" t="n">
        <f aca="false">Q18/12</f>
        <v>7.88696767687346</v>
      </c>
      <c r="R20" s="143" t="n">
        <f aca="false">R18/12</f>
        <v>7.9994943236859</v>
      </c>
      <c r="S20" s="143" t="n">
        <f aca="false">S18/12</f>
        <v>8.11362643495079</v>
      </c>
      <c r="T20" s="143" t="n">
        <f aca="false">T18/12</f>
        <v>8.22938691649694</v>
      </c>
      <c r="U20" s="143" t="n">
        <f aca="false">U18/12</f>
        <v>8.34679900096013</v>
      </c>
      <c r="V20" s="143" t="n">
        <f aca="false">V18/12</f>
        <v>8.46588625244584</v>
      </c>
    </row>
    <row r="21" customFormat="false" ht="12.75" hidden="false" customHeight="false" outlineLevel="0" collapsed="false">
      <c r="A21" s="40"/>
      <c r="B21" s="12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12"/>
      <c r="B22" s="145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customFormat="false" ht="12.75" hidden="false" customHeight="false" outlineLevel="0" collapsed="false">
      <c r="A23" s="131" t="s">
        <v>94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customFormat="false" ht="12.75" hidden="false" customHeight="false" outlineLevel="0" collapsed="false">
      <c r="A24" s="12" t="s">
        <v>95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customFormat="false" ht="12.75" hidden="false" customHeight="false" outlineLevel="0" collapsed="false">
      <c r="A26" s="136" t="s">
        <v>89</v>
      </c>
      <c r="B26" s="12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customFormat="false" ht="12.75" hidden="false" customHeight="false" outlineLevel="0" collapsed="false">
      <c r="A27" s="12" t="s">
        <v>90</v>
      </c>
      <c r="B27" s="145"/>
      <c r="C27" s="138" t="n">
        <v>63.6776595744681</v>
      </c>
      <c r="D27" s="138" t="n">
        <v>65.100779776943</v>
      </c>
      <c r="E27" s="138" t="n">
        <v>66.5557050288533</v>
      </c>
      <c r="F27" s="138" t="n">
        <v>68.0431461353494</v>
      </c>
      <c r="G27" s="138" t="n">
        <v>69.563829787234</v>
      </c>
      <c r="H27" s="138" t="n">
        <v>68.9095081877806</v>
      </c>
      <c r="I27" s="138" t="n">
        <v>68.261341176952</v>
      </c>
      <c r="J27" s="138" t="n">
        <v>67.6192708643146</v>
      </c>
      <c r="K27" s="138" t="n">
        <v>66.9832399039557</v>
      </c>
      <c r="L27" s="138" t="n">
        <v>66.3531914893617</v>
      </c>
      <c r="M27" s="138" t="n">
        <v>65.2466847836494</v>
      </c>
      <c r="N27" s="138" t="n">
        <v>64.1586301985105</v>
      </c>
      <c r="O27" s="138" t="n">
        <v>63.0887200261362</v>
      </c>
      <c r="P27" s="138" t="n">
        <v>62.0366516900575</v>
      </c>
      <c r="Q27" s="138" t="n">
        <v>61.0021276595745</v>
      </c>
      <c r="R27" s="138" t="n">
        <v>60.1208601723877</v>
      </c>
      <c r="S27" s="138" t="n">
        <v>59.2523239195654</v>
      </c>
      <c r="T27" s="138" t="n">
        <v>58.3963349792784</v>
      </c>
      <c r="U27" s="138" t="n">
        <v>57.5527120867245</v>
      </c>
      <c r="V27" s="138" t="n">
        <v>56.7212765957447</v>
      </c>
    </row>
    <row r="28" customFormat="false" ht="12.75" hidden="false" customHeight="false" outlineLevel="0" collapsed="false">
      <c r="A28" s="12"/>
      <c r="B28" s="145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</row>
    <row r="29" customFormat="false" ht="12.75" hidden="false" customHeight="false" outlineLevel="0" collapsed="false">
      <c r="A29" s="136" t="s">
        <v>91</v>
      </c>
      <c r="B29" s="145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</row>
    <row r="30" customFormat="false" ht="12.75" hidden="false" customHeight="false" outlineLevel="0" collapsed="false">
      <c r="A30" s="12" t="s">
        <v>92</v>
      </c>
      <c r="B30" s="145"/>
      <c r="C30" s="140" t="n">
        <f aca="false">C27*(1+'Power Price Assumption'!$C$8)^(C4-1998)</f>
        <v>69.5822979138298</v>
      </c>
      <c r="D30" s="140" t="n">
        <f aca="false">D27*(1+'Power Price Assumption'!$C$8)^(D4-1998)</f>
        <v>73.2715011768192</v>
      </c>
      <c r="E30" s="140" t="n">
        <f aca="false">E27*(1+'Power Price Assumption'!$C$8)^(E4-1998)</f>
        <v>77.1563033367078</v>
      </c>
      <c r="F30" s="140" t="n">
        <f aca="false">F27*(1+'Power Price Assumption'!$C$8)^(F4-1998)</f>
        <v>81.2470749059722</v>
      </c>
      <c r="G30" s="140" t="n">
        <f aca="false">G27*(1+'Power Price Assumption'!$C$8)^(G4-1998)</f>
        <v>85.5547362341833</v>
      </c>
      <c r="H30" s="140" t="n">
        <f aca="false">H27*(1+'Power Price Assumption'!$C$8)^(H4-1998)</f>
        <v>87.2925032954154</v>
      </c>
      <c r="I30" s="140" t="n">
        <f aca="false">I27*(1+'Power Price Assumption'!$C$8)^(I4-1998)</f>
        <v>89.0655674599059</v>
      </c>
      <c r="J30" s="140" t="n">
        <f aca="false">J27*(1+'Power Price Assumption'!$C$8)^(J4-1998)</f>
        <v>90.8746456738591</v>
      </c>
      <c r="K30" s="140" t="n">
        <f aca="false">K27*(1+'Power Price Assumption'!$C$8)^(K4-1998)</f>
        <v>92.7204694459167</v>
      </c>
      <c r="L30" s="140" t="n">
        <f aca="false">L27*(1+'Power Price Assumption'!$C$8)^(L4-1998)</f>
        <v>94.6037851429467</v>
      </c>
      <c r="M30" s="140" t="n">
        <f aca="false">M27*(1+'Power Price Assumption'!$C$8)^(M4-1998)</f>
        <v>95.8169562957364</v>
      </c>
      <c r="N30" s="140" t="n">
        <f aca="false">N27*(1+'Power Price Assumption'!$C$8)^(N4-1998)</f>
        <v>97.0456847990458</v>
      </c>
      <c r="O30" s="140" t="n">
        <f aca="false">O27*(1+'Power Price Assumption'!$C$8)^(O4-1998)</f>
        <v>98.2901701557683</v>
      </c>
      <c r="P30" s="140" t="n">
        <f aca="false">P27*(1+'Power Price Assumption'!$C$8)^(P4-1998)</f>
        <v>99.5506144271639</v>
      </c>
      <c r="Q30" s="140" t="n">
        <f aca="false">Q27*(1+'Power Price Assumption'!$C$8)^(Q4-1998)</f>
        <v>100.827222265667</v>
      </c>
      <c r="R30" s="140" t="n">
        <f aca="false">R27*(1+'Power Price Assumption'!$C$8)^(R4-1998)</f>
        <v>102.351740027654</v>
      </c>
      <c r="S30" s="140" t="n">
        <f aca="false">S27*(1+'Power Price Assumption'!$C$8)^(S4-1998)</f>
        <v>103.899308651843</v>
      </c>
      <c r="T30" s="140" t="n">
        <f aca="false">T27*(1+'Power Price Assumption'!$C$8)^(T4-1998)</f>
        <v>105.470276669593</v>
      </c>
      <c r="U30" s="140" t="n">
        <f aca="false">U27*(1+'Power Price Assumption'!$C$8)^(U4-1998)</f>
        <v>107.064997882093</v>
      </c>
      <c r="V30" s="140" t="n">
        <f aca="false">V27*(1+'Power Price Assumption'!$C$8)^(V4-1998)</f>
        <v>108.683831440042</v>
      </c>
    </row>
    <row r="31" customFormat="false" ht="13.5" hidden="false" customHeight="false" outlineLevel="0" collapsed="false">
      <c r="A31" s="12"/>
      <c r="B31" s="12"/>
      <c r="C31" s="144"/>
      <c r="D31" s="144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</row>
    <row r="32" customFormat="false" ht="13.5" hidden="false" customHeight="false" outlineLevel="0" collapsed="false">
      <c r="A32" s="141" t="s">
        <v>96</v>
      </c>
      <c r="B32" s="142"/>
      <c r="C32" s="143" t="n">
        <f aca="false">C30/12</f>
        <v>5.79852482615248</v>
      </c>
      <c r="D32" s="143" t="n">
        <f aca="false">D30/12</f>
        <v>6.1059584314016</v>
      </c>
      <c r="E32" s="143" t="n">
        <f aca="false">E30/12</f>
        <v>6.42969194472565</v>
      </c>
      <c r="F32" s="143" t="n">
        <f aca="false">F30/12</f>
        <v>6.77058957549769</v>
      </c>
      <c r="G32" s="143" t="n">
        <f aca="false">G30/12</f>
        <v>7.1295613528486</v>
      </c>
      <c r="H32" s="143" t="n">
        <f aca="false">H30/12</f>
        <v>7.27437527461795</v>
      </c>
      <c r="I32" s="143" t="n">
        <f aca="false">I30/12</f>
        <v>7.42213062165883</v>
      </c>
      <c r="J32" s="143" t="n">
        <f aca="false">J30/12</f>
        <v>7.57288713948826</v>
      </c>
      <c r="K32" s="143" t="n">
        <f aca="false">K30/12</f>
        <v>7.72670578715973</v>
      </c>
      <c r="L32" s="143" t="n">
        <f aca="false">L30/12</f>
        <v>7.88364876191223</v>
      </c>
      <c r="M32" s="143" t="n">
        <f aca="false">M30/12</f>
        <v>7.98474635797803</v>
      </c>
      <c r="N32" s="143" t="n">
        <f aca="false">N30/12</f>
        <v>8.08714039992048</v>
      </c>
      <c r="O32" s="143" t="n">
        <f aca="false">O30/12</f>
        <v>8.19084751298069</v>
      </c>
      <c r="P32" s="143" t="n">
        <f aca="false">P30/12</f>
        <v>8.295884535597</v>
      </c>
      <c r="Q32" s="143" t="n">
        <f aca="false">Q30/12</f>
        <v>8.4022685221389</v>
      </c>
      <c r="R32" s="143" t="n">
        <f aca="false">R30/12</f>
        <v>8.52931166897118</v>
      </c>
      <c r="S32" s="143" t="n">
        <f aca="false">S30/12</f>
        <v>8.65827572098693</v>
      </c>
      <c r="T32" s="143" t="n">
        <f aca="false">T30/12</f>
        <v>8.7891897224661</v>
      </c>
      <c r="U32" s="143" t="n">
        <f aca="false">U30/12</f>
        <v>8.9220831568411</v>
      </c>
      <c r="V32" s="143" t="n">
        <f aca="false">V30/12</f>
        <v>9.05698595333681</v>
      </c>
    </row>
    <row r="33" customFormat="false" ht="12.75" hidden="false" customHeight="false" outlineLevel="0" collapsed="false">
      <c r="A33" s="12"/>
      <c r="B33" s="145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</row>
    <row r="34" customFormat="false" ht="12.75" hidden="false" customHeight="false" outlineLevel="0" collapsed="false">
      <c r="A34" s="12"/>
      <c r="B34" s="145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customFormat="false" ht="12.75" hidden="false" customHeight="false" outlineLevel="0" collapsed="false">
      <c r="A35" s="131" t="s">
        <v>97</v>
      </c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customFormat="false" ht="12.75" hidden="false" customHeight="false" outlineLevel="0" collapsed="false">
      <c r="A36" s="12" t="s">
        <v>98</v>
      </c>
      <c r="B36" s="145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customFormat="false" ht="12.75" hidden="false" customHeight="false" outlineLevel="0" collapsed="false">
      <c r="A37" s="12"/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</row>
    <row r="38" customFormat="false" ht="12.75" hidden="false" customHeight="false" outlineLevel="0" collapsed="false">
      <c r="A38" s="136" t="s">
        <v>89</v>
      </c>
      <c r="B38" s="145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</row>
    <row r="39" customFormat="false" ht="12.75" hidden="false" customHeight="false" outlineLevel="0" collapsed="false">
      <c r="A39" s="12" t="s">
        <v>90</v>
      </c>
      <c r="B39" s="145"/>
      <c r="C39" s="138" t="n">
        <v>64.1102368689919</v>
      </c>
      <c r="D39" s="138" t="n">
        <v>65.1617852049579</v>
      </c>
      <c r="E39" s="138" t="n">
        <v>66.230581237343</v>
      </c>
      <c r="F39" s="138" t="n">
        <v>67.3169078661543</v>
      </c>
      <c r="G39" s="138" t="n">
        <v>68.421052631579</v>
      </c>
      <c r="H39" s="138" t="n">
        <v>67.7672283516371</v>
      </c>
      <c r="I39" s="138" t="n">
        <v>67.1196519467658</v>
      </c>
      <c r="J39" s="138" t="n">
        <v>66.4782637129375</v>
      </c>
      <c r="K39" s="138" t="n">
        <v>65.8430045166497</v>
      </c>
      <c r="L39" s="138" t="n">
        <v>65.2138157894737</v>
      </c>
      <c r="M39" s="138" t="n">
        <v>64.5593641135854</v>
      </c>
      <c r="N39" s="138" t="n">
        <v>63.9114801717101</v>
      </c>
      <c r="O39" s="138" t="n">
        <v>63.2700980535113</v>
      </c>
      <c r="P39" s="138" t="n">
        <v>62.6351525100945</v>
      </c>
      <c r="Q39" s="138" t="n">
        <v>62.0065789473684</v>
      </c>
      <c r="R39" s="138" t="n">
        <v>61.1266962959832</v>
      </c>
      <c r="S39" s="138" t="n">
        <v>60.2592993113346</v>
      </c>
      <c r="T39" s="138" t="n">
        <v>59.4042108199395</v>
      </c>
      <c r="U39" s="138" t="n">
        <v>58.5612561624336</v>
      </c>
      <c r="V39" s="138" t="n">
        <v>57.7302631578947</v>
      </c>
    </row>
    <row r="40" customFormat="false" ht="12.75" hidden="false" customHeight="false" outlineLevel="0" collapsed="false">
      <c r="A40" s="85"/>
      <c r="B40" s="12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</row>
    <row r="41" customFormat="false" ht="12.75" hidden="false" customHeight="false" outlineLevel="0" collapsed="false">
      <c r="A41" s="136" t="s">
        <v>91</v>
      </c>
      <c r="B41" s="1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</row>
    <row r="42" customFormat="false" ht="12.75" hidden="false" customHeight="false" outlineLevel="0" collapsed="false">
      <c r="A42" s="12" t="s">
        <v>92</v>
      </c>
      <c r="B42" s="12"/>
      <c r="C42" s="138" t="n">
        <f aca="false">C39*(1+'Power Price Assumption'!$C$8)^(C4-1998)</f>
        <v>70.0549868031429</v>
      </c>
      <c r="D42" s="138" t="n">
        <f aca="false">D39*(1+'Power Price Assumption'!$C$8)^(D4-1998)</f>
        <v>73.3401633235078</v>
      </c>
      <c r="E42" s="138" t="n">
        <f aca="false">E39*(1+'Power Price Assumption'!$C$8)^(E4-1998)</f>
        <v>76.7793957542717</v>
      </c>
      <c r="F42" s="138" t="n">
        <f aca="false">F39*(1+'Power Price Assumption'!$C$8)^(F4-1998)</f>
        <v>80.3799084328127</v>
      </c>
      <c r="G42" s="138" t="n">
        <f aca="false">G39*(1+'Power Price Assumption'!$C$8)^(G4-1998)</f>
        <v>84.1492644764385</v>
      </c>
      <c r="H42" s="138" t="n">
        <f aca="false">H39*(1+'Power Price Assumption'!$C$8)^(H4-1998)</f>
        <v>85.8454973744165</v>
      </c>
      <c r="I42" s="138" t="n">
        <f aca="false">I39*(1+'Power Price Assumption'!$C$8)^(I4-1998)</f>
        <v>87.5759219680924</v>
      </c>
      <c r="J42" s="138" t="n">
        <f aca="false">J39*(1+'Power Price Assumption'!$C$8)^(J4-1998)</f>
        <v>89.3412274741746</v>
      </c>
      <c r="K42" s="138" t="n">
        <f aca="false">K39*(1+'Power Price Assumption'!$C$8)^(K4-1998)</f>
        <v>91.1421170022092</v>
      </c>
      <c r="L42" s="138" t="n">
        <f aca="false">L39*(1+'Power Price Assumption'!$C$8)^(L4-1998)</f>
        <v>92.9793078346234</v>
      </c>
      <c r="M42" s="138" t="n">
        <f aca="false">M39*(1+'Power Price Assumption'!$C$8)^(M4-1998)</f>
        <v>94.8076027197953</v>
      </c>
      <c r="N42" s="138" t="n">
        <f aca="false">N39*(1+'Power Price Assumption'!$C$8)^(N4-1998)</f>
        <v>96.6718482080099</v>
      </c>
      <c r="O42" s="138" t="n">
        <f aca="false">O39*(1+'Power Price Assumption'!$C$8)^(O4-1998)</f>
        <v>98.5727512125061</v>
      </c>
      <c r="P42" s="138" t="n">
        <f aca="false">P39*(1+'Power Price Assumption'!$C$8)^(P4-1998)</f>
        <v>100.511032546883</v>
      </c>
      <c r="Q42" s="138" t="n">
        <f aca="false">Q39*(1+'Power Price Assumption'!$C$8)^(Q4-1998)</f>
        <v>102.487427198429</v>
      </c>
      <c r="R42" s="138" t="n">
        <f aca="false">R39*(1+'Power Price Assumption'!$C$8)^(R4-1998)</f>
        <v>104.064108698653</v>
      </c>
      <c r="S42" s="138" t="n">
        <f aca="false">S39*(1+'Power Price Assumption'!$C$8)^(S4-1998)</f>
        <v>105.66504609661</v>
      </c>
      <c r="T42" s="138" t="n">
        <f aca="false">T39*(1+'Power Price Assumption'!$C$8)^(T4-1998)</f>
        <v>107.290612548563</v>
      </c>
      <c r="U42" s="138" t="n">
        <f aca="false">U39*(1+'Power Price Assumption'!$C$8)^(U4-1998)</f>
        <v>108.941186951465</v>
      </c>
      <c r="V42" s="138" t="n">
        <f aca="false">V39*(1+'Power Price Assumption'!$C$8)^(V4-1998)</f>
        <v>110.617154031272</v>
      </c>
    </row>
    <row r="43" customFormat="false" ht="13.5" hidden="false" customHeight="false" outlineLevel="0" collapsed="false">
      <c r="A43" s="12"/>
      <c r="B43" s="12"/>
      <c r="C43" s="144"/>
      <c r="D43" s="144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</row>
    <row r="44" customFormat="false" ht="13.5" hidden="false" customHeight="false" outlineLevel="0" collapsed="false">
      <c r="A44" s="141" t="s">
        <v>99</v>
      </c>
      <c r="B44" s="142"/>
      <c r="C44" s="143" t="n">
        <f aca="false">C42/12</f>
        <v>5.83791556692858</v>
      </c>
      <c r="D44" s="143" t="n">
        <f aca="false">D42/12</f>
        <v>6.11168027695898</v>
      </c>
      <c r="E44" s="143" t="n">
        <f aca="false">E42/12</f>
        <v>6.39828297952264</v>
      </c>
      <c r="F44" s="143" t="n">
        <f aca="false">F42/12</f>
        <v>6.69832570273439</v>
      </c>
      <c r="G44" s="143" t="n">
        <f aca="false">G42/12</f>
        <v>7.01243870636987</v>
      </c>
      <c r="H44" s="143" t="n">
        <f aca="false">H42/12</f>
        <v>7.15379144786804</v>
      </c>
      <c r="I44" s="143" t="n">
        <f aca="false">I42/12</f>
        <v>7.29799349734103</v>
      </c>
      <c r="J44" s="143" t="n">
        <f aca="false">J42/12</f>
        <v>7.44510228951455</v>
      </c>
      <c r="K44" s="143" t="n">
        <f aca="false">K42/12</f>
        <v>7.59517641685077</v>
      </c>
      <c r="L44" s="143" t="n">
        <f aca="false">L42/12</f>
        <v>7.74827565288528</v>
      </c>
      <c r="M44" s="143" t="n">
        <f aca="false">M42/12</f>
        <v>7.90063355998294</v>
      </c>
      <c r="N44" s="143" t="n">
        <f aca="false">N42/12</f>
        <v>8.05598735066749</v>
      </c>
      <c r="O44" s="143" t="n">
        <f aca="false">O42/12</f>
        <v>8.21439593437551</v>
      </c>
      <c r="P44" s="143" t="n">
        <f aca="false">P42/12</f>
        <v>8.37591937890693</v>
      </c>
      <c r="Q44" s="143" t="n">
        <f aca="false">Q42/12</f>
        <v>8.54061893320245</v>
      </c>
      <c r="R44" s="143" t="n">
        <f aca="false">R42/12</f>
        <v>8.67200905822106</v>
      </c>
      <c r="S44" s="143" t="n">
        <f aca="false">S42/12</f>
        <v>8.80542050805083</v>
      </c>
      <c r="T44" s="143" t="n">
        <f aca="false">T42/12</f>
        <v>8.94088437904694</v>
      </c>
      <c r="U44" s="143" t="n">
        <f aca="false">U42/12</f>
        <v>9.07843224595538</v>
      </c>
      <c r="V44" s="143" t="n">
        <f aca="false">V42/12</f>
        <v>9.21809616927268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56"/>
    <col collapsed="false" customWidth="true" hidden="false" outlineLevel="0" max="13" min="2" style="1" width="8.99"/>
    <col collapsed="false" customWidth="true" hidden="false" outlineLevel="0" max="21" min="14" style="1" width="10.28"/>
    <col collapsed="false" customWidth="true" hidden="false" outlineLevel="0" max="22" min="22" style="93" width="12.56"/>
    <col collapsed="false" customWidth="true" hidden="false" outlineLevel="0" max="23" min="23" style="93" width="9.7"/>
    <col collapsed="false" customWidth="true" hidden="false" outlineLevel="0" max="24" min="24" style="1" width="9.7"/>
    <col collapsed="false" customWidth="true" hidden="false" outlineLevel="0" max="25" min="25" style="1" width="7.28"/>
    <col collapsed="false" customWidth="true" hidden="false" outlineLevel="0" max="45" min="26" style="1" width="7.7"/>
    <col collapsed="false" customWidth="false" hidden="false" outlineLevel="0" max="257" min="46" style="1" width="9.14"/>
  </cols>
  <sheetData>
    <row r="2" customFormat="false" ht="18" hidden="false" customHeight="false" outlineLevel="0" collapsed="false">
      <c r="A2" s="149" t="s">
        <v>100</v>
      </c>
      <c r="B2" s="150"/>
    </row>
    <row r="3" customFormat="false" ht="16.5" hidden="false" customHeight="true" outlineLevel="0" collapsed="false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customFormat="false" ht="12.75" hidden="false" customHeight="false" outlineLevel="0" collapsed="false">
      <c r="A4" s="151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customFormat="false" ht="13.5" hidden="false" customHeight="false" outlineLevel="0" collapsed="false">
      <c r="A5" s="154" t="s">
        <v>101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  <c r="V5" s="156"/>
      <c r="W5" s="156"/>
      <c r="X5" s="93"/>
      <c r="Y5" s="157" t="n">
        <f aca="false">SUM(Z5:AS5)-SUM(Z6:AS6)</f>
        <v>0</v>
      </c>
      <c r="Z5" s="158" t="n">
        <f aca="false">B12</f>
        <v>6849.42336310445</v>
      </c>
      <c r="AA5" s="158" t="n">
        <f aca="false">C12</f>
        <v>7054.90606399758</v>
      </c>
      <c r="AB5" s="158" t="n">
        <f aca="false">D12</f>
        <v>7266.55324591751</v>
      </c>
      <c r="AC5" s="158" t="n">
        <f aca="false">E12</f>
        <v>7484.54984329504</v>
      </c>
      <c r="AD5" s="158" t="n">
        <f aca="false">F12</f>
        <v>7709.08633859389</v>
      </c>
      <c r="AE5" s="158" t="n">
        <f aca="false">G12</f>
        <v>7940.35892875171</v>
      </c>
      <c r="AF5" s="158" t="n">
        <f aca="false">H12</f>
        <v>8178.56969661426</v>
      </c>
      <c r="AG5" s="158" t="n">
        <f aca="false">I12</f>
        <v>8423.92678751269</v>
      </c>
      <c r="AH5" s="158" t="n">
        <f aca="false">J12</f>
        <v>8676.64459113807</v>
      </c>
      <c r="AI5" s="158" t="n">
        <f aca="false">K12</f>
        <v>8936.94392887221</v>
      </c>
      <c r="AJ5" s="158" t="n">
        <f aca="false">L12</f>
        <v>9205.05224673838</v>
      </c>
      <c r="AK5" s="158" t="n">
        <f aca="false">M12</f>
        <v>9481.20381414053</v>
      </c>
      <c r="AL5" s="158" t="n">
        <f aca="false">N12</f>
        <v>9765.63992856474</v>
      </c>
      <c r="AM5" s="158" t="n">
        <f aca="false">O12</f>
        <v>10058.6091264217</v>
      </c>
      <c r="AN5" s="158" t="n">
        <f aca="false">P12</f>
        <v>10360.3674002143</v>
      </c>
      <c r="AO5" s="158" t="n">
        <f aca="false">Q12</f>
        <v>10671.1784222208</v>
      </c>
      <c r="AP5" s="158" t="n">
        <f aca="false">R12</f>
        <v>10991.3137748874</v>
      </c>
      <c r="AQ5" s="158" t="n">
        <f aca="false">S12</f>
        <v>11321.053188134</v>
      </c>
      <c r="AR5" s="158" t="n">
        <f aca="false">T12</f>
        <v>11660.684783778</v>
      </c>
      <c r="AS5" s="158" t="n">
        <f aca="false">U12</f>
        <v>12010.5053272914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customFormat="false" ht="12.75" hidden="false" customHeight="false" outlineLevel="0" collapsed="false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Y6" s="157" t="n">
        <v>0</v>
      </c>
      <c r="Z6" s="161" t="n">
        <f aca="false">B19+1/3*B20</f>
        <v>6849.42336310445</v>
      </c>
      <c r="AA6" s="161" t="n">
        <f aca="false">C19+1/3*C20</f>
        <v>7054.90606399759</v>
      </c>
      <c r="AB6" s="161" t="n">
        <f aca="false">D19+1/3*D20</f>
        <v>7266.55324591751</v>
      </c>
      <c r="AC6" s="161" t="n">
        <f aca="false">E19+1/3*E20</f>
        <v>7484.54984329504</v>
      </c>
      <c r="AD6" s="161" t="n">
        <f aca="false">F19+1/3*F20</f>
        <v>7709.08633859389</v>
      </c>
      <c r="AE6" s="161" t="n">
        <f aca="false">G19+1/3*G20</f>
        <v>7940.35892875171</v>
      </c>
      <c r="AF6" s="161" t="n">
        <f aca="false">H19+1/3*H20</f>
        <v>8178.56969661426</v>
      </c>
      <c r="AG6" s="161" t="n">
        <f aca="false">I19+1/3*I20</f>
        <v>8423.92678751269</v>
      </c>
      <c r="AH6" s="161" t="n">
        <f aca="false">J19+1/3*J20</f>
        <v>8676.64459113807</v>
      </c>
      <c r="AI6" s="161" t="n">
        <f aca="false">K19+1/3*K20</f>
        <v>8936.94392887221</v>
      </c>
      <c r="AJ6" s="161" t="n">
        <f aca="false">L19+1/3*L20</f>
        <v>9205.05224673838</v>
      </c>
      <c r="AK6" s="161" t="n">
        <f aca="false">M19+1/3*M20</f>
        <v>9481.20381414053</v>
      </c>
      <c r="AL6" s="161" t="n">
        <f aca="false">N19+1/3*N20</f>
        <v>9765.63992856474</v>
      </c>
      <c r="AM6" s="161" t="n">
        <f aca="false">O19+1/3*O20</f>
        <v>10058.6091264217</v>
      </c>
      <c r="AN6" s="161" t="n">
        <f aca="false">P19+1/3*P20</f>
        <v>10360.3674002143</v>
      </c>
      <c r="AO6" s="161" t="n">
        <f aca="false">Q19+1/3*Q20</f>
        <v>10671.1784222208</v>
      </c>
      <c r="AP6" s="161" t="n">
        <f aca="false">R19+1/3*R20</f>
        <v>10991.3137748874</v>
      </c>
      <c r="AQ6" s="161" t="n">
        <f aca="false">S19+1/3*S20</f>
        <v>11321.053188134</v>
      </c>
      <c r="AR6" s="161" t="n">
        <f aca="false">T19+1/3*T20</f>
        <v>11660.684783778</v>
      </c>
      <c r="AS6" s="161" t="n">
        <f aca="false">U19+1/3*U20</f>
        <v>12010.5053272914</v>
      </c>
    </row>
    <row r="7" customFormat="false" ht="12.75" hidden="false" customHeight="false" outlineLevel="0" collapsed="false">
      <c r="A7" s="159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customFormat="false" ht="12.75" hidden="false" customHeight="false" outlineLevel="0" collapsed="false">
      <c r="A8" s="163" t="s">
        <v>102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64"/>
      <c r="W8" s="164"/>
    </row>
    <row r="9" customFormat="false" ht="12.75" hidden="false" customHeight="false" outlineLevel="0" collapsed="false">
      <c r="A9" s="165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4"/>
      <c r="W9" s="164"/>
    </row>
    <row r="10" customFormat="false" ht="12.75" hidden="false" customHeight="false" outlineLevel="0" collapsed="false">
      <c r="A10" s="165" t="s">
        <v>103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W10" s="167"/>
      <c r="X10" s="168"/>
      <c r="Y10" s="168"/>
    </row>
    <row r="11" customFormat="false" ht="12.75" hidden="false" customHeight="false" outlineLevel="0" collapsed="false">
      <c r="A11" s="169" t="s">
        <v>104</v>
      </c>
      <c r="B11" s="166" t="n">
        <f aca="false">SUM(Wheatland!B9,Wilton!B9,Gleason!B9)</f>
        <v>109276.411548359</v>
      </c>
      <c r="C11" s="166" t="n">
        <f aca="false">SUM(Wheatland!C9,Wilton!C9,Gleason!C9)</f>
        <v>114692.634823312</v>
      </c>
      <c r="D11" s="166" t="n">
        <f aca="false">SUM(Wheatland!D9,Wilton!D9,Gleason!D9)</f>
        <v>120378.004179409</v>
      </c>
      <c r="E11" s="166" t="n">
        <f aca="false">SUM(Wheatland!E9,Wilton!E9,Gleason!E9)</f>
        <v>126345.929027467</v>
      </c>
      <c r="F11" s="166" t="n">
        <f aca="false">SUM(Wheatland!F9,Wilton!F9,Gleason!F9)</f>
        <v>132610.488609991</v>
      </c>
      <c r="G11" s="166" t="n">
        <f aca="false">SUM(Wheatland!G9,Wilton!G9,Gleason!G9)</f>
        <v>134987.360031628</v>
      </c>
      <c r="H11" s="166" t="n">
        <f aca="false">SUM(Wheatland!H9,Wilton!H9,Gleason!H9)</f>
        <v>137408.390963576</v>
      </c>
      <c r="I11" s="166" t="n">
        <f aca="false">SUM(Wheatland!I9,Wilton!I9,Gleason!I9)</f>
        <v>139874.424375975</v>
      </c>
      <c r="J11" s="166" t="n">
        <f aca="false">SUM(Wheatland!J9,Wilton!J9,Gleason!J9)</f>
        <v>142386.319645329</v>
      </c>
      <c r="K11" s="166" t="n">
        <f aca="false">SUM(Wheatland!K9,Wilton!K9,Gleason!K9)</f>
        <v>144944.95287809</v>
      </c>
      <c r="L11" s="166" t="n">
        <f aca="false">SUM(Wheatland!L9,Wilton!L9,Gleason!L9)</f>
        <v>147458.370689106</v>
      </c>
      <c r="M11" s="166" t="n">
        <f aca="false">SUM(Wheatland!M9,Wilton!M9,Gleason!M9)</f>
        <v>150016.6945414</v>
      </c>
      <c r="N11" s="166" t="n">
        <f aca="false">SUM(Wheatland!N9,Wilton!N9,Gleason!N9)</f>
        <v>152620.745765885</v>
      </c>
      <c r="O11" s="166" t="n">
        <f aca="false">SUM(Wheatland!O9,Wilton!O9,Gleason!O9)</f>
        <v>155271.360981609</v>
      </c>
      <c r="P11" s="166" t="n">
        <f aca="false">SUM(Wheatland!P9,Wilton!P9,Gleason!P9)</f>
        <v>157969.392383974</v>
      </c>
      <c r="Q11" s="166" t="n">
        <f aca="false">SUM(Wheatland!Q9,Wilton!Q9,Gleason!Q9)</f>
        <v>160333.201162736</v>
      </c>
      <c r="R11" s="166" t="n">
        <f aca="false">SUM(Wheatland!R9,Wilton!R9,Gleason!R9)</f>
        <v>162732.416875004</v>
      </c>
      <c r="S11" s="166" t="n">
        <f aca="false">SUM(Wheatland!S9,Wilton!S9,Gleason!S9)</f>
        <v>165167.570393196</v>
      </c>
      <c r="T11" s="166" t="n">
        <f aca="false">SUM(Wheatland!T9,Wilton!T9,Gleason!T9)</f>
        <v>167639.20055695</v>
      </c>
      <c r="U11" s="166" t="n">
        <f aca="false">SUM(Wheatland!U9,Wilton!U9,Gleason!U9)</f>
        <v>170147.854292802</v>
      </c>
      <c r="W11" s="167" t="n">
        <f aca="false">SUM(B11:U11)</f>
        <v>2892261.7237258</v>
      </c>
      <c r="X11" s="170" t="n">
        <f aca="false">SUM(Wheatland!W9,Wilton!W9,Gleason!W9)</f>
        <v>2892261.7237258</v>
      </c>
      <c r="Y11" s="170" t="n">
        <f aca="false">W11-X11</f>
        <v>0</v>
      </c>
    </row>
    <row r="12" customFormat="false" ht="12.75" hidden="false" customHeight="false" outlineLevel="0" collapsed="false">
      <c r="A12" s="169" t="s">
        <v>105</v>
      </c>
      <c r="B12" s="166" t="n">
        <f aca="false">SUM(Wheatland!B10,Wilton!B10,Gleason!B10)</f>
        <v>6849.42336310445</v>
      </c>
      <c r="C12" s="166" t="n">
        <f aca="false">SUM(Wheatland!C10,Wilton!C10,Gleason!C10)</f>
        <v>7054.90606399758</v>
      </c>
      <c r="D12" s="166" t="n">
        <f aca="false">SUM(Wheatland!D10,Wilton!D10,Gleason!D10)</f>
        <v>7266.55324591751</v>
      </c>
      <c r="E12" s="166" t="n">
        <f aca="false">SUM(Wheatland!E10,Wilton!E10,Gleason!E10)</f>
        <v>7484.54984329504</v>
      </c>
      <c r="F12" s="166" t="n">
        <f aca="false">SUM(Wheatland!F10,Wilton!F10,Gleason!F10)</f>
        <v>7709.08633859389</v>
      </c>
      <c r="G12" s="166" t="n">
        <f aca="false">SUM(Wheatland!G10,Wilton!G10,Gleason!G10)</f>
        <v>7940.35892875171</v>
      </c>
      <c r="H12" s="166" t="n">
        <f aca="false">SUM(Wheatland!H10,Wilton!H10,Gleason!H10)</f>
        <v>8178.56969661426</v>
      </c>
      <c r="I12" s="166" t="n">
        <f aca="false">SUM(Wheatland!I10,Wilton!I10,Gleason!I10)</f>
        <v>8423.92678751269</v>
      </c>
      <c r="J12" s="166" t="n">
        <f aca="false">SUM(Wheatland!J10,Wilton!J10,Gleason!J10)</f>
        <v>8676.64459113807</v>
      </c>
      <c r="K12" s="166" t="n">
        <f aca="false">SUM(Wheatland!K10,Wilton!K10,Gleason!K10)</f>
        <v>8936.94392887221</v>
      </c>
      <c r="L12" s="166" t="n">
        <f aca="false">SUM(Wheatland!L10,Wilton!L10,Gleason!L10)</f>
        <v>9205.05224673838</v>
      </c>
      <c r="M12" s="166" t="n">
        <f aca="false">SUM(Wheatland!M10,Wilton!M10,Gleason!M10)</f>
        <v>9481.20381414053</v>
      </c>
      <c r="N12" s="166" t="n">
        <f aca="false">SUM(Wheatland!N10,Wilton!N10,Gleason!N10)</f>
        <v>9765.63992856474</v>
      </c>
      <c r="O12" s="166" t="n">
        <f aca="false">SUM(Wheatland!O10,Wilton!O10,Gleason!O10)</f>
        <v>10058.6091264217</v>
      </c>
      <c r="P12" s="166" t="n">
        <f aca="false">SUM(Wheatland!P10,Wilton!P10,Gleason!P10)</f>
        <v>10360.3674002143</v>
      </c>
      <c r="Q12" s="166" t="n">
        <f aca="false">SUM(Wheatland!Q10,Wilton!Q10,Gleason!Q10)</f>
        <v>10671.1784222208</v>
      </c>
      <c r="R12" s="166" t="n">
        <f aca="false">SUM(Wheatland!R10,Wilton!R10,Gleason!R10)</f>
        <v>10991.3137748874</v>
      </c>
      <c r="S12" s="166" t="n">
        <f aca="false">SUM(Wheatland!S10,Wilton!S10,Gleason!S10)</f>
        <v>11321.053188134</v>
      </c>
      <c r="T12" s="166" t="n">
        <f aca="false">SUM(Wheatland!T10,Wilton!T10,Gleason!T10)</f>
        <v>11660.684783778</v>
      </c>
      <c r="U12" s="166" t="n">
        <f aca="false">SUM(Wheatland!U10,Wilton!U10,Gleason!U10)</f>
        <v>12010.5053272914</v>
      </c>
      <c r="W12" s="167" t="n">
        <f aca="false">SUM(B12:U12)</f>
        <v>184046.570800189</v>
      </c>
      <c r="X12" s="170" t="n">
        <f aca="false">SUM(Wheatland!W10,Wilton!W10,Gleason!W10)</f>
        <v>184046.570800189</v>
      </c>
      <c r="Y12" s="170" t="n">
        <f aca="false">W12-X12</f>
        <v>0</v>
      </c>
    </row>
    <row r="13" customFormat="false" ht="12.75" hidden="false" customHeight="false" outlineLevel="0" collapsed="false">
      <c r="A13" s="169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W13" s="167"/>
      <c r="X13" s="170"/>
      <c r="Y13" s="170"/>
    </row>
    <row r="14" customFormat="false" ht="12.75" hidden="false" customHeight="false" outlineLevel="0" collapsed="false">
      <c r="A14" s="169" t="s">
        <v>106</v>
      </c>
      <c r="B14" s="171" t="n">
        <f aca="false">SUM(Wheatland!B12,Wilton!B12,Gleason!B12)</f>
        <v>1266.57937926585</v>
      </c>
      <c r="C14" s="171" t="n">
        <f aca="false">SUM(Wheatland!C12,Wilton!C12,Gleason!C12)</f>
        <v>1329.58257782151</v>
      </c>
      <c r="D14" s="171" t="n">
        <f aca="false">SUM(Wheatland!D12,Wilton!D12,Gleason!D12)</f>
        <v>1395.94488359515</v>
      </c>
      <c r="E14" s="171" t="n">
        <f aca="false">SUM(Wheatland!E12,Wilton!E12,Gleason!E12)</f>
        <v>1467.0999009689</v>
      </c>
      <c r="F14" s="171" t="n">
        <f aca="false">SUM(Wheatland!F12,Wilton!F12,Gleason!F12)</f>
        <v>1542.24556451263</v>
      </c>
      <c r="G14" s="171" t="n">
        <f aca="false">SUM(Wheatland!G12,Wilton!G12,Gleason!G12)</f>
        <v>1566.7212408941</v>
      </c>
      <c r="H14" s="171" t="n">
        <f aca="false">SUM(Wheatland!H12,Wilton!H12,Gleason!H12)</f>
        <v>1592.28898569874</v>
      </c>
      <c r="I14" s="171" t="n">
        <f aca="false">SUM(Wheatland!I12,Wilton!I12,Gleason!I12)</f>
        <v>1619.08936303964</v>
      </c>
      <c r="J14" s="171" t="n">
        <f aca="false">SUM(Wheatland!J12,Wilton!J12,Gleason!J12)</f>
        <v>1647.629082294</v>
      </c>
      <c r="K14" s="171" t="n">
        <f aca="false">SUM(Wheatland!K12,Wilton!K12,Gleason!K12)</f>
        <v>1677.64159997852</v>
      </c>
      <c r="L14" s="171" t="n">
        <f aca="false">SUM(Wheatland!L12,Wilton!L12,Gleason!L12)</f>
        <v>1704.23452724544</v>
      </c>
      <c r="M14" s="171" t="n">
        <f aca="false">SUM(Wheatland!M12,Wilton!M12,Gleason!M12)</f>
        <v>1733.23448182817</v>
      </c>
      <c r="N14" s="171" t="n">
        <f aca="false">SUM(Wheatland!N12,Wilton!N12,Gleason!N12)</f>
        <v>1758.34817341712</v>
      </c>
      <c r="O14" s="171" t="n">
        <f aca="false">SUM(Wheatland!O12,Wilton!O12,Gleason!O12)</f>
        <v>1788.30659397099</v>
      </c>
      <c r="P14" s="171" t="n">
        <f aca="false">SUM(Wheatland!P12,Wilton!P12,Gleason!P12)</f>
        <v>1813.30405630454</v>
      </c>
      <c r="Q14" s="171" t="n">
        <f aca="false">SUM(Wheatland!Q12,Wilton!Q12,Gleason!Q12)</f>
        <v>1846.52725866064</v>
      </c>
      <c r="R14" s="171" t="n">
        <f aca="false">SUM(Wheatland!R12,Wilton!R12,Gleason!R12)</f>
        <v>1872.84259369329</v>
      </c>
      <c r="S14" s="171" t="n">
        <f aca="false">SUM(Wheatland!S12,Wilton!S12,Gleason!S12)</f>
        <v>1899.49220782244</v>
      </c>
      <c r="T14" s="171" t="n">
        <f aca="false">SUM(Wheatland!T12,Wilton!T12,Gleason!T12)</f>
        <v>1926.47942543578</v>
      </c>
      <c r="U14" s="171" t="n">
        <f aca="false">SUM(Wheatland!U12,Wilton!U12,Gleason!U12)</f>
        <v>1953.80757041794</v>
      </c>
      <c r="W14" s="167" t="n">
        <f aca="false">SUM(B14:U14)</f>
        <v>33401.3994668654</v>
      </c>
      <c r="X14" s="170" t="n">
        <f aca="false">SUM(Wheatland!W12,Wilton!W12,Gleason!W12)</f>
        <v>33401.3994668654</v>
      </c>
      <c r="Y14" s="170" t="n">
        <f aca="false">W14-X14</f>
        <v>0</v>
      </c>
    </row>
    <row r="15" customFormat="false" ht="12.75" hidden="false" customHeight="false" outlineLevel="0" collapsed="false">
      <c r="A15" s="169" t="s">
        <v>107</v>
      </c>
      <c r="B15" s="166" t="n">
        <f aca="false">SUM(B10:B14)</f>
        <v>117392.41429073</v>
      </c>
      <c r="C15" s="166" t="n">
        <f aca="false">SUM(C10:C14)</f>
        <v>123077.123465131</v>
      </c>
      <c r="D15" s="166" t="n">
        <f aca="false">SUM(D10:D14)</f>
        <v>129040.502308922</v>
      </c>
      <c r="E15" s="166" t="n">
        <f aca="false">SUM(E10:E14)</f>
        <v>135297.578771731</v>
      </c>
      <c r="F15" s="166" t="n">
        <f aca="false">SUM(F10:F14)</f>
        <v>141861.820513097</v>
      </c>
      <c r="G15" s="166" t="n">
        <f aca="false">SUM(G10:G14)</f>
        <v>144494.440201273</v>
      </c>
      <c r="H15" s="166" t="n">
        <f aca="false">SUM(H10:H14)</f>
        <v>147179.249645889</v>
      </c>
      <c r="I15" s="166" t="n">
        <f aca="false">SUM(I10:I14)</f>
        <v>149917.440526528</v>
      </c>
      <c r="J15" s="166" t="n">
        <f aca="false">SUM(J10:J14)</f>
        <v>152710.593318761</v>
      </c>
      <c r="K15" s="166" t="n">
        <f aca="false">SUM(K10:K14)</f>
        <v>155559.53840694</v>
      </c>
      <c r="L15" s="166" t="n">
        <f aca="false">SUM(L10:L14)</f>
        <v>158367.657463089</v>
      </c>
      <c r="M15" s="166" t="n">
        <f aca="false">SUM(M10:M14)</f>
        <v>161231.132837369</v>
      </c>
      <c r="N15" s="166" t="n">
        <f aca="false">SUM(N10:N14)</f>
        <v>164144.733867867</v>
      </c>
      <c r="O15" s="166" t="n">
        <f aca="false">SUM(O10:O14)</f>
        <v>167118.276702002</v>
      </c>
      <c r="P15" s="166" t="n">
        <f aca="false">SUM(P10:P14)</f>
        <v>170143.063840493</v>
      </c>
      <c r="Q15" s="166" t="n">
        <f aca="false">SUM(Q10:Q14)</f>
        <v>172850.906843617</v>
      </c>
      <c r="R15" s="166" t="n">
        <f aca="false">SUM(R10:R14)</f>
        <v>175596.573243585</v>
      </c>
      <c r="S15" s="166" t="n">
        <f aca="false">SUM(S10:S14)</f>
        <v>178388.115789153</v>
      </c>
      <c r="T15" s="166" t="n">
        <f aca="false">SUM(T10:T14)</f>
        <v>181226.364766164</v>
      </c>
      <c r="U15" s="166" t="n">
        <f aca="false">SUM(U10:U14)</f>
        <v>184112.167190511</v>
      </c>
      <c r="W15" s="167" t="n">
        <f aca="false">SUM(B15:U15)</f>
        <v>3109709.69399285</v>
      </c>
      <c r="X15" s="170" t="n">
        <f aca="false">SUM(Wheatland!W13,Wilton!W13,Gleason!W13)</f>
        <v>3109709.69399285</v>
      </c>
      <c r="Y15" s="170" t="n">
        <f aca="false">W15-X15</f>
        <v>0</v>
      </c>
    </row>
    <row r="16" customFormat="false" ht="12.75" hidden="false" customHeight="false" outlineLevel="0" collapsed="false">
      <c r="A16" s="169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W16" s="167"/>
      <c r="X16" s="168"/>
      <c r="Y16" s="168"/>
    </row>
    <row r="17" customFormat="false" ht="12.75" hidden="false" customHeight="false" outlineLevel="0" collapsed="false">
      <c r="A17" s="163" t="s">
        <v>108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W17" s="167"/>
      <c r="X17" s="168"/>
      <c r="Y17" s="168"/>
    </row>
    <row r="18" customFormat="false" ht="12.75" hidden="false" customHeight="false" outlineLevel="0" collapsed="false">
      <c r="A18" s="169" t="s">
        <v>71</v>
      </c>
      <c r="B18" s="166" t="n">
        <f aca="false">SUM(Wheatland!B16,Wilton!B16,Gleason!B16)</f>
        <v>4333.01694857143</v>
      </c>
      <c r="C18" s="166" t="n">
        <f aca="false">SUM(Wheatland!C16,Wilton!C16,Gleason!C16)</f>
        <v>4463.00745702857</v>
      </c>
      <c r="D18" s="166" t="n">
        <f aca="false">SUM(Wheatland!D16,Wilton!D16,Gleason!D16)</f>
        <v>4596.89768073943</v>
      </c>
      <c r="E18" s="166" t="n">
        <f aca="false">SUM(Wheatland!E16,Wilton!E16,Gleason!E16)</f>
        <v>4734.80461116161</v>
      </c>
      <c r="F18" s="166" t="n">
        <f aca="false">SUM(Wheatland!F16,Wilton!F16,Gleason!F16)</f>
        <v>4876.84874949646</v>
      </c>
      <c r="G18" s="166" t="n">
        <f aca="false">SUM(Wheatland!G16,Wilton!G16,Gleason!G16)</f>
        <v>5023.15421198136</v>
      </c>
      <c r="H18" s="166" t="n">
        <f aca="false">SUM(Wheatland!H16,Wilton!H16,Gleason!H16)</f>
        <v>5173.8488383408</v>
      </c>
      <c r="I18" s="166" t="n">
        <f aca="false">SUM(Wheatland!I16,Wilton!I16,Gleason!I16)</f>
        <v>5329.06430349102</v>
      </c>
      <c r="J18" s="166" t="n">
        <f aca="false">SUM(Wheatland!J16,Wilton!J16,Gleason!J16)</f>
        <v>5488.93623259575</v>
      </c>
      <c r="K18" s="166" t="n">
        <f aca="false">SUM(Wheatland!K16,Wilton!K16,Gleason!K16)</f>
        <v>5653.60431957362</v>
      </c>
      <c r="L18" s="166" t="n">
        <f aca="false">SUM(Wheatland!L16,Wilton!L16,Gleason!L16)</f>
        <v>5823.21244916083</v>
      </c>
      <c r="M18" s="166" t="n">
        <f aca="false">SUM(Wheatland!M16,Wilton!M16,Gleason!M16)</f>
        <v>5997.90882263566</v>
      </c>
      <c r="N18" s="166" t="n">
        <f aca="false">SUM(Wheatland!N16,Wilton!N16,Gleason!N16)</f>
        <v>6177.84608731473</v>
      </c>
      <c r="O18" s="166" t="n">
        <f aca="false">SUM(Wheatland!O16,Wilton!O16,Gleason!O16)</f>
        <v>6363.18146993417</v>
      </c>
      <c r="P18" s="166" t="n">
        <f aca="false">SUM(Wheatland!P16,Wilton!P16,Gleason!P16)</f>
        <v>6554.07691403219</v>
      </c>
      <c r="Q18" s="166" t="n">
        <f aca="false">SUM(Wheatland!Q16,Wilton!Q16,Gleason!Q16)</f>
        <v>6750.69922145316</v>
      </c>
      <c r="R18" s="166" t="n">
        <f aca="false">SUM(Wheatland!R16,Wilton!R16,Gleason!R16)</f>
        <v>6953.22019809676</v>
      </c>
      <c r="S18" s="166" t="n">
        <f aca="false">SUM(Wheatland!S16,Wilton!S16,Gleason!S16)</f>
        <v>7161.81680403966</v>
      </c>
      <c r="T18" s="166" t="n">
        <f aca="false">SUM(Wheatland!T16,Wilton!T16,Gleason!T16)</f>
        <v>7376.67130816085</v>
      </c>
      <c r="U18" s="166" t="n">
        <f aca="false">SUM(Wheatland!U16,Wilton!U16,Gleason!U16)</f>
        <v>7597.97144740567</v>
      </c>
      <c r="W18" s="167" t="n">
        <f aca="false">SUM(B18:U18)</f>
        <v>116429.788075214</v>
      </c>
      <c r="X18" s="170" t="n">
        <f aca="false">SUM(Wheatland!W16,Wilton!W16,Gleason!W16)</f>
        <v>116429.788075214</v>
      </c>
      <c r="Y18" s="170" t="n">
        <f aca="false">W18-X18</f>
        <v>0</v>
      </c>
    </row>
    <row r="19" customFormat="false" ht="12.75" hidden="false" customHeight="false" outlineLevel="0" collapsed="false">
      <c r="A19" s="169" t="s">
        <v>72</v>
      </c>
      <c r="B19" s="166" t="n">
        <f aca="false">SUM(Wheatland!B17,Wilton!B17,Gleason!B17)</f>
        <v>6373.04836310445</v>
      </c>
      <c r="C19" s="166" t="n">
        <f aca="false">SUM(Wheatland!C17,Wilton!C17,Gleason!C17)</f>
        <v>6564.23981399759</v>
      </c>
      <c r="D19" s="166" t="n">
        <f aca="false">SUM(Wheatland!D17,Wilton!D17,Gleason!D17)</f>
        <v>6761.16700841751</v>
      </c>
      <c r="E19" s="166" t="n">
        <f aca="false">SUM(Wheatland!E17,Wilton!E17,Gleason!E17)</f>
        <v>6964.00201867004</v>
      </c>
      <c r="F19" s="166" t="n">
        <f aca="false">SUM(Wheatland!F17,Wilton!F17,Gleason!F17)</f>
        <v>7172.92207923014</v>
      </c>
      <c r="G19" s="166" t="n">
        <f aca="false">SUM(Wheatland!G17,Wilton!G17,Gleason!G17)</f>
        <v>7388.10974160704</v>
      </c>
      <c r="H19" s="166" t="n">
        <f aca="false">SUM(Wheatland!H17,Wilton!H17,Gleason!H17)</f>
        <v>7609.75303385526</v>
      </c>
      <c r="I19" s="166" t="n">
        <f aca="false">SUM(Wheatland!I17,Wilton!I17,Gleason!I17)</f>
        <v>7838.04562487091</v>
      </c>
      <c r="J19" s="166" t="n">
        <f aca="false">SUM(Wheatland!J17,Wilton!J17,Gleason!J17)</f>
        <v>8073.18699361704</v>
      </c>
      <c r="K19" s="166" t="n">
        <f aca="false">SUM(Wheatland!K17,Wilton!K17,Gleason!K17)</f>
        <v>8315.38260342555</v>
      </c>
      <c r="L19" s="166" t="n">
        <f aca="false">SUM(Wheatland!L17,Wilton!L17,Gleason!L17)</f>
        <v>8564.84408152832</v>
      </c>
      <c r="M19" s="166" t="n">
        <f aca="false">SUM(Wheatland!M17,Wilton!M17,Gleason!M17)</f>
        <v>8821.78940397417</v>
      </c>
      <c r="N19" s="166" t="n">
        <f aca="false">SUM(Wheatland!N17,Wilton!N17,Gleason!N17)</f>
        <v>9086.4430860934</v>
      </c>
      <c r="O19" s="166" t="n">
        <f aca="false">SUM(Wheatland!O17,Wilton!O17,Gleason!O17)</f>
        <v>9359.0363786762</v>
      </c>
      <c r="P19" s="166" t="n">
        <f aca="false">SUM(Wheatland!P17,Wilton!P17,Gleason!P17)</f>
        <v>9639.80747003648</v>
      </c>
      <c r="Q19" s="166" t="n">
        <f aca="false">SUM(Wheatland!Q17,Wilton!Q17,Gleason!Q17)</f>
        <v>9929.00169413758</v>
      </c>
      <c r="R19" s="166" t="n">
        <f aca="false">SUM(Wheatland!R17,Wilton!R17,Gleason!R17)</f>
        <v>10226.8717449617</v>
      </c>
      <c r="S19" s="166" t="n">
        <f aca="false">SUM(Wheatland!S17,Wilton!S17,Gleason!S17)</f>
        <v>10533.6778973106</v>
      </c>
      <c r="T19" s="166" t="n">
        <f aca="false">SUM(Wheatland!T17,Wilton!T17,Gleason!T17)</f>
        <v>10849.6882342299</v>
      </c>
      <c r="U19" s="166" t="n">
        <f aca="false">SUM(Wheatland!U17,Wilton!U17,Gleason!U17)</f>
        <v>11175.1788812568</v>
      </c>
      <c r="W19" s="167" t="n">
        <f aca="false">SUM(B19:U19)</f>
        <v>171246.196153001</v>
      </c>
      <c r="X19" s="170" t="n">
        <f aca="false">SUM(Wheatland!W17,Wilton!W17,Gleason!W17)</f>
        <v>171246.196153001</v>
      </c>
      <c r="Y19" s="170" t="n">
        <f aca="false">W19-X19</f>
        <v>0</v>
      </c>
    </row>
    <row r="20" customFormat="false" ht="12.75" hidden="false" customHeight="false" outlineLevel="0" collapsed="false">
      <c r="A20" s="169" t="s">
        <v>109</v>
      </c>
      <c r="B20" s="166" t="n">
        <f aca="false">SUM(Wheatland!B18,Wilton!B18,Gleason!B18)</f>
        <v>1429.125</v>
      </c>
      <c r="C20" s="166" t="n">
        <f aca="false">SUM(Wheatland!C18,Wilton!C18,Gleason!C18)</f>
        <v>1471.99875</v>
      </c>
      <c r="D20" s="166" t="n">
        <f aca="false">SUM(Wheatland!D18,Wilton!D18,Gleason!D18)</f>
        <v>1516.1587125</v>
      </c>
      <c r="E20" s="166" t="n">
        <f aca="false">SUM(Wheatland!E18,Wilton!E18,Gleason!E18)</f>
        <v>1561.643473875</v>
      </c>
      <c r="F20" s="166" t="n">
        <f aca="false">SUM(Wheatland!F18,Wilton!F18,Gleason!F18)</f>
        <v>1608.49277809125</v>
      </c>
      <c r="G20" s="166" t="n">
        <f aca="false">SUM(Wheatland!G18,Wilton!G18,Gleason!G18)</f>
        <v>1656.74756143399</v>
      </c>
      <c r="H20" s="166" t="n">
        <f aca="false">SUM(Wheatland!H18,Wilton!H18,Gleason!H18)</f>
        <v>1706.44998827701</v>
      </c>
      <c r="I20" s="166" t="n">
        <f aca="false">SUM(Wheatland!I18,Wilton!I18,Gleason!I18)</f>
        <v>1757.64348792532</v>
      </c>
      <c r="J20" s="166" t="n">
        <f aca="false">SUM(Wheatland!J18,Wilton!J18,Gleason!J18)</f>
        <v>1810.37279256308</v>
      </c>
      <c r="K20" s="166" t="n">
        <f aca="false">SUM(Wheatland!K18,Wilton!K18,Gleason!K18)</f>
        <v>1864.68397633997</v>
      </c>
      <c r="L20" s="166" t="n">
        <f aca="false">SUM(Wheatland!L18,Wilton!L18,Gleason!L18)</f>
        <v>1920.62449563017</v>
      </c>
      <c r="M20" s="166" t="n">
        <f aca="false">SUM(Wheatland!M18,Wilton!M18,Gleason!M18)</f>
        <v>1978.24323049907</v>
      </c>
      <c r="N20" s="166" t="n">
        <f aca="false">SUM(Wheatland!N18,Wilton!N18,Gleason!N18)</f>
        <v>2037.59052741405</v>
      </c>
      <c r="O20" s="166" t="n">
        <f aca="false">SUM(Wheatland!O18,Wilton!O18,Gleason!O18)</f>
        <v>2098.71824323647</v>
      </c>
      <c r="P20" s="166" t="n">
        <f aca="false">SUM(Wheatland!P18,Wilton!P18,Gleason!P18)</f>
        <v>2161.67979053356</v>
      </c>
      <c r="Q20" s="166" t="n">
        <f aca="false">SUM(Wheatland!Q18,Wilton!Q18,Gleason!Q18)</f>
        <v>2226.53018424957</v>
      </c>
      <c r="R20" s="166" t="n">
        <f aca="false">SUM(Wheatland!R18,Wilton!R18,Gleason!R18)</f>
        <v>2293.32608977706</v>
      </c>
      <c r="S20" s="166" t="n">
        <f aca="false">SUM(Wheatland!S18,Wilton!S18,Gleason!S18)</f>
        <v>2362.12587247037</v>
      </c>
      <c r="T20" s="166" t="n">
        <f aca="false">SUM(Wheatland!T18,Wilton!T18,Gleason!T18)</f>
        <v>2432.98964864448</v>
      </c>
      <c r="U20" s="166" t="n">
        <f aca="false">SUM(Wheatland!U18,Wilton!U18,Gleason!U18)</f>
        <v>2505.97933810381</v>
      </c>
      <c r="W20" s="167" t="n">
        <f aca="false">SUM(B20:U20)</f>
        <v>38401.1239415642</v>
      </c>
      <c r="X20" s="170" t="n">
        <f aca="false">SUM(Wheatland!W18,Wilton!W18,Gleason!W18)</f>
        <v>38401.1239415642</v>
      </c>
      <c r="Y20" s="170" t="n">
        <f aca="false">W20-X20</f>
        <v>0</v>
      </c>
    </row>
    <row r="21" customFormat="false" ht="12.75" hidden="false" customHeight="false" outlineLevel="0" collapsed="false">
      <c r="A21" s="169" t="s">
        <v>74</v>
      </c>
      <c r="B21" s="166" t="n">
        <f aca="false">SUM(Wheatland!B19,Wilton!B19,Gleason!B19)</f>
        <v>1060.04098</v>
      </c>
      <c r="C21" s="166" t="n">
        <f aca="false">SUM(Wheatland!C19,Wilton!C19,Gleason!C19)</f>
        <v>1091.8422094</v>
      </c>
      <c r="D21" s="166" t="n">
        <f aca="false">SUM(Wheatland!D19,Wilton!D19,Gleason!D19)</f>
        <v>1124.597475682</v>
      </c>
      <c r="E21" s="166" t="n">
        <f aca="false">SUM(Wheatland!E19,Wilton!E19,Gleason!E19)</f>
        <v>1158.33539995246</v>
      </c>
      <c r="F21" s="166" t="n">
        <f aca="false">SUM(Wheatland!F19,Wilton!F19,Gleason!F19)</f>
        <v>1193.08546195103</v>
      </c>
      <c r="G21" s="166" t="n">
        <f aca="false">SUM(Wheatland!G19,Wilton!G19,Gleason!G19)</f>
        <v>1228.87802580956</v>
      </c>
      <c r="H21" s="166" t="n">
        <f aca="false">SUM(Wheatland!H19,Wilton!H19,Gleason!H19)</f>
        <v>1265.74436658385</v>
      </c>
      <c r="I21" s="166" t="n">
        <f aca="false">SUM(Wheatland!I19,Wilton!I19,Gleason!I19)</f>
        <v>1303.71669758137</v>
      </c>
      <c r="J21" s="166" t="n">
        <f aca="false">SUM(Wheatland!J19,Wilton!J19,Gleason!J19)</f>
        <v>1342.82819850881</v>
      </c>
      <c r="K21" s="166" t="n">
        <f aca="false">SUM(Wheatland!K19,Wilton!K19,Gleason!K19)</f>
        <v>1383.11304446407</v>
      </c>
      <c r="L21" s="166" t="n">
        <f aca="false">SUM(Wheatland!L19,Wilton!L19,Gleason!L19)</f>
        <v>1424.606435798</v>
      </c>
      <c r="M21" s="166" t="n">
        <f aca="false">SUM(Wheatland!M19,Wilton!M19,Gleason!M19)</f>
        <v>1467.34462887194</v>
      </c>
      <c r="N21" s="166" t="n">
        <f aca="false">SUM(Wheatland!N19,Wilton!N19,Gleason!N19)</f>
        <v>1511.36496773809</v>
      </c>
      <c r="O21" s="166" t="n">
        <f aca="false">SUM(Wheatland!O19,Wilton!O19,Gleason!O19)</f>
        <v>1556.70591677024</v>
      </c>
      <c r="P21" s="166" t="n">
        <f aca="false">SUM(Wheatland!P19,Wilton!P19,Gleason!P19)</f>
        <v>1603.40709427334</v>
      </c>
      <c r="Q21" s="166" t="n">
        <f aca="false">SUM(Wheatland!Q19,Wilton!Q19,Gleason!Q19)</f>
        <v>1651.50930710154</v>
      </c>
      <c r="R21" s="166" t="n">
        <f aca="false">SUM(Wheatland!R19,Wilton!R19,Gleason!R19)</f>
        <v>1701.05458631459</v>
      </c>
      <c r="S21" s="166" t="n">
        <f aca="false">SUM(Wheatland!S19,Wilton!S19,Gleason!S19)</f>
        <v>1752.08622390403</v>
      </c>
      <c r="T21" s="166" t="n">
        <f aca="false">SUM(Wheatland!T19,Wilton!T19,Gleason!T19)</f>
        <v>1804.64881062115</v>
      </c>
      <c r="U21" s="166" t="n">
        <f aca="false">SUM(Wheatland!U19,Wilton!U19,Gleason!U19)</f>
        <v>1858.78827493978</v>
      </c>
      <c r="W21" s="167" t="n">
        <f aca="false">SUM(B21:U21)</f>
        <v>28483.6981062659</v>
      </c>
      <c r="X21" s="170" t="n">
        <f aca="false">SUM(Wheatland!W19,Wilton!W19,Gleason!W19)</f>
        <v>28483.6981062659</v>
      </c>
      <c r="Y21" s="170" t="n">
        <f aca="false">W21-X21</f>
        <v>0</v>
      </c>
    </row>
    <row r="22" customFormat="false" ht="14.25" hidden="false" customHeight="true" outlineLevel="0" collapsed="false">
      <c r="A22" s="169" t="s">
        <v>110</v>
      </c>
      <c r="B22" s="166" t="n">
        <f aca="false">SUM(Wheatland!B20,Wilton!B20,Gleason!B20)</f>
        <v>746.46</v>
      </c>
      <c r="C22" s="166" t="n">
        <f aca="false">SUM(Wheatland!C20,Wilton!C20,Gleason!C20)</f>
        <v>1050.307</v>
      </c>
      <c r="D22" s="166" t="n">
        <f aca="false">SUM(Wheatland!D20,Wilton!D20,Gleason!D20)</f>
        <v>1248.093</v>
      </c>
      <c r="E22" s="166" t="n">
        <f aca="false">SUM(Wheatland!E20,Wilton!E20,Gleason!E20)</f>
        <v>1339.135</v>
      </c>
      <c r="F22" s="166" t="n">
        <f aca="false">SUM(Wheatland!F20,Wilton!F20,Gleason!F20)</f>
        <v>1401.501</v>
      </c>
      <c r="G22" s="166" t="n">
        <f aca="false">SUM(Wheatland!G20,Wilton!G20,Gleason!G20)</f>
        <v>1623.537</v>
      </c>
      <c r="H22" s="166" t="n">
        <f aca="false">SUM(Wheatland!H20,Wilton!H20,Gleason!H20)</f>
        <v>1795.939</v>
      </c>
      <c r="I22" s="166" t="n">
        <f aca="false">SUM(Wheatland!I20,Wilton!I20,Gleason!I20)</f>
        <v>1908.112</v>
      </c>
      <c r="J22" s="166" t="n">
        <f aca="false">SUM(Wheatland!J20,Wilton!J20,Gleason!J20)</f>
        <v>1920.18</v>
      </c>
      <c r="K22" s="166" t="n">
        <f aca="false">SUM(Wheatland!K20,Wilton!K20,Gleason!K20)</f>
        <v>1854.138</v>
      </c>
      <c r="L22" s="166" t="n">
        <f aca="false">SUM(Wheatland!L20,Wilton!L20,Gleason!L20)</f>
        <v>2009.213</v>
      </c>
      <c r="M22" s="166" t="n">
        <f aca="false">SUM(Wheatland!M20,Wilton!M20,Gleason!M20)</f>
        <v>2009.18</v>
      </c>
      <c r="N22" s="166" t="n">
        <f aca="false">SUM(Wheatland!N20,Wilton!N20,Gleason!N20)</f>
        <v>2358.1</v>
      </c>
      <c r="O22" s="166" t="n">
        <f aca="false">SUM(Wheatland!O20,Wilton!O20,Gleason!O20)</f>
        <v>2358.1</v>
      </c>
      <c r="P22" s="166" t="n">
        <f aca="false">SUM(Wheatland!P20,Wilton!P20,Gleason!P20)</f>
        <v>2794.25</v>
      </c>
      <c r="Q22" s="166" t="n">
        <f aca="false">SUM(Wheatland!Q20,Wilton!Q20,Gleason!Q20)</f>
        <v>2229.731045</v>
      </c>
      <c r="R22" s="166" t="n">
        <f aca="false">SUM(Wheatland!R20,Wilton!R20,Gleason!R20)</f>
        <v>2244.6096659</v>
      </c>
      <c r="S22" s="166" t="n">
        <f aca="false">SUM(Wheatland!S20,Wilton!S20,Gleason!S20)</f>
        <v>2259.785859218</v>
      </c>
      <c r="T22" s="166" t="n">
        <f aca="false">SUM(Wheatland!T20,Wilton!T20,Gleason!T20)</f>
        <v>2275.26557640236</v>
      </c>
      <c r="U22" s="166" t="n">
        <f aca="false">SUM(Wheatland!U20,Wilton!U20,Gleason!U20)</f>
        <v>2291.05488793041</v>
      </c>
      <c r="W22" s="167" t="n">
        <f aca="false">SUM(B22:U22)</f>
        <v>37716.6920344508</v>
      </c>
      <c r="X22" s="170" t="n">
        <f aca="false">SUM(Wheatland!W20,Wilton!W20,Gleason!W20)</f>
        <v>37716.6920344508</v>
      </c>
      <c r="Y22" s="170" t="n">
        <f aca="false">W22-X22</f>
        <v>0</v>
      </c>
    </row>
    <row r="23" customFormat="false" ht="12.75" hidden="false" customHeight="false" outlineLevel="0" collapsed="false">
      <c r="A23" s="169" t="s">
        <v>111</v>
      </c>
      <c r="B23" s="171" t="n">
        <f aca="false">SUM(Wheatland!B21,Wilton!B21,Gleason!B21)</f>
        <v>857.793278519784</v>
      </c>
      <c r="C23" s="171" t="n">
        <f aca="false">SUM(Wheatland!C21,Wilton!C21,Gleason!C21)</f>
        <v>739.539431162025</v>
      </c>
      <c r="D23" s="171" t="n">
        <f aca="false">SUM(Wheatland!D21,Wilton!D21,Gleason!D21)</f>
        <v>722.052860376437</v>
      </c>
      <c r="E23" s="171" t="n">
        <f aca="false">SUM(Wheatland!E21,Wilton!E21,Gleason!E21)</f>
        <v>704.566289590849</v>
      </c>
      <c r="F23" s="171" t="n">
        <f aca="false">SUM(Wheatland!F21,Wilton!F21,Gleason!F21)</f>
        <v>687.079718805261</v>
      </c>
      <c r="G23" s="171" t="n">
        <f aca="false">SUM(Wheatland!G21,Wilton!G21,Gleason!G21)</f>
        <v>669.593148019673</v>
      </c>
      <c r="H23" s="171" t="n">
        <f aca="false">SUM(Wheatland!H21,Wilton!H21,Gleason!H21)</f>
        <v>652.106577234086</v>
      </c>
      <c r="I23" s="171" t="n">
        <f aca="false">SUM(Wheatland!I21,Wilton!I21,Gleason!I21)</f>
        <v>634.620006448498</v>
      </c>
      <c r="J23" s="171" t="n">
        <f aca="false">SUM(Wheatland!J21,Wilton!J21,Gleason!J21)</f>
        <v>617.13343566291</v>
      </c>
      <c r="K23" s="171" t="n">
        <f aca="false">SUM(Wheatland!K21,Wilton!K21,Gleason!K21)</f>
        <v>599.646864877322</v>
      </c>
      <c r="L23" s="171" t="n">
        <f aca="false">SUM(Wheatland!L21,Wilton!L21,Gleason!L21)</f>
        <v>582.160294091734</v>
      </c>
      <c r="M23" s="171" t="n">
        <f aca="false">SUM(Wheatland!M21,Wilton!M21,Gleason!M21)</f>
        <v>564.673723306146</v>
      </c>
      <c r="N23" s="171" t="n">
        <f aca="false">SUM(Wheatland!N21,Wilton!N21,Gleason!N21)</f>
        <v>547.187152520558</v>
      </c>
      <c r="O23" s="171" t="n">
        <f aca="false">SUM(Wheatland!O21,Wilton!O21,Gleason!O21)</f>
        <v>529.70058173497</v>
      </c>
      <c r="P23" s="171" t="n">
        <f aca="false">SUM(Wheatland!P21,Wilton!P21,Gleason!P21)</f>
        <v>512.214010949382</v>
      </c>
      <c r="Q23" s="171" t="n">
        <f aca="false">SUM(Wheatland!Q21,Wilton!Q21,Gleason!Q21)</f>
        <v>494.727440163794</v>
      </c>
      <c r="R23" s="171" t="n">
        <f aca="false">SUM(Wheatland!R21,Wilton!R21,Gleason!R21)</f>
        <v>477.240869378206</v>
      </c>
      <c r="S23" s="171" t="n">
        <f aca="false">SUM(Wheatland!S21,Wilton!S21,Gleason!S21)</f>
        <v>459.754298592618</v>
      </c>
      <c r="T23" s="171" t="n">
        <f aca="false">SUM(Wheatland!T21,Wilton!T21,Gleason!T21)</f>
        <v>442.267727807031</v>
      </c>
      <c r="U23" s="171" t="n">
        <f aca="false">SUM(Wheatland!U21,Wilton!U21,Gleason!U21)</f>
        <v>424.781157021443</v>
      </c>
      <c r="V23" s="164"/>
      <c r="W23" s="167" t="n">
        <f aca="false">SUM(B23:U23)</f>
        <v>11918.8388662627</v>
      </c>
      <c r="X23" s="170" t="n">
        <f aca="false">SUM(Wheatland!W21,Wilton!W21,Gleason!W21)</f>
        <v>11918.8388662627</v>
      </c>
      <c r="Y23" s="170" t="n">
        <f aca="false">W23-X23</f>
        <v>0</v>
      </c>
    </row>
    <row r="24" customFormat="false" ht="12.75" hidden="false" customHeight="false" outlineLevel="0" collapsed="false">
      <c r="A24" s="169" t="s">
        <v>112</v>
      </c>
      <c r="B24" s="166" t="n">
        <f aca="false">SUM(B18:B23)</f>
        <v>14799.4845701957</v>
      </c>
      <c r="C24" s="166" t="n">
        <f aca="false">SUM(C18:C23)</f>
        <v>15380.9346615882</v>
      </c>
      <c r="D24" s="166" t="n">
        <f aca="false">SUM(D18:D23)</f>
        <v>15968.9667377154</v>
      </c>
      <c r="E24" s="166" t="n">
        <f aca="false">SUM(E18:E23)</f>
        <v>16462.48679325</v>
      </c>
      <c r="F24" s="166" t="n">
        <f aca="false">SUM(F18:F23)</f>
        <v>16939.9297875741</v>
      </c>
      <c r="G24" s="166" t="n">
        <f aca="false">SUM(G18:G23)</f>
        <v>17590.0196888516</v>
      </c>
      <c r="H24" s="166" t="n">
        <f aca="false">SUM(H18:H23)</f>
        <v>18203.841804291</v>
      </c>
      <c r="I24" s="166" t="n">
        <f aca="false">SUM(I18:I23)</f>
        <v>18771.2021203171</v>
      </c>
      <c r="J24" s="166" t="n">
        <f aca="false">SUM(J18:J23)</f>
        <v>19252.6376529476</v>
      </c>
      <c r="K24" s="166" t="n">
        <f aca="false">SUM(K18:K23)</f>
        <v>19670.5688086805</v>
      </c>
      <c r="L24" s="166" t="n">
        <f aca="false">SUM(L18:L23)</f>
        <v>20324.660756209</v>
      </c>
      <c r="M24" s="166" t="n">
        <f aca="false">SUM(M18:M23)</f>
        <v>20839.139809287</v>
      </c>
      <c r="N24" s="166" t="n">
        <f aca="false">SUM(N18:N23)</f>
        <v>21718.5318210808</v>
      </c>
      <c r="O24" s="166" t="n">
        <f aca="false">SUM(O18:O23)</f>
        <v>22265.442590352</v>
      </c>
      <c r="P24" s="166" t="n">
        <f aca="false">SUM(P18:P23)</f>
        <v>23265.435279825</v>
      </c>
      <c r="Q24" s="166" t="n">
        <f aca="false">SUM(Q18:Q23)</f>
        <v>23282.1988921056</v>
      </c>
      <c r="R24" s="166" t="n">
        <f aca="false">SUM(R18:R23)</f>
        <v>23896.3231544283</v>
      </c>
      <c r="S24" s="166" t="n">
        <f aca="false">SUM(S18:S23)</f>
        <v>24529.2469555352</v>
      </c>
      <c r="T24" s="166" t="n">
        <f aca="false">SUM(T18:T23)</f>
        <v>25181.5313058657</v>
      </c>
      <c r="U24" s="166" t="n">
        <f aca="false">SUM(U18:U23)</f>
        <v>25853.7539866579</v>
      </c>
      <c r="W24" s="167" t="n">
        <f aca="false">SUM(B24:U24)</f>
        <v>404196.337176758</v>
      </c>
      <c r="X24" s="170" t="n">
        <f aca="false">SUM(Wheatland!W22,Wilton!W22,Gleason!W22)</f>
        <v>404196.337176758</v>
      </c>
      <c r="Y24" s="170" t="n">
        <f aca="false">W24-X24</f>
        <v>0</v>
      </c>
    </row>
    <row r="25" customFormat="false" ht="12.75" hidden="false" customHeight="false" outlineLevel="0" collapsed="false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W25" s="167"/>
      <c r="X25" s="168"/>
      <c r="Y25" s="168"/>
    </row>
    <row r="26" customFormat="false" ht="12.75" hidden="false" customHeight="false" outlineLevel="0" collapsed="false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W26" s="167"/>
      <c r="X26" s="168"/>
      <c r="Y26" s="168"/>
    </row>
    <row r="27" customFormat="false" ht="12.75" hidden="false" customHeight="false" outlineLevel="0" collapsed="false">
      <c r="A27" s="163" t="s">
        <v>113</v>
      </c>
      <c r="B27" s="177" t="n">
        <f aca="false">B15-B24</f>
        <v>102592.929720534</v>
      </c>
      <c r="C27" s="177" t="n">
        <f aca="false">C15-C24</f>
        <v>107696.188803543</v>
      </c>
      <c r="D27" s="177" t="n">
        <f aca="false">D15-D24</f>
        <v>113071.535571207</v>
      </c>
      <c r="E27" s="177" t="n">
        <f aca="false">E15-E24</f>
        <v>118835.091978481</v>
      </c>
      <c r="F27" s="177" t="n">
        <f aca="false">F15-F24</f>
        <v>124921.890725523</v>
      </c>
      <c r="G27" s="177" t="n">
        <f aca="false">G15-G24</f>
        <v>126904.420512422</v>
      </c>
      <c r="H27" s="177" t="n">
        <f aca="false">H15-H24</f>
        <v>128975.407841598</v>
      </c>
      <c r="I27" s="177" t="n">
        <f aca="false">I15-I24</f>
        <v>131146.23840621</v>
      </c>
      <c r="J27" s="177" t="n">
        <f aca="false">J15-J24</f>
        <v>133457.955665814</v>
      </c>
      <c r="K27" s="177" t="n">
        <f aca="false">K15-K24</f>
        <v>135888.96959826</v>
      </c>
      <c r="L27" s="177" t="n">
        <f aca="false">L15-L24</f>
        <v>138042.99670688</v>
      </c>
      <c r="M27" s="177" t="n">
        <f aca="false">M15-M24</f>
        <v>140391.993028082</v>
      </c>
      <c r="N27" s="177" t="n">
        <f aca="false">N15-N24</f>
        <v>142426.202046786</v>
      </c>
      <c r="O27" s="177" t="n">
        <f aca="false">O15-O24</f>
        <v>144852.83411165</v>
      </c>
      <c r="P27" s="177" t="n">
        <f aca="false">P15-P24</f>
        <v>146877.628560668</v>
      </c>
      <c r="Q27" s="177" t="n">
        <f aca="false">Q15-Q24</f>
        <v>149568.707951512</v>
      </c>
      <c r="R27" s="177" t="n">
        <f aca="false">R15-R24</f>
        <v>151700.250089156</v>
      </c>
      <c r="S27" s="177" t="n">
        <f aca="false">S15-S24</f>
        <v>153858.868833618</v>
      </c>
      <c r="T27" s="177" t="n">
        <f aca="false">T15-T24</f>
        <v>156044.833460298</v>
      </c>
      <c r="U27" s="177" t="n">
        <f aca="false">U15-U24</f>
        <v>158258.413203853</v>
      </c>
      <c r="W27" s="167" t="n">
        <f aca="false">SUM(B27:U27)</f>
        <v>2705513.3568161</v>
      </c>
      <c r="X27" s="170" t="n">
        <f aca="false">SUM(Wheatland!W25,Wilton!W25,Gleason!W25)</f>
        <v>2705513.3568161</v>
      </c>
      <c r="Y27" s="170" t="n">
        <f aca="false">W27-X27</f>
        <v>0</v>
      </c>
    </row>
    <row r="28" customFormat="false" ht="12.75" hidden="false" customHeight="false" outlineLevel="0" collapsed="false">
      <c r="A28" s="163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W28" s="167"/>
      <c r="X28" s="168"/>
      <c r="Y28" s="168"/>
    </row>
    <row r="29" customFormat="false" ht="12.75" hidden="false" customHeight="false" outlineLevel="0" collapsed="false">
      <c r="A29" s="169" t="s">
        <v>114</v>
      </c>
      <c r="B29" s="166" t="n">
        <f aca="false">Depreciation!C34</f>
        <v>23697.6543571074</v>
      </c>
      <c r="C29" s="166" t="n">
        <f aca="false">Depreciation!D34</f>
        <v>23697.6543571074</v>
      </c>
      <c r="D29" s="166" t="n">
        <f aca="false">Depreciation!E34</f>
        <v>23697.6543571074</v>
      </c>
      <c r="E29" s="166" t="n">
        <f aca="false">Depreciation!F34</f>
        <v>23697.6543571074</v>
      </c>
      <c r="F29" s="166" t="n">
        <f aca="false">Depreciation!G34</f>
        <v>23697.6543571074</v>
      </c>
      <c r="G29" s="166" t="n">
        <f aca="false">Depreciation!H34</f>
        <v>23697.6543571074</v>
      </c>
      <c r="H29" s="166" t="n">
        <f aca="false">Depreciation!I34</f>
        <v>23697.6543571074</v>
      </c>
      <c r="I29" s="166" t="n">
        <f aca="false">Depreciation!J34</f>
        <v>23697.6543571074</v>
      </c>
      <c r="J29" s="166" t="n">
        <f aca="false">Depreciation!K34</f>
        <v>23697.6543571074</v>
      </c>
      <c r="K29" s="166" t="n">
        <f aca="false">Depreciation!L34</f>
        <v>23697.6543571074</v>
      </c>
      <c r="L29" s="166" t="n">
        <f aca="false">Depreciation!M34</f>
        <v>23697.6543571074</v>
      </c>
      <c r="M29" s="166" t="n">
        <f aca="false">Depreciation!N34</f>
        <v>23697.6543571074</v>
      </c>
      <c r="N29" s="166" t="n">
        <f aca="false">Depreciation!O34</f>
        <v>23697.6543571074</v>
      </c>
      <c r="O29" s="166" t="n">
        <f aca="false">Depreciation!P34</f>
        <v>23697.6543571074</v>
      </c>
      <c r="P29" s="166" t="n">
        <f aca="false">Depreciation!Q34</f>
        <v>23697.6543571074</v>
      </c>
      <c r="Q29" s="166" t="n">
        <f aca="false">Depreciation!R34</f>
        <v>23697.6543571074</v>
      </c>
      <c r="R29" s="166" t="n">
        <f aca="false">Depreciation!S34</f>
        <v>23697.6543571074</v>
      </c>
      <c r="S29" s="166" t="n">
        <f aca="false">Depreciation!T34</f>
        <v>23697.6543571074</v>
      </c>
      <c r="T29" s="166" t="n">
        <f aca="false">Depreciation!U34</f>
        <v>23697.6543571074</v>
      </c>
      <c r="U29" s="166" t="n">
        <f aca="false">Depreciation!V34</f>
        <v>23697.6543571074</v>
      </c>
      <c r="W29" s="167" t="n">
        <f aca="false">SUM(B29:U29)</f>
        <v>473953.087142148</v>
      </c>
      <c r="X29" s="170" t="n">
        <f aca="false">SUM(Wheatland!W27,Wilton!W27,Gleason!W27)</f>
        <v>473953.087142148</v>
      </c>
      <c r="Y29" s="170" t="n">
        <f aca="false">W29-X29</f>
        <v>0</v>
      </c>
    </row>
    <row r="30" customFormat="false" ht="12.75" hidden="false" customHeight="false" outlineLevel="0" collapsed="false">
      <c r="A30" s="169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W30" s="167"/>
      <c r="X30" s="168"/>
      <c r="Y30" s="168"/>
    </row>
    <row r="31" customFormat="false" ht="12.75" hidden="false" customHeight="false" outlineLevel="0" collapsed="false">
      <c r="A31" s="163" t="s">
        <v>115</v>
      </c>
      <c r="B31" s="177" t="n">
        <f aca="false">B27-B29</f>
        <v>78895.2753634266</v>
      </c>
      <c r="C31" s="177" t="n">
        <f aca="false">C27-C29</f>
        <v>83998.5344464352</v>
      </c>
      <c r="D31" s="177" t="n">
        <f aca="false">D27-D29</f>
        <v>89373.8812140993</v>
      </c>
      <c r="E31" s="177" t="n">
        <f aca="false">E27-E29</f>
        <v>95137.4376213735</v>
      </c>
      <c r="F31" s="177" t="n">
        <f aca="false">F27-F29</f>
        <v>101224.236368416</v>
      </c>
      <c r="G31" s="177" t="n">
        <f aca="false">G27-G29</f>
        <v>103206.766155314</v>
      </c>
      <c r="H31" s="177" t="n">
        <f aca="false">H27-H29</f>
        <v>105277.75348449</v>
      </c>
      <c r="I31" s="177" t="n">
        <f aca="false">I27-I29</f>
        <v>107448.584049103</v>
      </c>
      <c r="J31" s="177" t="n">
        <f aca="false">J27-J29</f>
        <v>109760.301308706</v>
      </c>
      <c r="K31" s="177" t="n">
        <f aca="false">K27-K29</f>
        <v>112191.315241152</v>
      </c>
      <c r="L31" s="177" t="n">
        <f aca="false">L27-L29</f>
        <v>114345.342349773</v>
      </c>
      <c r="M31" s="177" t="n">
        <f aca="false">M27-M29</f>
        <v>116694.338670975</v>
      </c>
      <c r="N31" s="177" t="n">
        <f aca="false">N27-N29</f>
        <v>118728.547689679</v>
      </c>
      <c r="O31" s="177" t="n">
        <f aca="false">O27-O29</f>
        <v>121155.179754542</v>
      </c>
      <c r="P31" s="177" t="n">
        <f aca="false">P27-P29</f>
        <v>123179.974203561</v>
      </c>
      <c r="Q31" s="177" t="n">
        <f aca="false">Q27-Q29</f>
        <v>125871.053594404</v>
      </c>
      <c r="R31" s="177" t="n">
        <f aca="false">R27-R29</f>
        <v>128002.595732049</v>
      </c>
      <c r="S31" s="177" t="n">
        <f aca="false">S27-S29</f>
        <v>130161.21447651</v>
      </c>
      <c r="T31" s="177" t="n">
        <f aca="false">T27-T29</f>
        <v>132347.179103191</v>
      </c>
      <c r="U31" s="177" t="n">
        <f aca="false">U27-U29</f>
        <v>134560.758846746</v>
      </c>
      <c r="W31" s="167" t="n">
        <f aca="false">SUM(B31:U31)</f>
        <v>2231560.26967395</v>
      </c>
      <c r="X31" s="170" t="n">
        <f aca="false">SUM(Wheatland!W29,Wilton!W29,Gleason!W29)</f>
        <v>2231560.26967395</v>
      </c>
      <c r="Y31" s="170" t="n">
        <f aca="false">W31-X31</f>
        <v>0</v>
      </c>
    </row>
    <row r="32" customFormat="false" ht="12.75" hidden="false" customHeight="false" outlineLevel="0" collapsed="false">
      <c r="A32" s="163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W32" s="167"/>
      <c r="X32" s="168"/>
      <c r="Y32" s="168"/>
    </row>
    <row r="33" customFormat="false" ht="12.75" hidden="false" customHeight="false" outlineLevel="0" collapsed="false">
      <c r="A33" s="169" t="s">
        <v>116</v>
      </c>
      <c r="B33" s="166" t="n">
        <f aca="false">Debt!B91</f>
        <v>38555.0579130349</v>
      </c>
      <c r="C33" s="166" t="n">
        <f aca="false">Debt!C91</f>
        <v>37876.1156798138</v>
      </c>
      <c r="D33" s="166" t="n">
        <f aca="false">Debt!D91</f>
        <v>36983.9264599206</v>
      </c>
      <c r="E33" s="166" t="n">
        <f aca="false">Debt!E91</f>
        <v>36061.2567125531</v>
      </c>
      <c r="F33" s="166" t="n">
        <f aca="false">Debt!F91</f>
        <v>34779.7742947844</v>
      </c>
      <c r="G33" s="166" t="n">
        <f aca="false">Debt!G91</f>
        <v>33456.3905548036</v>
      </c>
      <c r="H33" s="166" t="n">
        <f aca="false">Debt!H91</f>
        <v>32098.8328584422</v>
      </c>
      <c r="I33" s="166" t="n">
        <f aca="false">Debt!I91</f>
        <v>30776.0611774949</v>
      </c>
      <c r="J33" s="166" t="n">
        <f aca="false">Debt!J91</f>
        <v>29217.8948724381</v>
      </c>
      <c r="K33" s="166" t="n">
        <f aca="false">Debt!K91</f>
        <v>27659.1298453169</v>
      </c>
      <c r="L33" s="166" t="n">
        <f aca="false">Debt!L91</f>
        <v>25992.5963564682</v>
      </c>
      <c r="M33" s="166" t="n">
        <f aca="false">Debt!M91</f>
        <v>24255.4394217659</v>
      </c>
      <c r="N33" s="166" t="n">
        <f aca="false">Debt!N91</f>
        <v>22246.9232464339</v>
      </c>
      <c r="O33" s="166" t="n">
        <f aca="false">Debt!O91</f>
        <v>20151.2667244901</v>
      </c>
      <c r="P33" s="166" t="n">
        <f aca="false">Debt!P91</f>
        <v>17877.1137419302</v>
      </c>
      <c r="Q33" s="166" t="n">
        <f aca="false">Debt!Q91</f>
        <v>15445.9632637372</v>
      </c>
      <c r="R33" s="166" t="n">
        <f aca="false">Debt!R91</f>
        <v>12690.0972861328</v>
      </c>
      <c r="S33" s="166" t="n">
        <f aca="false">Debt!S91</f>
        <v>9721.73345248459</v>
      </c>
      <c r="T33" s="166" t="n">
        <f aca="false">Debt!T91</f>
        <v>6463.78551436002</v>
      </c>
      <c r="U33" s="166" t="n">
        <f aca="false">Debt!U91</f>
        <v>2889.78540637918</v>
      </c>
      <c r="W33" s="167" t="n">
        <f aca="false">SUM(B33:U33)</f>
        <v>495199.144782784</v>
      </c>
      <c r="X33" s="170" t="n">
        <f aca="false">SUM(Wheatland!W31,Wilton!W31,Gleason!W31)</f>
        <v>495199.144782784</v>
      </c>
      <c r="Y33" s="170" t="n">
        <f aca="false">W33-X33</f>
        <v>0</v>
      </c>
    </row>
    <row r="34" customFormat="false" ht="12.75" hidden="false" customHeight="false" outlineLevel="0" collapsed="false">
      <c r="A34" s="4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W34" s="167"/>
      <c r="X34" s="168"/>
      <c r="Y34" s="168"/>
    </row>
    <row r="35" customFormat="false" ht="12.75" hidden="false" customHeight="false" outlineLevel="0" collapsed="false">
      <c r="A35" s="163" t="s">
        <v>117</v>
      </c>
      <c r="B35" s="177" t="n">
        <f aca="false">B31-B33</f>
        <v>40340.2174503917</v>
      </c>
      <c r="C35" s="177" t="n">
        <f aca="false">C31-C33</f>
        <v>46122.4187666213</v>
      </c>
      <c r="D35" s="177" t="n">
        <f aca="false">D31-D33</f>
        <v>52389.9547541787</v>
      </c>
      <c r="E35" s="177" t="n">
        <f aca="false">E31-E33</f>
        <v>59076.1809088205</v>
      </c>
      <c r="F35" s="177" t="n">
        <f aca="false">F31-F33</f>
        <v>66444.4620736315</v>
      </c>
      <c r="G35" s="177" t="n">
        <f aca="false">G31-G33</f>
        <v>69750.3756005109</v>
      </c>
      <c r="H35" s="177" t="n">
        <f aca="false">H31-H33</f>
        <v>73178.920626048</v>
      </c>
      <c r="I35" s="177" t="n">
        <f aca="false">I31-I33</f>
        <v>76672.5228716082</v>
      </c>
      <c r="J35" s="177" t="n">
        <f aca="false">J31-J33</f>
        <v>80542.4064362682</v>
      </c>
      <c r="K35" s="177" t="n">
        <f aca="false">K31-K33</f>
        <v>84532.1853958354</v>
      </c>
      <c r="L35" s="177" t="n">
        <f aca="false">L31-L33</f>
        <v>88352.7459933048</v>
      </c>
      <c r="M35" s="177" t="n">
        <f aca="false">M31-M33</f>
        <v>92438.8992492087</v>
      </c>
      <c r="N35" s="177" t="n">
        <f aca="false">N31-N33</f>
        <v>96481.624443245</v>
      </c>
      <c r="O35" s="177" t="n">
        <f aca="false">O31-O33</f>
        <v>101003.913030052</v>
      </c>
      <c r="P35" s="177" t="n">
        <f aca="false">P31-P33</f>
        <v>105302.86046163</v>
      </c>
      <c r="Q35" s="177" t="n">
        <f aca="false">Q31-Q33</f>
        <v>110425.090330667</v>
      </c>
      <c r="R35" s="177" t="n">
        <f aca="false">R31-R33</f>
        <v>115312.498445916</v>
      </c>
      <c r="S35" s="177" t="n">
        <f aca="false">S31-S33</f>
        <v>120439.481024026</v>
      </c>
      <c r="T35" s="177" t="n">
        <f aca="false">T31-T33</f>
        <v>125883.393588831</v>
      </c>
      <c r="U35" s="177" t="n">
        <f aca="false">U31-U33</f>
        <v>131670.973440366</v>
      </c>
      <c r="W35" s="167" t="n">
        <f aca="false">SUM(B35:U35)</f>
        <v>1736361.12489116</v>
      </c>
      <c r="X35" s="170" t="n">
        <f aca="false">SUM(Wheatland!W33,Wilton!W33,Gleason!W33)</f>
        <v>1736361.12489116</v>
      </c>
      <c r="Y35" s="170" t="n">
        <f aca="false">W35-X35</f>
        <v>0</v>
      </c>
    </row>
    <row r="36" customFormat="false" ht="12.75" hidden="false" customHeight="false" outlineLevel="0" collapsed="false">
      <c r="A36" s="163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W36" s="167"/>
      <c r="X36" s="168"/>
      <c r="Y36" s="168"/>
    </row>
    <row r="37" customFormat="false" ht="12.75" hidden="false" customHeight="false" outlineLevel="0" collapsed="false">
      <c r="A37" s="169" t="s">
        <v>118</v>
      </c>
      <c r="B37" s="166" t="n">
        <f aca="false">Wheatland!B35+Wilton!B35+Gleason!B35</f>
        <v>-2398.38621633659</v>
      </c>
      <c r="C37" s="166" t="n">
        <f aca="false">Wheatland!C35+Wilton!C35+Gleason!C35</f>
        <v>-2745.88255525328</v>
      </c>
      <c r="D37" s="166" t="n">
        <f aca="false">Wheatland!D35+Wilton!D35+Gleason!D35</f>
        <v>-3120.80945055889</v>
      </c>
      <c r="E37" s="166" t="n">
        <f aca="false">Wheatland!E35+Wilton!E35+Gleason!E35</f>
        <v>-3520.26546671557</v>
      </c>
      <c r="F37" s="166" t="n">
        <f aca="false">Wheatland!F35+Wilton!F35+Gleason!F35</f>
        <v>-3959.92361105874</v>
      </c>
      <c r="G37" s="166" t="n">
        <f aca="false">Wheatland!G35+Wilton!G35+Gleason!G35</f>
        <v>-4160.22628636077</v>
      </c>
      <c r="H37" s="166" t="n">
        <f aca="false">Wheatland!H35+Wilton!H35+Gleason!H35</f>
        <v>-4368.79976723504</v>
      </c>
      <c r="I37" s="166" t="n">
        <f aca="false">Wheatland!I35+Wilton!I35+Gleason!I35</f>
        <v>-4580.36050546837</v>
      </c>
      <c r="J37" s="166" t="n">
        <f aca="false">Wheatland!J35+Wilton!J35+Gleason!J35</f>
        <v>-4813.00364525242</v>
      </c>
      <c r="K37" s="166" t="n">
        <f aca="false">Wheatland!K35+Wilton!K35+Gleason!K35</f>
        <v>-5051.65645404477</v>
      </c>
      <c r="L37" s="166" t="n">
        <f aca="false">Wheatland!L35+Wilton!L35+Gleason!L35</f>
        <v>-5288.2504923541</v>
      </c>
      <c r="M37" s="166" t="n">
        <f aca="false">Wheatland!M35+Wilton!M35+Gleason!M35</f>
        <v>-5538.588088746</v>
      </c>
      <c r="N37" s="166" t="n">
        <f aca="false">Wheatland!N35+Wilton!N35+Gleason!N35</f>
        <v>-5786.50836000558</v>
      </c>
      <c r="O37" s="166" t="n">
        <f aca="false">Wheatland!O35+Wilton!O35+Gleason!O35</f>
        <v>-6063.37570169508</v>
      </c>
      <c r="P37" s="166" t="n">
        <f aca="false">Wheatland!P35+Wilton!P35+Gleason!P35</f>
        <v>-6327.02914153115</v>
      </c>
      <c r="Q37" s="166" t="n">
        <f aca="false">Wheatland!Q35+Wilton!Q35+Gleason!Q35</f>
        <v>-6635.42949764626</v>
      </c>
      <c r="R37" s="166" t="n">
        <f aca="false">Wheatland!R35+Wilton!R35+Gleason!R35</f>
        <v>-6929.79247429256</v>
      </c>
      <c r="S37" s="166" t="n">
        <f aca="false">Wheatland!S35+Wilton!S35+Gleason!S35</f>
        <v>-7238.57097179042</v>
      </c>
      <c r="T37" s="166" t="n">
        <f aca="false">Wheatland!T35+Wilton!T35+Gleason!T35</f>
        <v>-7566.4145571583</v>
      </c>
      <c r="U37" s="166" t="n">
        <f aca="false">Wheatland!U35+Wilton!U35+Gleason!U35</f>
        <v>-7914.93060862442</v>
      </c>
      <c r="W37" s="167" t="n">
        <f aca="false">SUM(B37:U37)</f>
        <v>-104008.203852128</v>
      </c>
      <c r="X37" s="170" t="n">
        <f aca="false">SUM(Wheatland!W35,Wilton!W35,Gleason!W35)</f>
        <v>-104008.203852128</v>
      </c>
      <c r="Y37" s="170" t="n">
        <f aca="false">W37-X37</f>
        <v>0</v>
      </c>
    </row>
    <row r="38" customFormat="false" ht="12.75" hidden="false" customHeight="false" outlineLevel="0" collapsed="false">
      <c r="A38" s="169" t="s">
        <v>119</v>
      </c>
      <c r="B38" s="166" t="n">
        <f aca="false">Wheatland!B36+Wilton!B36+Gleason!B36</f>
        <v>-13279.6409319193</v>
      </c>
      <c r="C38" s="166" t="n">
        <f aca="false">Wheatland!C36+Wilton!C36+Gleason!C36</f>
        <v>-15181.7876739788</v>
      </c>
      <c r="D38" s="166" t="n">
        <f aca="false">Wheatland!D36+Wilton!D36+Gleason!D36</f>
        <v>-17244.2008562669</v>
      </c>
      <c r="E38" s="166" t="n">
        <f aca="false">Wheatland!E36+Wilton!E36+Gleason!E36</f>
        <v>-19444.5704047367</v>
      </c>
      <c r="F38" s="166" t="n">
        <f aca="false">Wheatland!F36+Wilton!F36+Gleason!F36</f>
        <v>-21869.5884619005</v>
      </c>
      <c r="G38" s="166" t="n">
        <f aca="false">Wheatland!G36+Wilton!G36+Gleason!G36</f>
        <v>-22956.5522599526</v>
      </c>
      <c r="H38" s="166" t="n">
        <f aca="false">Wheatland!H36+Wilton!H36+Gleason!H36</f>
        <v>-24083.5423005845</v>
      </c>
      <c r="I38" s="166" t="n">
        <f aca="false">Wheatland!I36+Wilton!I36+Gleason!I36</f>
        <v>-25232.2568281489</v>
      </c>
      <c r="J38" s="166" t="n">
        <f aca="false">Wheatland!J36+Wilton!J36+Gleason!J36</f>
        <v>-26505.2909768555</v>
      </c>
      <c r="K38" s="166" t="n">
        <f aca="false">Wheatland!K36+Wilton!K36+Gleason!K36</f>
        <v>-27818.1851296267</v>
      </c>
      <c r="L38" s="166" t="n">
        <f aca="false">Wheatland!L36+Wilton!L36+Gleason!L36</f>
        <v>-29072.5734253327</v>
      </c>
      <c r="M38" s="166" t="n">
        <f aca="false">Wheatland!M36+Wilton!M36+Gleason!M36</f>
        <v>-30415.108906162</v>
      </c>
      <c r="N38" s="166" t="n">
        <f aca="false">Wheatland!N36+Wilton!N36+Gleason!N36</f>
        <v>-31743.2906291338</v>
      </c>
      <c r="O38" s="166" t="n">
        <f aca="false">Wheatland!O36+Wilton!O36+Gleason!O36</f>
        <v>-33229.1880649251</v>
      </c>
      <c r="P38" s="166" t="n">
        <f aca="false">Wheatland!P36+Wilton!P36+Gleason!P36</f>
        <v>-34641.5409620347</v>
      </c>
      <c r="Q38" s="166" t="n">
        <f aca="false">Wheatland!Q36+Wilton!Q36+Gleason!Q36</f>
        <v>-36326.3812915573</v>
      </c>
      <c r="R38" s="166" t="n">
        <f aca="false">Wheatland!R36+Wilton!R36+Gleason!R36</f>
        <v>-37933.9470900682</v>
      </c>
      <c r="S38" s="166" t="n">
        <f aca="false">Wheatland!S36+Wilton!S36+Gleason!S36</f>
        <v>-39620.3185182824</v>
      </c>
      <c r="T38" s="166" t="n">
        <f aca="false">Wheatland!T36+Wilton!T36+Gleason!T36</f>
        <v>-41410.9426610854</v>
      </c>
      <c r="U38" s="166" t="n">
        <f aca="false">Wheatland!U36+Wilton!U36+Gleason!U36</f>
        <v>-43314.6149911097</v>
      </c>
      <c r="W38" s="167" t="n">
        <f aca="false">SUM(B38:U38)</f>
        <v>-571323.522363662</v>
      </c>
      <c r="X38" s="170" t="n">
        <f aca="false">SUM(Wheatland!W36,Wilton!W36,Gleason!W36)</f>
        <v>-571323.522363662</v>
      </c>
      <c r="Y38" s="170" t="n">
        <f aca="false">W38-X38</f>
        <v>0</v>
      </c>
    </row>
    <row r="39" customFormat="false" ht="12.75" hidden="false" customHeight="false" outlineLevel="0" collapsed="false">
      <c r="A39" s="4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W39" s="167"/>
      <c r="X39" s="168"/>
      <c r="Y39" s="168"/>
    </row>
    <row r="40" customFormat="false" ht="15.75" hidden="false" customHeight="false" outlineLevel="0" collapsed="false">
      <c r="A40" s="178" t="s">
        <v>120</v>
      </c>
      <c r="B40" s="179" t="n">
        <f aca="false">B35+B37+B38</f>
        <v>24662.1903021358</v>
      </c>
      <c r="C40" s="179" t="n">
        <f aca="false">C35+C37+C38</f>
        <v>28194.7485373893</v>
      </c>
      <c r="D40" s="179" t="n">
        <f aca="false">D35+D37+D38</f>
        <v>32024.9444473529</v>
      </c>
      <c r="E40" s="179" t="n">
        <f aca="false">E35+E37+E38</f>
        <v>36111.3450373682</v>
      </c>
      <c r="F40" s="179" t="n">
        <f aca="false">F35+F37+F38</f>
        <v>40614.9500006723</v>
      </c>
      <c r="G40" s="179" t="n">
        <f aca="false">G35+G37+G38</f>
        <v>42633.5970541975</v>
      </c>
      <c r="H40" s="179" t="n">
        <f aca="false">H35+H37+H38</f>
        <v>44726.5785582284</v>
      </c>
      <c r="I40" s="179" t="n">
        <f aca="false">I35+I37+I38</f>
        <v>46859.9055379909</v>
      </c>
      <c r="J40" s="179" t="n">
        <f aca="false">J35+J37+J38</f>
        <v>49224.1118141603</v>
      </c>
      <c r="K40" s="179" t="n">
        <f aca="false">K35+K37+K38</f>
        <v>51662.3438121639</v>
      </c>
      <c r="L40" s="179" t="n">
        <f aca="false">L35+L37+L38</f>
        <v>53991.922075618</v>
      </c>
      <c r="M40" s="179" t="n">
        <f aca="false">M35+M37+M38</f>
        <v>56485.2022543008</v>
      </c>
      <c r="N40" s="179" t="n">
        <f aca="false">N35+N37+N38</f>
        <v>58951.8254541056</v>
      </c>
      <c r="O40" s="179" t="n">
        <f aca="false">O35+O37+O38</f>
        <v>61711.3492634323</v>
      </c>
      <c r="P40" s="179" t="n">
        <f aca="false">P35+P37+P38</f>
        <v>64334.2903580645</v>
      </c>
      <c r="Q40" s="179" t="n">
        <f aca="false">Q35+Q37+Q38</f>
        <v>67463.2795414636</v>
      </c>
      <c r="R40" s="179" t="n">
        <f aca="false">R35+R37+R38</f>
        <v>70448.7588815554</v>
      </c>
      <c r="S40" s="179" t="n">
        <f aca="false">S35+S37+S38</f>
        <v>73580.591533953</v>
      </c>
      <c r="T40" s="179" t="n">
        <f aca="false">T35+T37+T38</f>
        <v>76906.0363705872</v>
      </c>
      <c r="U40" s="179" t="n">
        <f aca="false">U35+U37+U38</f>
        <v>80441.4278406323</v>
      </c>
      <c r="W40" s="167" t="n">
        <f aca="false">SUM(B40:U40)</f>
        <v>1061029.39867537</v>
      </c>
      <c r="X40" s="170" t="n">
        <f aca="false">SUM(Wheatland!W38,Wilton!W38,Gleason!W38)</f>
        <v>1061029.39867537</v>
      </c>
      <c r="Y40" s="170" t="n">
        <f aca="false">W40-X40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1" min="2" style="1" width="10.71"/>
    <col collapsed="false" customWidth="true" hidden="false" outlineLevel="0" max="24" min="22" style="1" width="14.56"/>
    <col collapsed="false" customWidth="false" hidden="false" outlineLevel="0" max="257" min="25" style="1" width="9.14"/>
  </cols>
  <sheetData>
    <row r="1" customFormat="false" ht="12.75" hidden="false" customHeight="false" outlineLevel="0" collapsed="false">
      <c r="A1" s="180"/>
      <c r="C1" s="43"/>
      <c r="D1" s="181"/>
      <c r="E1" s="181"/>
      <c r="F1" s="47"/>
      <c r="G1" s="4"/>
      <c r="H1" s="4"/>
      <c r="I1" s="159"/>
      <c r="J1" s="159"/>
      <c r="K1" s="159"/>
      <c r="L1" s="47"/>
      <c r="M1" s="4"/>
      <c r="N1" s="4"/>
      <c r="O1" s="159"/>
      <c r="P1" s="159"/>
      <c r="Q1" s="159"/>
      <c r="R1" s="47"/>
      <c r="S1" s="4"/>
      <c r="T1" s="4"/>
      <c r="U1" s="4"/>
    </row>
    <row r="2" customFormat="false" ht="18" hidden="false" customHeight="false" outlineLevel="0" collapsed="false">
      <c r="A2" s="149" t="s">
        <v>121</v>
      </c>
      <c r="B2" s="182"/>
      <c r="C2" s="43"/>
      <c r="D2" s="181"/>
      <c r="E2" s="181"/>
      <c r="F2" s="47"/>
      <c r="I2" s="43"/>
      <c r="J2" s="43"/>
      <c r="K2" s="43"/>
      <c r="L2" s="47"/>
      <c r="O2" s="43"/>
      <c r="P2" s="43"/>
      <c r="Q2" s="43"/>
      <c r="R2" s="47"/>
    </row>
    <row r="3" customFormat="false" ht="12.75" hidden="false" customHeight="false" outlineLevel="0" collapsed="false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83"/>
      <c r="Q3" s="183"/>
      <c r="R3" s="183"/>
      <c r="S3" s="183"/>
      <c r="T3" s="183"/>
      <c r="U3" s="183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.75" hidden="false" customHeight="false" outlineLevel="0" collapsed="false">
      <c r="A4" s="18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86"/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86"/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86"/>
      <c r="IN4" s="186"/>
      <c r="IO4" s="186"/>
      <c r="IP4" s="186"/>
      <c r="IQ4" s="186"/>
      <c r="IR4" s="186"/>
      <c r="IS4" s="186"/>
      <c r="IT4" s="186"/>
      <c r="IU4" s="186"/>
      <c r="IV4" s="186"/>
      <c r="IW4" s="186"/>
    </row>
    <row r="5" customFormat="false" ht="13.5" hidden="false" customHeight="false" outlineLevel="0" collapsed="false">
      <c r="A5" s="154" t="s">
        <v>101</v>
      </c>
      <c r="B5" s="187" t="n">
        <v>2001</v>
      </c>
      <c r="C5" s="187" t="n">
        <f aca="false">B5+1</f>
        <v>2002</v>
      </c>
      <c r="D5" s="187" t="n">
        <f aca="false">C5+1</f>
        <v>2003</v>
      </c>
      <c r="E5" s="187" t="n">
        <f aca="false">D5+1</f>
        <v>2004</v>
      </c>
      <c r="F5" s="187" t="n">
        <f aca="false">E5+1</f>
        <v>2005</v>
      </c>
      <c r="G5" s="187" t="n">
        <f aca="false">F5+1</f>
        <v>2006</v>
      </c>
      <c r="H5" s="187" t="n">
        <f aca="false">G5+1</f>
        <v>2007</v>
      </c>
      <c r="I5" s="187" t="n">
        <f aca="false">H5+1</f>
        <v>2008</v>
      </c>
      <c r="J5" s="187" t="n">
        <f aca="false">I5+1</f>
        <v>2009</v>
      </c>
      <c r="K5" s="187" t="n">
        <f aca="false">J5+1</f>
        <v>2010</v>
      </c>
      <c r="L5" s="187" t="n">
        <f aca="false">K5+1</f>
        <v>2011</v>
      </c>
      <c r="M5" s="187" t="n">
        <f aca="false">L5+1</f>
        <v>2012</v>
      </c>
      <c r="N5" s="187" t="n">
        <f aca="false">M5+1</f>
        <v>2013</v>
      </c>
      <c r="O5" s="187" t="n">
        <f aca="false">N5+1</f>
        <v>2014</v>
      </c>
      <c r="P5" s="187" t="n">
        <f aca="false">O5+1</f>
        <v>2015</v>
      </c>
      <c r="Q5" s="187" t="n">
        <f aca="false">P5+1</f>
        <v>2016</v>
      </c>
      <c r="R5" s="187" t="n">
        <f aca="false">Q5+1</f>
        <v>2017</v>
      </c>
      <c r="S5" s="187" t="n">
        <f aca="false">R5+1</f>
        <v>2018</v>
      </c>
      <c r="T5" s="187" t="n">
        <f aca="false">S5+1</f>
        <v>2019</v>
      </c>
      <c r="U5" s="187" t="n">
        <f aca="false">T5+1</f>
        <v>2020</v>
      </c>
    </row>
    <row r="6" customFormat="false" ht="12.75" hidden="false" customHeight="false" outlineLevel="0" collapsed="false">
      <c r="A6" s="188"/>
      <c r="B6" s="189" t="n">
        <v>37256</v>
      </c>
      <c r="C6" s="189" t="n">
        <v>37621</v>
      </c>
      <c r="D6" s="189" t="n">
        <v>37986</v>
      </c>
      <c r="E6" s="189" t="n">
        <v>38352</v>
      </c>
      <c r="F6" s="189" t="n">
        <v>38717</v>
      </c>
      <c r="G6" s="189" t="n">
        <v>39082</v>
      </c>
      <c r="H6" s="189" t="n">
        <v>39447</v>
      </c>
      <c r="I6" s="189" t="n">
        <v>39813</v>
      </c>
      <c r="J6" s="189" t="n">
        <v>40178</v>
      </c>
      <c r="K6" s="189" t="n">
        <v>40543</v>
      </c>
      <c r="L6" s="189" t="n">
        <v>40908</v>
      </c>
      <c r="M6" s="189" t="n">
        <v>41274</v>
      </c>
      <c r="N6" s="189" t="n">
        <v>41639</v>
      </c>
      <c r="O6" s="189" t="n">
        <v>42004</v>
      </c>
      <c r="P6" s="189" t="n">
        <v>42369</v>
      </c>
      <c r="Q6" s="189" t="n">
        <v>42735</v>
      </c>
      <c r="R6" s="189" t="n">
        <v>43100</v>
      </c>
      <c r="S6" s="189" t="n">
        <v>43465</v>
      </c>
      <c r="T6" s="189" t="n">
        <v>43830</v>
      </c>
      <c r="U6" s="189" t="n">
        <v>44196</v>
      </c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  <c r="FU6" s="190"/>
      <c r="FV6" s="190"/>
      <c r="FW6" s="190"/>
      <c r="FX6" s="190"/>
      <c r="FY6" s="190"/>
      <c r="FZ6" s="190"/>
      <c r="GA6" s="190"/>
      <c r="GB6" s="190"/>
      <c r="GC6" s="190"/>
      <c r="GD6" s="190"/>
      <c r="GE6" s="190"/>
      <c r="GF6" s="190"/>
      <c r="GG6" s="190"/>
      <c r="GH6" s="190"/>
      <c r="GI6" s="190"/>
      <c r="GJ6" s="190"/>
      <c r="GK6" s="190"/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0"/>
      <c r="GX6" s="190"/>
      <c r="GY6" s="190"/>
      <c r="GZ6" s="190"/>
      <c r="HA6" s="190"/>
      <c r="HB6" s="190"/>
      <c r="HC6" s="190"/>
      <c r="HD6" s="190"/>
      <c r="HE6" s="190"/>
      <c r="HF6" s="190"/>
      <c r="HG6" s="190"/>
      <c r="HH6" s="190"/>
      <c r="HI6" s="190"/>
      <c r="HJ6" s="190"/>
      <c r="HK6" s="190"/>
      <c r="HL6" s="190"/>
      <c r="HM6" s="190"/>
      <c r="HN6" s="190"/>
      <c r="HO6" s="190"/>
      <c r="HP6" s="190"/>
      <c r="HQ6" s="190"/>
      <c r="HR6" s="190"/>
      <c r="HS6" s="190"/>
      <c r="HT6" s="190"/>
      <c r="HU6" s="190"/>
      <c r="HV6" s="190"/>
      <c r="HW6" s="190"/>
      <c r="HX6" s="190"/>
      <c r="HY6" s="190"/>
      <c r="HZ6" s="190"/>
      <c r="IA6" s="190"/>
      <c r="IB6" s="190"/>
      <c r="IC6" s="190"/>
      <c r="ID6" s="190"/>
      <c r="IE6" s="190"/>
      <c r="IF6" s="190"/>
      <c r="IG6" s="190"/>
      <c r="IH6" s="190"/>
      <c r="II6" s="190"/>
      <c r="IJ6" s="190"/>
      <c r="IK6" s="190"/>
      <c r="IL6" s="190"/>
      <c r="IM6" s="190"/>
      <c r="IN6" s="190"/>
      <c r="IO6" s="190"/>
      <c r="IP6" s="190"/>
      <c r="IQ6" s="190"/>
      <c r="IR6" s="190"/>
      <c r="IS6" s="190"/>
      <c r="IT6" s="190"/>
      <c r="IU6" s="190"/>
      <c r="IV6" s="190"/>
      <c r="IW6" s="190"/>
    </row>
    <row r="7" customFormat="false" ht="12.75" hidden="false" customHeight="false" outlineLevel="0" collapsed="false">
      <c r="R7" s="12"/>
      <c r="S7" s="12"/>
      <c r="T7" s="12"/>
      <c r="U7" s="12"/>
    </row>
    <row r="8" customFormat="false" ht="12.75" hidden="false" customHeight="false" outlineLevel="0" collapsed="false">
      <c r="A8" s="2" t="s">
        <v>113</v>
      </c>
      <c r="B8" s="166" t="n">
        <f aca="false">IS!B27</f>
        <v>102592.929720534</v>
      </c>
      <c r="C8" s="166" t="n">
        <f aca="false">IS!C27</f>
        <v>107696.188803543</v>
      </c>
      <c r="D8" s="166" t="n">
        <f aca="false">IS!D27</f>
        <v>113071.535571207</v>
      </c>
      <c r="E8" s="166" t="n">
        <f aca="false">IS!E27</f>
        <v>118835.091978481</v>
      </c>
      <c r="F8" s="166" t="n">
        <f aca="false">IS!F27</f>
        <v>124921.890725523</v>
      </c>
      <c r="G8" s="166" t="n">
        <f aca="false">IS!G27</f>
        <v>126904.420512422</v>
      </c>
      <c r="H8" s="166" t="n">
        <f aca="false">IS!H27</f>
        <v>128975.407841598</v>
      </c>
      <c r="I8" s="166" t="n">
        <f aca="false">IS!I27</f>
        <v>131146.23840621</v>
      </c>
      <c r="J8" s="166" t="n">
        <f aca="false">IS!J27</f>
        <v>133457.955665814</v>
      </c>
      <c r="K8" s="166" t="n">
        <f aca="false">IS!K27</f>
        <v>135888.96959826</v>
      </c>
      <c r="L8" s="166" t="n">
        <f aca="false">IS!L27</f>
        <v>138042.99670688</v>
      </c>
      <c r="M8" s="166" t="n">
        <f aca="false">IS!M27</f>
        <v>140391.993028082</v>
      </c>
      <c r="N8" s="166" t="n">
        <f aca="false">IS!N27</f>
        <v>142426.202046786</v>
      </c>
      <c r="O8" s="166" t="n">
        <f aca="false">IS!O27</f>
        <v>144852.83411165</v>
      </c>
      <c r="P8" s="166" t="n">
        <f aca="false">IS!P27</f>
        <v>146877.628560668</v>
      </c>
      <c r="Q8" s="166" t="n">
        <f aca="false">IS!Q27</f>
        <v>149568.707951512</v>
      </c>
      <c r="R8" s="166" t="n">
        <f aca="false">IS!R27</f>
        <v>151700.250089156</v>
      </c>
      <c r="S8" s="166" t="n">
        <f aca="false">IS!S27</f>
        <v>153858.868833618</v>
      </c>
      <c r="T8" s="166" t="n">
        <f aca="false">IS!T27</f>
        <v>156044.833460298</v>
      </c>
      <c r="U8" s="166" t="n">
        <f aca="false">IS!U27</f>
        <v>158258.413203853</v>
      </c>
    </row>
    <row r="9" customFormat="false" ht="12.75" hidden="false" customHeight="false" outlineLevel="0" collapsed="false">
      <c r="B9" s="4"/>
      <c r="C9" s="19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customFormat="false" ht="12.75" hidden="false" customHeight="false" outlineLevel="0" collapsed="false">
      <c r="A10" s="192" t="s">
        <v>12</v>
      </c>
      <c r="B10" s="4"/>
      <c r="C10" s="19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customFormat="false" ht="12.75" hidden="false" customHeight="false" outlineLevel="0" collapsed="false">
      <c r="B11" s="193" t="n">
        <f aca="false">'Summary Output'!$C$14</f>
        <v>36892</v>
      </c>
      <c r="C11" s="193" t="n">
        <v>37257</v>
      </c>
      <c r="D11" s="193" t="n">
        <v>37622</v>
      </c>
      <c r="E11" s="193" t="n">
        <v>37987</v>
      </c>
      <c r="F11" s="193" t="n">
        <v>38353</v>
      </c>
      <c r="G11" s="193" t="n">
        <v>38718</v>
      </c>
      <c r="H11" s="193" t="n">
        <v>39083</v>
      </c>
      <c r="I11" s="193" t="n">
        <v>39448</v>
      </c>
      <c r="J11" s="193" t="n">
        <v>39814</v>
      </c>
      <c r="K11" s="193" t="n">
        <v>40179</v>
      </c>
      <c r="L11" s="193" t="n">
        <v>40544</v>
      </c>
      <c r="M11" s="193" t="n">
        <v>40909</v>
      </c>
      <c r="N11" s="193" t="n">
        <v>41275</v>
      </c>
      <c r="O11" s="193" t="n">
        <v>41640</v>
      </c>
      <c r="P11" s="193" t="n">
        <v>42005</v>
      </c>
      <c r="Q11" s="193" t="n">
        <v>42370</v>
      </c>
      <c r="R11" s="193" t="n">
        <v>42736</v>
      </c>
      <c r="S11" s="193" t="n">
        <v>43101</v>
      </c>
      <c r="T11" s="193" t="n">
        <v>43466</v>
      </c>
      <c r="U11" s="193" t="n">
        <v>43831</v>
      </c>
      <c r="W11" s="194" t="s">
        <v>122</v>
      </c>
      <c r="X11" s="194" t="s">
        <v>123</v>
      </c>
    </row>
    <row r="12" customFormat="false" ht="12.75" hidden="false" customHeight="false" outlineLevel="0" collapsed="false">
      <c r="A12" s="195" t="s">
        <v>124</v>
      </c>
      <c r="B12" s="172" t="n">
        <v>0</v>
      </c>
      <c r="C12" s="172" t="n">
        <f aca="false">B28</f>
        <v>0</v>
      </c>
      <c r="D12" s="172" t="n">
        <f aca="false">C28</f>
        <v>0</v>
      </c>
      <c r="E12" s="172" t="n">
        <f aca="false">D28</f>
        <v>0</v>
      </c>
      <c r="F12" s="172" t="n">
        <f aca="false">E28</f>
        <v>0</v>
      </c>
      <c r="G12" s="172" t="n">
        <f aca="false">F28</f>
        <v>0</v>
      </c>
      <c r="H12" s="172" t="n">
        <f aca="false">G28</f>
        <v>0</v>
      </c>
      <c r="I12" s="172" t="n">
        <f aca="false">H28</f>
        <v>0</v>
      </c>
      <c r="J12" s="172" t="n">
        <f aca="false">I28</f>
        <v>0</v>
      </c>
      <c r="K12" s="172" t="n">
        <f aca="false">J28</f>
        <v>0</v>
      </c>
      <c r="L12" s="172" t="n">
        <f aca="false">K28</f>
        <v>0</v>
      </c>
      <c r="M12" s="172" t="n">
        <f aca="false">L28</f>
        <v>0</v>
      </c>
      <c r="N12" s="172" t="n">
        <f aca="false">M28</f>
        <v>0</v>
      </c>
      <c r="O12" s="172" t="n">
        <f aca="false">N28</f>
        <v>0</v>
      </c>
      <c r="P12" s="172" t="n">
        <f aca="false">O28</f>
        <v>0</v>
      </c>
      <c r="Q12" s="172" t="n">
        <f aca="false">P28</f>
        <v>0</v>
      </c>
      <c r="R12" s="172" t="n">
        <f aca="false">Q28</f>
        <v>0</v>
      </c>
      <c r="S12" s="172" t="n">
        <f aca="false">R28</f>
        <v>0</v>
      </c>
      <c r="T12" s="172" t="n">
        <f aca="false">S28</f>
        <v>0</v>
      </c>
      <c r="U12" s="172" t="n">
        <f aca="false">T28</f>
        <v>0</v>
      </c>
      <c r="W12" s="196"/>
      <c r="X12" s="196"/>
    </row>
    <row r="13" customFormat="false" ht="12.75" hidden="false" customHeight="false" outlineLevel="0" collapsed="false">
      <c r="A13" s="195" t="s">
        <v>125</v>
      </c>
      <c r="B13" s="197" t="n">
        <v>0</v>
      </c>
      <c r="C13" s="197" t="n">
        <f aca="false">C12*$E$97*(C11-B23)/365.25</f>
        <v>0</v>
      </c>
      <c r="D13" s="197" t="n">
        <f aca="false">D12*$E$97*(D11-C23)/365.25</f>
        <v>0</v>
      </c>
      <c r="E13" s="197" t="n">
        <f aca="false">E12*$E$97*(E11-D23)/365.25</f>
        <v>0</v>
      </c>
      <c r="F13" s="197" t="n">
        <f aca="false">F12*$E$97*(F11-E23)/365.25</f>
        <v>0</v>
      </c>
      <c r="G13" s="197" t="n">
        <f aca="false">G12*$E$97*(G11-F23)/365.25</f>
        <v>0</v>
      </c>
      <c r="H13" s="197" t="n">
        <f aca="false">H12*$E$97*(H11-G23)/365.25</f>
        <v>0</v>
      </c>
      <c r="I13" s="197" t="n">
        <f aca="false">I12*$E$97*(I11-H23)/365.25</f>
        <v>0</v>
      </c>
      <c r="J13" s="197" t="n">
        <f aca="false">J12*$E$97*(J11-I23)/365.25</f>
        <v>0</v>
      </c>
      <c r="K13" s="197" t="n">
        <f aca="false">K12*$E$97*(K11-J23)/365.25</f>
        <v>0</v>
      </c>
      <c r="L13" s="197" t="n">
        <f aca="false">L12*$E$97*(L11-K23)/365.25</f>
        <v>0</v>
      </c>
      <c r="M13" s="197" t="n">
        <f aca="false">M12*$E$97*(M11-L23)/365.25</f>
        <v>0</v>
      </c>
      <c r="N13" s="197" t="n">
        <f aca="false">N12*$E$97*(N11-M23)/365.25</f>
        <v>0</v>
      </c>
      <c r="O13" s="197" t="n">
        <f aca="false">O12*$E$97*(O11-N23)/365.25</f>
        <v>0</v>
      </c>
      <c r="P13" s="197" t="n">
        <f aca="false">P12*$E$97*(P11-O23)/365.25</f>
        <v>0</v>
      </c>
      <c r="Q13" s="197" t="n">
        <f aca="false">Q12*$E$97*(Q11-P23)/365.25</f>
        <v>0</v>
      </c>
      <c r="R13" s="197" t="n">
        <f aca="false">R12*$E$97*(R11-Q23)/365.25</f>
        <v>0</v>
      </c>
      <c r="S13" s="197" t="n">
        <f aca="false">S12*$E$97*(S11-R23)/365.25</f>
        <v>0</v>
      </c>
      <c r="T13" s="197" t="n">
        <f aca="false">T12*$E$97*(T11-S23)/365.25</f>
        <v>0</v>
      </c>
      <c r="U13" s="197" t="n">
        <f aca="false">U12*$E$97*(U11-T23)/365.25</f>
        <v>0</v>
      </c>
      <c r="W13" s="196"/>
      <c r="X13" s="196"/>
    </row>
    <row r="14" customFormat="false" ht="12.75" hidden="false" customHeight="false" outlineLevel="0" collapsed="false">
      <c r="A14" s="195" t="s">
        <v>126</v>
      </c>
      <c r="B14" s="160" t="n">
        <f aca="false">'Summary Output'!B15</f>
        <v>0</v>
      </c>
      <c r="C14" s="172" t="n">
        <f aca="false">C12</f>
        <v>0</v>
      </c>
      <c r="D14" s="172" t="n">
        <f aca="false">D12</f>
        <v>0</v>
      </c>
      <c r="E14" s="172" t="n">
        <f aca="false">E12</f>
        <v>0</v>
      </c>
      <c r="F14" s="172" t="n">
        <f aca="false">F12</f>
        <v>0</v>
      </c>
      <c r="G14" s="172" t="n">
        <f aca="false">G12</f>
        <v>0</v>
      </c>
      <c r="H14" s="172" t="n">
        <f aca="false">H12</f>
        <v>0</v>
      </c>
      <c r="I14" s="172" t="n">
        <f aca="false">I12</f>
        <v>0</v>
      </c>
      <c r="J14" s="172" t="n">
        <f aca="false">J12</f>
        <v>0</v>
      </c>
      <c r="K14" s="172" t="n">
        <f aca="false">K12</f>
        <v>0</v>
      </c>
      <c r="L14" s="172" t="n">
        <f aca="false">L12</f>
        <v>0</v>
      </c>
      <c r="M14" s="172" t="n">
        <f aca="false">M12</f>
        <v>0</v>
      </c>
      <c r="N14" s="172" t="n">
        <f aca="false">N12</f>
        <v>0</v>
      </c>
      <c r="O14" s="172" t="n">
        <f aca="false">O12</f>
        <v>0</v>
      </c>
      <c r="P14" s="172" t="n">
        <f aca="false">P12</f>
        <v>0</v>
      </c>
      <c r="Q14" s="172" t="n">
        <f aca="false">Q12</f>
        <v>0</v>
      </c>
      <c r="R14" s="172" t="n">
        <f aca="false">R12</f>
        <v>0</v>
      </c>
      <c r="S14" s="172" t="n">
        <f aca="false">S12</f>
        <v>0</v>
      </c>
      <c r="T14" s="172" t="n">
        <f aca="false">T12</f>
        <v>0</v>
      </c>
      <c r="U14" s="172" t="n">
        <f aca="false">U12</f>
        <v>0</v>
      </c>
      <c r="W14" s="198" t="n">
        <f aca="false">SUM(B19:U19,B26:U26)</f>
        <v>0</v>
      </c>
      <c r="X14" s="199" t="n">
        <f aca="false">B14-W14</f>
        <v>0</v>
      </c>
    </row>
    <row r="15" customFormat="false" ht="12.75" hidden="false" customHeight="false" outlineLevel="0" collapsed="false">
      <c r="B15" s="200"/>
      <c r="C15" s="19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W15" s="196"/>
      <c r="X15" s="196"/>
    </row>
    <row r="16" customFormat="false" ht="12.75" hidden="false" customHeight="false" outlineLevel="0" collapsed="false">
      <c r="A16" s="168"/>
      <c r="B16" s="193" t="n">
        <v>37072</v>
      </c>
      <c r="C16" s="193" t="n">
        <v>37437</v>
      </c>
      <c r="D16" s="193" t="n">
        <v>37802</v>
      </c>
      <c r="E16" s="193" t="n">
        <v>38168</v>
      </c>
      <c r="F16" s="193" t="n">
        <v>38533</v>
      </c>
      <c r="G16" s="193" t="n">
        <v>38898</v>
      </c>
      <c r="H16" s="193" t="n">
        <v>39263</v>
      </c>
      <c r="I16" s="193" t="n">
        <v>39629</v>
      </c>
      <c r="J16" s="193" t="n">
        <v>39994</v>
      </c>
      <c r="K16" s="193" t="n">
        <v>40359</v>
      </c>
      <c r="L16" s="193" t="n">
        <v>40724</v>
      </c>
      <c r="M16" s="193" t="n">
        <v>41090</v>
      </c>
      <c r="N16" s="193" t="n">
        <v>41455</v>
      </c>
      <c r="O16" s="193" t="n">
        <v>41820</v>
      </c>
      <c r="P16" s="193" t="n">
        <v>42185</v>
      </c>
      <c r="Q16" s="193" t="n">
        <v>42551</v>
      </c>
      <c r="R16" s="193" t="n">
        <v>42916</v>
      </c>
      <c r="S16" s="193" t="n">
        <v>43281</v>
      </c>
      <c r="T16" s="193" t="n">
        <v>43646</v>
      </c>
      <c r="U16" s="193" t="n">
        <v>44012</v>
      </c>
      <c r="W16" s="196"/>
      <c r="X16" s="196"/>
    </row>
    <row r="17" customFormat="false" ht="12.75" hidden="false" customHeight="false" outlineLevel="0" collapsed="false">
      <c r="A17" s="195" t="s">
        <v>124</v>
      </c>
      <c r="B17" s="172" t="n">
        <f aca="false">B14</f>
        <v>0</v>
      </c>
      <c r="C17" s="172" t="n">
        <f aca="false">C14</f>
        <v>0</v>
      </c>
      <c r="D17" s="172" t="n">
        <f aca="false">D14</f>
        <v>0</v>
      </c>
      <c r="E17" s="172" t="n">
        <f aca="false">E14</f>
        <v>0</v>
      </c>
      <c r="F17" s="172" t="n">
        <f aca="false">F14</f>
        <v>0</v>
      </c>
      <c r="G17" s="172" t="n">
        <f aca="false">G14</f>
        <v>0</v>
      </c>
      <c r="H17" s="172" t="n">
        <f aca="false">H14</f>
        <v>0</v>
      </c>
      <c r="I17" s="172" t="n">
        <f aca="false">I14</f>
        <v>0</v>
      </c>
      <c r="J17" s="172" t="n">
        <f aca="false">J14</f>
        <v>0</v>
      </c>
      <c r="K17" s="172" t="n">
        <f aca="false">K14</f>
        <v>0</v>
      </c>
      <c r="L17" s="172" t="n">
        <f aca="false">L14</f>
        <v>0</v>
      </c>
      <c r="M17" s="172" t="n">
        <f aca="false">M14</f>
        <v>0</v>
      </c>
      <c r="N17" s="172" t="n">
        <f aca="false">N14</f>
        <v>0</v>
      </c>
      <c r="O17" s="172" t="n">
        <f aca="false">O14</f>
        <v>0</v>
      </c>
      <c r="P17" s="172" t="n">
        <f aca="false">P14</f>
        <v>0</v>
      </c>
      <c r="Q17" s="172" t="n">
        <f aca="false">Q14</f>
        <v>0</v>
      </c>
      <c r="R17" s="172" t="n">
        <f aca="false">R14</f>
        <v>0</v>
      </c>
      <c r="S17" s="172" t="n">
        <f aca="false">S14</f>
        <v>0</v>
      </c>
      <c r="T17" s="172" t="n">
        <f aca="false">T14</f>
        <v>0</v>
      </c>
      <c r="U17" s="172" t="n">
        <f aca="false">U14</f>
        <v>0</v>
      </c>
      <c r="W17" s="196"/>
      <c r="X17" s="196"/>
    </row>
    <row r="18" customFormat="false" ht="12.75" hidden="false" customHeight="false" outlineLevel="0" collapsed="false">
      <c r="A18" s="195" t="s">
        <v>127</v>
      </c>
      <c r="B18" s="201" t="n">
        <v>0</v>
      </c>
      <c r="C18" s="201" t="n">
        <v>0</v>
      </c>
      <c r="D18" s="201" t="n">
        <v>0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W18" s="196"/>
      <c r="X18" s="196"/>
    </row>
    <row r="19" customFormat="false" ht="12.75" hidden="false" customHeight="false" outlineLevel="0" collapsed="false">
      <c r="A19" s="195" t="s">
        <v>128</v>
      </c>
      <c r="B19" s="172" t="n">
        <f aca="false">$B$14*B18</f>
        <v>0</v>
      </c>
      <c r="C19" s="172" t="n">
        <f aca="false">$B$14*C18</f>
        <v>0</v>
      </c>
      <c r="D19" s="172" t="n">
        <f aca="false">$B$14*D18</f>
        <v>0</v>
      </c>
      <c r="E19" s="172" t="n">
        <f aca="false">$B$14*E18</f>
        <v>0</v>
      </c>
      <c r="F19" s="172" t="n">
        <f aca="false">$B$14*F18</f>
        <v>0</v>
      </c>
      <c r="G19" s="172" t="n">
        <f aca="false">$B$14*G18</f>
        <v>0</v>
      </c>
      <c r="H19" s="172" t="n">
        <f aca="false">$B$14*H18</f>
        <v>0</v>
      </c>
      <c r="I19" s="172" t="n">
        <f aca="false">$B$14*I18</f>
        <v>0</v>
      </c>
      <c r="J19" s="172" t="n">
        <f aca="false">$B$14*J18</f>
        <v>0</v>
      </c>
      <c r="K19" s="172" t="n">
        <f aca="false">$B$14*K18</f>
        <v>0</v>
      </c>
      <c r="L19" s="172" t="n">
        <f aca="false">$B$14*L18</f>
        <v>0</v>
      </c>
      <c r="M19" s="172" t="n">
        <f aca="false">$B$14*M18</f>
        <v>0</v>
      </c>
      <c r="N19" s="172" t="n">
        <f aca="false">$B$14*N18</f>
        <v>0</v>
      </c>
      <c r="O19" s="172" t="n">
        <f aca="false">$B$14*O18</f>
        <v>0</v>
      </c>
      <c r="P19" s="172" t="n">
        <f aca="false">$B$14*P18</f>
        <v>0</v>
      </c>
      <c r="Q19" s="172" t="n">
        <f aca="false">$B$14*Q18</f>
        <v>0</v>
      </c>
      <c r="R19" s="172" t="n">
        <f aca="false">$B$14*R18</f>
        <v>0</v>
      </c>
      <c r="S19" s="172" t="n">
        <f aca="false">$B$14*S18</f>
        <v>0</v>
      </c>
      <c r="T19" s="172" t="n">
        <f aca="false">$B$14*T18</f>
        <v>0</v>
      </c>
      <c r="U19" s="172" t="n">
        <f aca="false">$B$14*U18</f>
        <v>0</v>
      </c>
      <c r="V19" s="4"/>
      <c r="W19" s="202"/>
      <c r="X19" s="202"/>
    </row>
    <row r="20" customFormat="false" ht="12.75" hidden="false" customHeight="false" outlineLevel="0" collapsed="false">
      <c r="A20" s="195" t="s">
        <v>125</v>
      </c>
      <c r="B20" s="197" t="n">
        <f aca="false">B17*$E$97*(B16-B11)/365.25</f>
        <v>0</v>
      </c>
      <c r="C20" s="197" t="n">
        <f aca="false">C17*$E$97*(C16-C11)/365.25</f>
        <v>0</v>
      </c>
      <c r="D20" s="197" t="n">
        <f aca="false">D17*$E$97*(D16-D11)/365.25</f>
        <v>0</v>
      </c>
      <c r="E20" s="197" t="n">
        <f aca="false">E17*$E$97*(E16-E11)/365.25</f>
        <v>0</v>
      </c>
      <c r="F20" s="197" t="n">
        <f aca="false">F17*$E$97*(F16-F11)/365.25</f>
        <v>0</v>
      </c>
      <c r="G20" s="197" t="n">
        <f aca="false">G17*$E$97*(G16-G11)/365.25</f>
        <v>0</v>
      </c>
      <c r="H20" s="197" t="n">
        <f aca="false">H17*$E$97*(H16-H11)/365.25</f>
        <v>0</v>
      </c>
      <c r="I20" s="197" t="n">
        <f aca="false">I17*$E$97*(I16-I11)/365.25</f>
        <v>0</v>
      </c>
      <c r="J20" s="197" t="n">
        <f aca="false">J17*$E$97*(J16-J11)/365.25</f>
        <v>0</v>
      </c>
      <c r="K20" s="197" t="n">
        <f aca="false">K17*$E$97*(K16-K11)/365.25</f>
        <v>0</v>
      </c>
      <c r="L20" s="197" t="n">
        <f aca="false">L17*$E$97*(L16-L11)/365.25</f>
        <v>0</v>
      </c>
      <c r="M20" s="197" t="n">
        <f aca="false">M17*$E$97*(M16-M11)/365.25</f>
        <v>0</v>
      </c>
      <c r="N20" s="197" t="n">
        <f aca="false">N17*$E$97*(N16-N11)/365.25</f>
        <v>0</v>
      </c>
      <c r="O20" s="197" t="n">
        <f aca="false">O17*$E$97*(O16-O11)/365.25</f>
        <v>0</v>
      </c>
      <c r="P20" s="197" t="n">
        <f aca="false">P17*$E$97*(P16-P11)/365.25</f>
        <v>0</v>
      </c>
      <c r="Q20" s="197" t="n">
        <f aca="false">Q17*$E$97*(Q16-Q11)/365.25</f>
        <v>0</v>
      </c>
      <c r="R20" s="197" t="n">
        <f aca="false">R17*$E$97*(R16-R11)/365.25</f>
        <v>0</v>
      </c>
      <c r="S20" s="197" t="n">
        <f aca="false">S17*$E$97*(S16-S11)/365.25</f>
        <v>0</v>
      </c>
      <c r="T20" s="197" t="n">
        <f aca="false">T17*$E$97*(T16-T11)/365.25</f>
        <v>0</v>
      </c>
      <c r="U20" s="197" t="n">
        <f aca="false">U17*$E$97*(U16-U11)/365.25</f>
        <v>0</v>
      </c>
      <c r="V20" s="4"/>
      <c r="W20" s="202"/>
      <c r="X20" s="202"/>
    </row>
    <row r="21" customFormat="false" ht="12.75" hidden="false" customHeight="false" outlineLevel="0" collapsed="false">
      <c r="A21" s="195" t="s">
        <v>126</v>
      </c>
      <c r="B21" s="172" t="n">
        <f aca="false">B17-B19</f>
        <v>0</v>
      </c>
      <c r="C21" s="172" t="n">
        <f aca="false">C17-C19</f>
        <v>0</v>
      </c>
      <c r="D21" s="172" t="n">
        <f aca="false">D17-D19</f>
        <v>0</v>
      </c>
      <c r="E21" s="172" t="n">
        <f aca="false">E17-E19</f>
        <v>0</v>
      </c>
      <c r="F21" s="172" t="n">
        <f aca="false">F17-F19</f>
        <v>0</v>
      </c>
      <c r="G21" s="172" t="n">
        <f aca="false">G17-G19</f>
        <v>0</v>
      </c>
      <c r="H21" s="172" t="n">
        <f aca="false">H17-H19</f>
        <v>0</v>
      </c>
      <c r="I21" s="172" t="n">
        <f aca="false">I17-I19</f>
        <v>0</v>
      </c>
      <c r="J21" s="172" t="n">
        <f aca="false">J17-J19</f>
        <v>0</v>
      </c>
      <c r="K21" s="172" t="n">
        <f aca="false">K17-K19</f>
        <v>0</v>
      </c>
      <c r="L21" s="172" t="n">
        <f aca="false">L17-L19</f>
        <v>0</v>
      </c>
      <c r="M21" s="172" t="n">
        <f aca="false">M17-M19</f>
        <v>0</v>
      </c>
      <c r="N21" s="172" t="n">
        <f aca="false">N17-N19</f>
        <v>0</v>
      </c>
      <c r="O21" s="172" t="n">
        <f aca="false">O17-O19</f>
        <v>0</v>
      </c>
      <c r="P21" s="172" t="n">
        <f aca="false">P17-P19</f>
        <v>0</v>
      </c>
      <c r="Q21" s="172" t="n">
        <f aca="false">Q17-Q19</f>
        <v>0</v>
      </c>
      <c r="R21" s="172" t="n">
        <f aca="false">R17-R19</f>
        <v>0</v>
      </c>
      <c r="S21" s="172" t="n">
        <f aca="false">S17-S19</f>
        <v>0</v>
      </c>
      <c r="T21" s="172" t="n">
        <f aca="false">T17-T19</f>
        <v>0</v>
      </c>
      <c r="U21" s="172" t="n">
        <f aca="false">U17-U19</f>
        <v>0</v>
      </c>
      <c r="V21" s="4"/>
      <c r="W21" s="202"/>
      <c r="X21" s="202"/>
    </row>
    <row r="22" customFormat="false" ht="12.75" hidden="false" customHeight="false" outlineLevel="0" collapsed="false">
      <c r="A22" s="195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4"/>
      <c r="W22" s="202"/>
      <c r="X22" s="202"/>
    </row>
    <row r="23" customFormat="false" ht="12.75" hidden="false" customHeight="false" outlineLevel="0" collapsed="false">
      <c r="A23" s="168"/>
      <c r="B23" s="193" t="n">
        <v>37256</v>
      </c>
      <c r="C23" s="193" t="n">
        <v>37621</v>
      </c>
      <c r="D23" s="193" t="n">
        <v>37986</v>
      </c>
      <c r="E23" s="193" t="n">
        <v>38352</v>
      </c>
      <c r="F23" s="193" t="n">
        <v>38717</v>
      </c>
      <c r="G23" s="193" t="n">
        <v>39082</v>
      </c>
      <c r="H23" s="193" t="n">
        <v>39447</v>
      </c>
      <c r="I23" s="193" t="n">
        <v>39813</v>
      </c>
      <c r="J23" s="193" t="n">
        <v>40178</v>
      </c>
      <c r="K23" s="193" t="n">
        <v>40543</v>
      </c>
      <c r="L23" s="193" t="n">
        <v>40908</v>
      </c>
      <c r="M23" s="193" t="n">
        <v>41274</v>
      </c>
      <c r="N23" s="193" t="n">
        <v>41639</v>
      </c>
      <c r="O23" s="193" t="n">
        <v>42004</v>
      </c>
      <c r="P23" s="193" t="n">
        <v>42369</v>
      </c>
      <c r="Q23" s="193" t="n">
        <v>42735</v>
      </c>
      <c r="R23" s="193" t="n">
        <v>43100</v>
      </c>
      <c r="S23" s="193" t="n">
        <v>43465</v>
      </c>
      <c r="T23" s="193" t="n">
        <v>43830</v>
      </c>
      <c r="U23" s="193" t="n">
        <v>44196</v>
      </c>
      <c r="V23" s="4"/>
      <c r="W23" s="202"/>
      <c r="X23" s="202"/>
    </row>
    <row r="24" customFormat="false" ht="12.75" hidden="false" customHeight="false" outlineLevel="0" collapsed="false">
      <c r="A24" s="195" t="s">
        <v>124</v>
      </c>
      <c r="B24" s="172" t="n">
        <f aca="false">B21</f>
        <v>0</v>
      </c>
      <c r="C24" s="172" t="n">
        <f aca="false">C21</f>
        <v>0</v>
      </c>
      <c r="D24" s="172" t="n">
        <f aca="false">D21</f>
        <v>0</v>
      </c>
      <c r="E24" s="172" t="n">
        <f aca="false">E21</f>
        <v>0</v>
      </c>
      <c r="F24" s="172" t="n">
        <f aca="false">F21</f>
        <v>0</v>
      </c>
      <c r="G24" s="172" t="n">
        <f aca="false">G21</f>
        <v>0</v>
      </c>
      <c r="H24" s="172" t="n">
        <f aca="false">H21</f>
        <v>0</v>
      </c>
      <c r="I24" s="172" t="n">
        <f aca="false">I21</f>
        <v>0</v>
      </c>
      <c r="J24" s="172" t="n">
        <f aca="false">J21</f>
        <v>0</v>
      </c>
      <c r="K24" s="172" t="n">
        <f aca="false">K21</f>
        <v>0</v>
      </c>
      <c r="L24" s="172" t="n">
        <f aca="false">L21</f>
        <v>0</v>
      </c>
      <c r="M24" s="172" t="n">
        <f aca="false">M21</f>
        <v>0</v>
      </c>
      <c r="N24" s="172" t="n">
        <f aca="false">N21</f>
        <v>0</v>
      </c>
      <c r="O24" s="172" t="n">
        <f aca="false">O21</f>
        <v>0</v>
      </c>
      <c r="P24" s="172" t="n">
        <f aca="false">P21</f>
        <v>0</v>
      </c>
      <c r="Q24" s="172" t="n">
        <f aca="false">Q21</f>
        <v>0</v>
      </c>
      <c r="R24" s="172" t="n">
        <f aca="false">R21</f>
        <v>0</v>
      </c>
      <c r="S24" s="172" t="n">
        <f aca="false">S21</f>
        <v>0</v>
      </c>
      <c r="T24" s="172" t="n">
        <f aca="false">T21</f>
        <v>0</v>
      </c>
      <c r="U24" s="172" t="n">
        <f aca="false">U21</f>
        <v>0</v>
      </c>
      <c r="V24" s="4"/>
      <c r="W24" s="202"/>
      <c r="X24" s="202"/>
    </row>
    <row r="25" customFormat="false" ht="12.75" hidden="false" customHeight="false" outlineLevel="0" collapsed="false">
      <c r="A25" s="195" t="s">
        <v>127</v>
      </c>
      <c r="B25" s="201" t="n">
        <v>0</v>
      </c>
      <c r="C25" s="201" t="n">
        <v>0</v>
      </c>
      <c r="D25" s="201" t="n">
        <v>0</v>
      </c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4"/>
      <c r="W25" s="202"/>
      <c r="X25" s="202"/>
    </row>
    <row r="26" customFormat="false" ht="12.75" hidden="false" customHeight="false" outlineLevel="0" collapsed="false">
      <c r="A26" s="195" t="s">
        <v>128</v>
      </c>
      <c r="B26" s="172" t="n">
        <f aca="false">B25*$B$14</f>
        <v>0</v>
      </c>
      <c r="C26" s="172" t="n">
        <f aca="false">C25*$B$14</f>
        <v>0</v>
      </c>
      <c r="D26" s="172" t="n">
        <f aca="false">D25*$B$14</f>
        <v>0</v>
      </c>
      <c r="E26" s="172" t="n">
        <f aca="false">E25*$B$14</f>
        <v>0</v>
      </c>
      <c r="F26" s="172" t="n">
        <f aca="false">F25*$B$14</f>
        <v>0</v>
      </c>
      <c r="G26" s="172" t="n">
        <f aca="false">G25*$B$14</f>
        <v>0</v>
      </c>
      <c r="H26" s="172" t="n">
        <f aca="false">H25*$B$14</f>
        <v>0</v>
      </c>
      <c r="I26" s="172" t="n">
        <f aca="false">I25*$B$14</f>
        <v>0</v>
      </c>
      <c r="J26" s="172" t="n">
        <f aca="false">J25*$B$14</f>
        <v>0</v>
      </c>
      <c r="K26" s="172" t="n">
        <f aca="false">K25*$B$14</f>
        <v>0</v>
      </c>
      <c r="L26" s="172" t="n">
        <f aca="false">L25*$B$14</f>
        <v>0</v>
      </c>
      <c r="M26" s="172" t="n">
        <f aca="false">M25*$B$14</f>
        <v>0</v>
      </c>
      <c r="N26" s="172" t="n">
        <f aca="false">N25*$B$14</f>
        <v>0</v>
      </c>
      <c r="O26" s="172" t="n">
        <f aca="false">O25*$B$14</f>
        <v>0</v>
      </c>
      <c r="P26" s="172" t="n">
        <f aca="false">P25*$B$14</f>
        <v>0</v>
      </c>
      <c r="Q26" s="172" t="n">
        <f aca="false">Q25*$B$14</f>
        <v>0</v>
      </c>
      <c r="R26" s="172" t="n">
        <f aca="false">R25*$B$14</f>
        <v>0</v>
      </c>
      <c r="S26" s="172" t="n">
        <f aca="false">S25*$B$14</f>
        <v>0</v>
      </c>
      <c r="T26" s="172" t="n">
        <f aca="false">T25*$B$14</f>
        <v>0</v>
      </c>
      <c r="U26" s="172" t="n">
        <f aca="false">U25*$B$14</f>
        <v>0</v>
      </c>
      <c r="V26" s="4"/>
      <c r="W26" s="202"/>
      <c r="X26" s="202"/>
    </row>
    <row r="27" customFormat="false" ht="12.75" hidden="false" customHeight="false" outlineLevel="0" collapsed="false">
      <c r="A27" s="195" t="s">
        <v>125</v>
      </c>
      <c r="B27" s="197" t="n">
        <f aca="false">B24*$E$97*(B23-B16)/365.25</f>
        <v>0</v>
      </c>
      <c r="C27" s="197" t="n">
        <f aca="false">C24*$E$97*(C23-C16)/365.25</f>
        <v>0</v>
      </c>
      <c r="D27" s="197" t="n">
        <f aca="false">D24*$E$97*(D23-D16)/365.25</f>
        <v>0</v>
      </c>
      <c r="E27" s="197" t="n">
        <f aca="false">E24*$E$97*(E23-E16)/365.25</f>
        <v>0</v>
      </c>
      <c r="F27" s="197" t="n">
        <f aca="false">F24*$E$97*(F23-F16)/365.25</f>
        <v>0</v>
      </c>
      <c r="G27" s="197" t="n">
        <f aca="false">G24*$E$97*(G23-G16)/365.25</f>
        <v>0</v>
      </c>
      <c r="H27" s="197" t="n">
        <f aca="false">H24*$E$97*(H23-H16)/365.25</f>
        <v>0</v>
      </c>
      <c r="I27" s="197" t="n">
        <f aca="false">I24*$E$97*(I23-I16)/365.25</f>
        <v>0</v>
      </c>
      <c r="J27" s="197" t="n">
        <f aca="false">J24*$E$97*(J23-J16)/365.25</f>
        <v>0</v>
      </c>
      <c r="K27" s="197" t="n">
        <f aca="false">K24*$E$97*(K23-K16)/365.25</f>
        <v>0</v>
      </c>
      <c r="L27" s="197" t="n">
        <f aca="false">L24*$E$97*(L23-L16)/365.25</f>
        <v>0</v>
      </c>
      <c r="M27" s="197" t="n">
        <f aca="false">M24*$E$97*(M23-M16)/365.25</f>
        <v>0</v>
      </c>
      <c r="N27" s="197" t="n">
        <f aca="false">N24*$E$97*(N23-N16)/365.25</f>
        <v>0</v>
      </c>
      <c r="O27" s="197" t="n">
        <f aca="false">O24*$E$97*(O23-O16)/365.25</f>
        <v>0</v>
      </c>
      <c r="P27" s="197" t="n">
        <f aca="false">P24*$E$97*(P23-P16)/365.25</f>
        <v>0</v>
      </c>
      <c r="Q27" s="197" t="n">
        <f aca="false">Q24*$E$97*(Q23-Q16)/365.25</f>
        <v>0</v>
      </c>
      <c r="R27" s="197" t="n">
        <f aca="false">R24*$E$97*(R23-R16)/365.25</f>
        <v>0</v>
      </c>
      <c r="S27" s="197" t="n">
        <f aca="false">S24*$E$97*(S23-S16)/365.25</f>
        <v>0</v>
      </c>
      <c r="T27" s="197" t="n">
        <f aca="false">T24*$E$97*(T23-T16)/365.25</f>
        <v>0</v>
      </c>
      <c r="U27" s="197" t="n">
        <f aca="false">U24*$E$97*(U23-U16)/365.25</f>
        <v>0</v>
      </c>
      <c r="V27" s="4"/>
      <c r="W27" s="202"/>
      <c r="X27" s="202"/>
    </row>
    <row r="28" customFormat="false" ht="12.75" hidden="false" customHeight="false" outlineLevel="0" collapsed="false">
      <c r="A28" s="195" t="s">
        <v>126</v>
      </c>
      <c r="B28" s="172" t="n">
        <f aca="false">B24-B26</f>
        <v>0</v>
      </c>
      <c r="C28" s="172" t="n">
        <f aca="false">C24-C26</f>
        <v>0</v>
      </c>
      <c r="D28" s="172" t="n">
        <f aca="false">D24-D26</f>
        <v>0</v>
      </c>
      <c r="E28" s="172" t="n">
        <f aca="false">E24-E26</f>
        <v>0</v>
      </c>
      <c r="F28" s="172" t="n">
        <f aca="false">F24-F26</f>
        <v>0</v>
      </c>
      <c r="G28" s="172" t="n">
        <f aca="false">G24-G26</f>
        <v>0</v>
      </c>
      <c r="H28" s="172" t="n">
        <f aca="false">H24-H26</f>
        <v>0</v>
      </c>
      <c r="I28" s="172" t="n">
        <f aca="false">I24-I26</f>
        <v>0</v>
      </c>
      <c r="J28" s="172" t="n">
        <f aca="false">J24-J26</f>
        <v>0</v>
      </c>
      <c r="K28" s="172" t="n">
        <f aca="false">K24-K26</f>
        <v>0</v>
      </c>
      <c r="L28" s="172" t="n">
        <f aca="false">L24-L26</f>
        <v>0</v>
      </c>
      <c r="M28" s="172" t="n">
        <f aca="false">M24-M26</f>
        <v>0</v>
      </c>
      <c r="N28" s="172" t="n">
        <f aca="false">N24-N26</f>
        <v>0</v>
      </c>
      <c r="O28" s="172" t="n">
        <f aca="false">O24-O26</f>
        <v>0</v>
      </c>
      <c r="P28" s="172" t="n">
        <f aca="false">P24-P26</f>
        <v>0</v>
      </c>
      <c r="Q28" s="172" t="n">
        <f aca="false">Q24-Q26</f>
        <v>0</v>
      </c>
      <c r="R28" s="172" t="n">
        <f aca="false">R24-R26</f>
        <v>0</v>
      </c>
      <c r="S28" s="172" t="n">
        <f aca="false">S24-S26</f>
        <v>0</v>
      </c>
      <c r="T28" s="172" t="n">
        <f aca="false">T24-T26</f>
        <v>0</v>
      </c>
      <c r="U28" s="172" t="n">
        <f aca="false">U24-U26</f>
        <v>0</v>
      </c>
      <c r="W28" s="196"/>
      <c r="X28" s="196"/>
    </row>
    <row r="29" customFormat="false" ht="12.75" hidden="false" customHeight="false" outlineLevel="0" collapsed="false">
      <c r="A29" s="195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W29" s="196"/>
      <c r="X29" s="196"/>
    </row>
    <row r="30" customFormat="false" ht="12.75" hidden="false" customHeight="false" outlineLevel="0" collapsed="false">
      <c r="A30" s="192" t="s">
        <v>13</v>
      </c>
      <c r="B30" s="4"/>
      <c r="C30" s="19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W30" s="196"/>
      <c r="X30" s="196"/>
    </row>
    <row r="31" customFormat="false" ht="12.75" hidden="false" customHeight="false" outlineLevel="0" collapsed="false">
      <c r="B31" s="193" t="n">
        <f aca="false">'Summary Output'!$C$14</f>
        <v>36892</v>
      </c>
      <c r="C31" s="193" t="n">
        <v>37257</v>
      </c>
      <c r="D31" s="193" t="n">
        <v>37622</v>
      </c>
      <c r="E31" s="193" t="n">
        <v>37987</v>
      </c>
      <c r="F31" s="193" t="n">
        <v>38353</v>
      </c>
      <c r="G31" s="193" t="n">
        <v>38718</v>
      </c>
      <c r="H31" s="193" t="n">
        <v>39083</v>
      </c>
      <c r="I31" s="193" t="n">
        <v>39448</v>
      </c>
      <c r="J31" s="193" t="n">
        <v>39814</v>
      </c>
      <c r="K31" s="193" t="n">
        <v>40179</v>
      </c>
      <c r="L31" s="193" t="n">
        <v>40544</v>
      </c>
      <c r="M31" s="193" t="n">
        <v>40909</v>
      </c>
      <c r="N31" s="193" t="n">
        <v>41275</v>
      </c>
      <c r="O31" s="193" t="n">
        <v>41640</v>
      </c>
      <c r="P31" s="193" t="n">
        <v>42005</v>
      </c>
      <c r="Q31" s="193" t="n">
        <v>42370</v>
      </c>
      <c r="R31" s="193" t="n">
        <v>42736</v>
      </c>
      <c r="S31" s="193" t="n">
        <v>43101</v>
      </c>
      <c r="T31" s="193" t="n">
        <v>43466</v>
      </c>
      <c r="U31" s="193" t="n">
        <v>43831</v>
      </c>
      <c r="W31" s="196"/>
      <c r="X31" s="196"/>
    </row>
    <row r="32" customFormat="false" ht="12.75" hidden="false" customHeight="false" outlineLevel="0" collapsed="false">
      <c r="A32" s="195" t="s">
        <v>124</v>
      </c>
      <c r="B32" s="172" t="n">
        <v>0</v>
      </c>
      <c r="C32" s="172" t="n">
        <f aca="false">B48</f>
        <v>106019.6228</v>
      </c>
      <c r="D32" s="172" t="n">
        <f aca="false">C48</f>
        <v>98182.2114</v>
      </c>
      <c r="E32" s="172" t="n">
        <f aca="false">D48</f>
        <v>89238.0762</v>
      </c>
      <c r="F32" s="172" t="n">
        <f aca="false">E48</f>
        <v>78893.5966</v>
      </c>
      <c r="G32" s="172" t="n">
        <f aca="false">F48</f>
        <v>66922.9106</v>
      </c>
      <c r="H32" s="172" t="n">
        <f aca="false">G48</f>
        <v>54681.1902</v>
      </c>
      <c r="I32" s="172" t="n">
        <f aca="false">H48</f>
        <v>42010.332</v>
      </c>
      <c r="J32" s="172" t="n">
        <f aca="false">I48</f>
        <v>28797.405</v>
      </c>
      <c r="K32" s="172" t="n">
        <f aca="false">J48</f>
        <v>14839.1334</v>
      </c>
      <c r="L32" s="172" t="n">
        <f aca="false">K48</f>
        <v>0</v>
      </c>
      <c r="M32" s="172" t="n">
        <f aca="false">L48</f>
        <v>0</v>
      </c>
      <c r="N32" s="172" t="n">
        <f aca="false">M48</f>
        <v>0</v>
      </c>
      <c r="O32" s="172" t="n">
        <f aca="false">N48</f>
        <v>0</v>
      </c>
      <c r="P32" s="172" t="n">
        <f aca="false">O48</f>
        <v>0</v>
      </c>
      <c r="Q32" s="172" t="n">
        <f aca="false">P48</f>
        <v>0</v>
      </c>
      <c r="R32" s="172" t="n">
        <f aca="false">Q48</f>
        <v>0</v>
      </c>
      <c r="S32" s="172" t="n">
        <f aca="false">R48</f>
        <v>0</v>
      </c>
      <c r="T32" s="172" t="n">
        <f aca="false">S48</f>
        <v>0</v>
      </c>
      <c r="U32" s="172" t="n">
        <f aca="false">T48</f>
        <v>0</v>
      </c>
      <c r="W32" s="196"/>
      <c r="X32" s="196"/>
    </row>
    <row r="33" customFormat="false" ht="12.75" hidden="false" customHeight="false" outlineLevel="0" collapsed="false">
      <c r="A33" s="195" t="s">
        <v>125</v>
      </c>
      <c r="B33" s="197" t="n">
        <v>0</v>
      </c>
      <c r="C33" s="197" t="n">
        <f aca="false">C32*$J$97*(C31-B43)/365.25</f>
        <v>31.9292498507871</v>
      </c>
      <c r="D33" s="197" t="n">
        <f aca="false">D32*$J$97*(D31-C43)/365.25</f>
        <v>29.5689069240246</v>
      </c>
      <c r="E33" s="197" t="n">
        <f aca="false">E32*$J$97*(E31-D43)/365.25</f>
        <v>26.8752590882957</v>
      </c>
      <c r="F33" s="197" t="n">
        <f aca="false">F32*$J$97*(F31-E43)/365.25</f>
        <v>23.7598785106092</v>
      </c>
      <c r="G33" s="197" t="n">
        <f aca="false">G32*$J$97*(G31-F43)/365.25</f>
        <v>20.154743780972</v>
      </c>
      <c r="H33" s="197" t="n">
        <f aca="false">H32*$J$97*(H31-G43)/365.25</f>
        <v>16.4679833593429</v>
      </c>
      <c r="I33" s="197" t="n">
        <f aca="false">I32*$J$97*(I31-H43)/365.25</f>
        <v>12.6519822587269</v>
      </c>
      <c r="J33" s="197" t="n">
        <f aca="false">J32*$J$97*(J31-I43)/365.25</f>
        <v>8.67272977412732</v>
      </c>
      <c r="K33" s="197" t="n">
        <f aca="false">K32*$J$97*(K31-J43)/365.25</f>
        <v>4.46900663655032</v>
      </c>
      <c r="L33" s="197" t="n">
        <f aca="false">L32*$J$97*(L31-K43)/365.25</f>
        <v>0</v>
      </c>
      <c r="M33" s="197" t="n">
        <f aca="false">M32*$J$97*(M31-L43)/365.25</f>
        <v>0</v>
      </c>
      <c r="N33" s="197" t="n">
        <f aca="false">N32*$J$97*(N31-M43)/365.25</f>
        <v>0</v>
      </c>
      <c r="O33" s="197" t="n">
        <f aca="false">O32*$J$97*(O31-N43)/365.25</f>
        <v>0</v>
      </c>
      <c r="P33" s="197" t="n">
        <f aca="false">P32*$J$97*(P31-O43)/365.25</f>
        <v>0</v>
      </c>
      <c r="Q33" s="197" t="n">
        <f aca="false">Q32*$J$97*(Q31-P43)/365.25</f>
        <v>0</v>
      </c>
      <c r="R33" s="197" t="n">
        <f aca="false">R32*$J$97*(R31-Q43)/365.25</f>
        <v>0</v>
      </c>
      <c r="S33" s="197" t="n">
        <f aca="false">S32*$J$97*(S31-R43)/365.25</f>
        <v>0</v>
      </c>
      <c r="T33" s="197" t="n">
        <f aca="false">T32*$J$97*(T31-S43)/365.25</f>
        <v>0</v>
      </c>
      <c r="U33" s="197" t="n">
        <f aca="false">U32*$J$97*(U31-T43)/365.25</f>
        <v>0</v>
      </c>
      <c r="V33" s="4"/>
      <c r="W33" s="202"/>
      <c r="X33" s="202"/>
    </row>
    <row r="34" customFormat="false" ht="12.75" hidden="false" customHeight="false" outlineLevel="0" collapsed="false">
      <c r="A34" s="195" t="s">
        <v>126</v>
      </c>
      <c r="B34" s="160" t="n">
        <f aca="false">'Summary Output'!C15</f>
        <v>112931</v>
      </c>
      <c r="C34" s="172" t="n">
        <f aca="false">C32</f>
        <v>106019.6228</v>
      </c>
      <c r="D34" s="172" t="n">
        <f aca="false">D32</f>
        <v>98182.2114</v>
      </c>
      <c r="E34" s="172" t="n">
        <f aca="false">E32</f>
        <v>89238.0762</v>
      </c>
      <c r="F34" s="172" t="n">
        <f aca="false">F32</f>
        <v>78893.5966</v>
      </c>
      <c r="G34" s="172" t="n">
        <f aca="false">G32</f>
        <v>66922.9106</v>
      </c>
      <c r="H34" s="172" t="n">
        <f aca="false">H32</f>
        <v>54681.1902</v>
      </c>
      <c r="I34" s="172" t="n">
        <f aca="false">I32</f>
        <v>42010.332</v>
      </c>
      <c r="J34" s="172" t="n">
        <f aca="false">J32</f>
        <v>28797.405</v>
      </c>
      <c r="K34" s="172" t="n">
        <f aca="false">K32</f>
        <v>14839.1334</v>
      </c>
      <c r="L34" s="172" t="n">
        <f aca="false">L32</f>
        <v>0</v>
      </c>
      <c r="M34" s="172" t="n">
        <f aca="false">M32</f>
        <v>0</v>
      </c>
      <c r="N34" s="172" t="n">
        <f aca="false">N32</f>
        <v>0</v>
      </c>
      <c r="O34" s="172" t="n">
        <f aca="false">O32</f>
        <v>0</v>
      </c>
      <c r="P34" s="172" t="n">
        <f aca="false">P32</f>
        <v>0</v>
      </c>
      <c r="Q34" s="172" t="n">
        <f aca="false">Q32</f>
        <v>0</v>
      </c>
      <c r="R34" s="172" t="n">
        <f aca="false">R32</f>
        <v>0</v>
      </c>
      <c r="S34" s="172" t="n">
        <f aca="false">S32</f>
        <v>0</v>
      </c>
      <c r="T34" s="172" t="n">
        <f aca="false">T32</f>
        <v>0</v>
      </c>
      <c r="U34" s="172" t="n">
        <f aca="false">U32</f>
        <v>0</v>
      </c>
      <c r="V34" s="4"/>
      <c r="W34" s="198" t="n">
        <f aca="false">SUM(B39:U39,B46:U46)</f>
        <v>112931</v>
      </c>
      <c r="X34" s="199" t="n">
        <f aca="false">B34-W34</f>
        <v>0</v>
      </c>
    </row>
    <row r="35" customFormat="false" ht="12.75" hidden="false" customHeight="false" outlineLevel="0" collapsed="false">
      <c r="B35" s="200"/>
      <c r="C35" s="19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02"/>
      <c r="X35" s="202"/>
    </row>
    <row r="36" customFormat="false" ht="12.75" hidden="false" customHeight="false" outlineLevel="0" collapsed="false">
      <c r="A36" s="168"/>
      <c r="B36" s="193" t="n">
        <v>37072</v>
      </c>
      <c r="C36" s="193" t="n">
        <v>37437</v>
      </c>
      <c r="D36" s="193" t="n">
        <v>37802</v>
      </c>
      <c r="E36" s="193" t="n">
        <v>38168</v>
      </c>
      <c r="F36" s="193" t="n">
        <v>38533</v>
      </c>
      <c r="G36" s="193" t="n">
        <v>38898</v>
      </c>
      <c r="H36" s="193" t="n">
        <v>39263</v>
      </c>
      <c r="I36" s="193" t="n">
        <v>39629</v>
      </c>
      <c r="J36" s="193" t="n">
        <v>39994</v>
      </c>
      <c r="K36" s="193" t="n">
        <v>40359</v>
      </c>
      <c r="L36" s="193" t="n">
        <v>40724</v>
      </c>
      <c r="M36" s="193" t="n">
        <v>41090</v>
      </c>
      <c r="N36" s="193" t="n">
        <v>41455</v>
      </c>
      <c r="O36" s="193" t="n">
        <v>41820</v>
      </c>
      <c r="P36" s="193" t="n">
        <v>42185</v>
      </c>
      <c r="Q36" s="193" t="n">
        <v>42551</v>
      </c>
      <c r="R36" s="193" t="n">
        <v>42916</v>
      </c>
      <c r="S36" s="193" t="n">
        <v>43281</v>
      </c>
      <c r="T36" s="193" t="n">
        <v>43646</v>
      </c>
      <c r="U36" s="193" t="n">
        <v>44012</v>
      </c>
      <c r="V36" s="4"/>
      <c r="W36" s="202"/>
      <c r="X36" s="202"/>
    </row>
    <row r="37" customFormat="false" ht="12.75" hidden="false" customHeight="false" outlineLevel="0" collapsed="false">
      <c r="A37" s="195" t="s">
        <v>124</v>
      </c>
      <c r="B37" s="172" t="n">
        <f aca="false">B34</f>
        <v>112931</v>
      </c>
      <c r="C37" s="172" t="n">
        <f aca="false">C34</f>
        <v>106019.6228</v>
      </c>
      <c r="D37" s="172" t="n">
        <f aca="false">D34</f>
        <v>98182.2114</v>
      </c>
      <c r="E37" s="172" t="n">
        <f aca="false">E34</f>
        <v>89238.0762</v>
      </c>
      <c r="F37" s="172" t="n">
        <f aca="false">F34</f>
        <v>78893.5966</v>
      </c>
      <c r="G37" s="172" t="n">
        <f aca="false">G34</f>
        <v>66922.9106</v>
      </c>
      <c r="H37" s="172" t="n">
        <f aca="false">H34</f>
        <v>54681.1902</v>
      </c>
      <c r="I37" s="172" t="n">
        <f aca="false">I34</f>
        <v>42010.332</v>
      </c>
      <c r="J37" s="172" t="n">
        <f aca="false">J34</f>
        <v>28797.405</v>
      </c>
      <c r="K37" s="172" t="n">
        <f aca="false">K34</f>
        <v>14839.1334</v>
      </c>
      <c r="L37" s="172" t="n">
        <f aca="false">L34</f>
        <v>0</v>
      </c>
      <c r="M37" s="172" t="n">
        <f aca="false">M34</f>
        <v>0</v>
      </c>
      <c r="N37" s="172" t="n">
        <f aca="false">N34</f>
        <v>0</v>
      </c>
      <c r="O37" s="172" t="n">
        <f aca="false">O34</f>
        <v>0</v>
      </c>
      <c r="P37" s="172" t="n">
        <f aca="false">P34</f>
        <v>0</v>
      </c>
      <c r="Q37" s="172" t="n">
        <f aca="false">Q34</f>
        <v>0</v>
      </c>
      <c r="R37" s="172" t="n">
        <f aca="false">R34</f>
        <v>0</v>
      </c>
      <c r="S37" s="172" t="n">
        <f aca="false">S34</f>
        <v>0</v>
      </c>
      <c r="T37" s="172" t="n">
        <f aca="false">T34</f>
        <v>0</v>
      </c>
      <c r="U37" s="172" t="n">
        <f aca="false">U34</f>
        <v>0</v>
      </c>
      <c r="V37" s="4"/>
      <c r="W37" s="202"/>
      <c r="X37" s="202"/>
    </row>
    <row r="38" customFormat="false" ht="12.75" hidden="false" customHeight="false" outlineLevel="0" collapsed="false">
      <c r="A38" s="195" t="s">
        <v>127</v>
      </c>
      <c r="B38" s="201" t="n">
        <v>0.0306</v>
      </c>
      <c r="C38" s="201" t="n">
        <v>0.0347</v>
      </c>
      <c r="D38" s="201" t="n">
        <v>0.0396</v>
      </c>
      <c r="E38" s="201" t="n">
        <v>0.0458</v>
      </c>
      <c r="F38" s="201" t="n">
        <v>0.053</v>
      </c>
      <c r="G38" s="201" t="n">
        <v>0.0542</v>
      </c>
      <c r="H38" s="201" t="n">
        <v>0.0561</v>
      </c>
      <c r="I38" s="201" t="n">
        <v>0.0585</v>
      </c>
      <c r="J38" s="201" t="n">
        <v>0.0618</v>
      </c>
      <c r="K38" s="201" t="n">
        <v>0.0657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W38" s="196"/>
      <c r="X38" s="196"/>
    </row>
    <row r="39" customFormat="false" ht="12.75" hidden="false" customHeight="false" outlineLevel="0" collapsed="false">
      <c r="A39" s="195" t="s">
        <v>128</v>
      </c>
      <c r="B39" s="172" t="n">
        <f aca="false">B38*$B$34</f>
        <v>3455.6886</v>
      </c>
      <c r="C39" s="172" t="n">
        <f aca="false">C38*$B$34</f>
        <v>3918.7057</v>
      </c>
      <c r="D39" s="172" t="n">
        <f aca="false">D38*$B$34</f>
        <v>4472.0676</v>
      </c>
      <c r="E39" s="172" t="n">
        <f aca="false">E38*$B$34</f>
        <v>5172.2398</v>
      </c>
      <c r="F39" s="172" t="n">
        <f aca="false">F38*$B$34</f>
        <v>5985.343</v>
      </c>
      <c r="G39" s="172" t="n">
        <f aca="false">G38*$B$34</f>
        <v>6120.8602</v>
      </c>
      <c r="H39" s="172" t="n">
        <f aca="false">H38*$B$34</f>
        <v>6335.4291</v>
      </c>
      <c r="I39" s="172" t="n">
        <f aca="false">I38*$B$34</f>
        <v>6606.4635</v>
      </c>
      <c r="J39" s="172" t="n">
        <f aca="false">J38*$B$34</f>
        <v>6979.1358</v>
      </c>
      <c r="K39" s="172" t="n">
        <f aca="false">K38*$B$34</f>
        <v>7419.5667</v>
      </c>
      <c r="L39" s="172" t="n">
        <f aca="false">L38*$B$34</f>
        <v>0</v>
      </c>
      <c r="M39" s="172" t="n">
        <f aca="false">M38*$B$34</f>
        <v>0</v>
      </c>
      <c r="N39" s="172" t="n">
        <f aca="false">N38*$B$34</f>
        <v>0</v>
      </c>
      <c r="O39" s="172" t="n">
        <f aca="false">O38*$B$34</f>
        <v>0</v>
      </c>
      <c r="P39" s="172" t="n">
        <f aca="false">P38*$B$34</f>
        <v>0</v>
      </c>
      <c r="Q39" s="172" t="n">
        <f aca="false">Q38*$B$34</f>
        <v>0</v>
      </c>
      <c r="R39" s="172" t="n">
        <f aca="false">R38*$B$34</f>
        <v>0</v>
      </c>
      <c r="S39" s="172" t="n">
        <f aca="false">S38*$B$34</f>
        <v>0</v>
      </c>
      <c r="T39" s="172" t="n">
        <f aca="false">T38*$B$34</f>
        <v>0</v>
      </c>
      <c r="U39" s="172" t="n">
        <f aca="false">U38*$B$34</f>
        <v>0</v>
      </c>
      <c r="V39" s="4"/>
      <c r="W39" s="202"/>
      <c r="X39" s="202"/>
    </row>
    <row r="40" customFormat="false" ht="12.75" hidden="false" customHeight="false" outlineLevel="0" collapsed="false">
      <c r="A40" s="195" t="s">
        <v>125</v>
      </c>
      <c r="B40" s="197" t="n">
        <f aca="false">B37*$J$97*(B36-B31)/365.25</f>
        <v>6121.92689938398</v>
      </c>
      <c r="C40" s="197" t="n">
        <f aca="false">C37*$J$97*(C36-C31)/365.25</f>
        <v>5747.26497314169</v>
      </c>
      <c r="D40" s="197" t="n">
        <f aca="false">D37*$J$97*(D36-D31)/365.25</f>
        <v>5322.40324632444</v>
      </c>
      <c r="E40" s="197" t="n">
        <f aca="false">E37*$J$97*(E36-E31)/365.25</f>
        <v>4864.42189498152</v>
      </c>
      <c r="F40" s="197" t="n">
        <f aca="false">F37*$J$97*(F36-F31)/365.25</f>
        <v>4276.77813190965</v>
      </c>
      <c r="G40" s="197" t="n">
        <f aca="false">G37*$J$97*(G36-G31)/365.25</f>
        <v>3627.85388057495</v>
      </c>
      <c r="H40" s="197" t="n">
        <f aca="false">H37*$J$97*(H36-H31)/365.25</f>
        <v>2964.23700468173</v>
      </c>
      <c r="I40" s="197" t="n">
        <f aca="false">I37*$J$97*(I36-I31)/365.25</f>
        <v>2290.00878882957</v>
      </c>
      <c r="J40" s="197" t="n">
        <f aca="false">J37*$J$97*(J36-J31)/365.25</f>
        <v>1561.09135934292</v>
      </c>
      <c r="K40" s="197" t="n">
        <f aca="false">K37*$J$97*(K36-K31)/365.25</f>
        <v>804.421194579057</v>
      </c>
      <c r="L40" s="197" t="n">
        <f aca="false">L37*$J$97*(L36-L31)/365.25</f>
        <v>0</v>
      </c>
      <c r="M40" s="197" t="n">
        <f aca="false">M37*$J$97*(M36-M31)/365.25</f>
        <v>0</v>
      </c>
      <c r="N40" s="197" t="n">
        <f aca="false">N37*$J$97*(N36-N31)/365.25</f>
        <v>0</v>
      </c>
      <c r="O40" s="197" t="n">
        <f aca="false">O37*$J$97*(O36-O31)/365.25</f>
        <v>0</v>
      </c>
      <c r="P40" s="197" t="n">
        <f aca="false">P37*$J$97*(P36-P31)/365.25</f>
        <v>0</v>
      </c>
      <c r="Q40" s="197" t="n">
        <f aca="false">Q37*$J$97*(Q36-Q31)/365.25</f>
        <v>0</v>
      </c>
      <c r="R40" s="197" t="n">
        <f aca="false">R37*$J$97*(R36-R31)/365.25</f>
        <v>0</v>
      </c>
      <c r="S40" s="197" t="n">
        <f aca="false">S37*$J$97*(S36-S31)/365.25</f>
        <v>0</v>
      </c>
      <c r="T40" s="197" t="n">
        <f aca="false">T37*$J$97*(T36-T31)/365.25</f>
        <v>0</v>
      </c>
      <c r="U40" s="197" t="n">
        <f aca="false">U37*$J$97*(U36-U31)/365.25</f>
        <v>0</v>
      </c>
      <c r="V40" s="4"/>
      <c r="W40" s="202"/>
      <c r="X40" s="202"/>
    </row>
    <row r="41" customFormat="false" ht="12.75" hidden="false" customHeight="false" outlineLevel="0" collapsed="false">
      <c r="A41" s="195" t="s">
        <v>126</v>
      </c>
      <c r="B41" s="172" t="n">
        <f aca="false">B37-B39</f>
        <v>109475.3114</v>
      </c>
      <c r="C41" s="172" t="n">
        <f aca="false">C37-C39</f>
        <v>102100.9171</v>
      </c>
      <c r="D41" s="172" t="n">
        <f aca="false">D37-D39</f>
        <v>93710.1438</v>
      </c>
      <c r="E41" s="172" t="n">
        <f aca="false">E37-E39</f>
        <v>84065.8364</v>
      </c>
      <c r="F41" s="172" t="n">
        <f aca="false">F37-F39</f>
        <v>72908.2536</v>
      </c>
      <c r="G41" s="172" t="n">
        <f aca="false">G37-G39</f>
        <v>60802.0504</v>
      </c>
      <c r="H41" s="172" t="n">
        <f aca="false">H37-H39</f>
        <v>48345.7611</v>
      </c>
      <c r="I41" s="172" t="n">
        <f aca="false">I37-I39</f>
        <v>35403.8685</v>
      </c>
      <c r="J41" s="172" t="n">
        <f aca="false">J37-J39</f>
        <v>21818.2692</v>
      </c>
      <c r="K41" s="172" t="n">
        <f aca="false">K37-K39</f>
        <v>7419.56670000003</v>
      </c>
      <c r="L41" s="172" t="n">
        <f aca="false">L37-L39</f>
        <v>0</v>
      </c>
      <c r="M41" s="172" t="n">
        <f aca="false">M37-M39</f>
        <v>0</v>
      </c>
      <c r="N41" s="172" t="n">
        <f aca="false">N37-N39</f>
        <v>0</v>
      </c>
      <c r="O41" s="172" t="n">
        <f aca="false">O37-O39</f>
        <v>0</v>
      </c>
      <c r="P41" s="172" t="n">
        <f aca="false">P37-P39</f>
        <v>0</v>
      </c>
      <c r="Q41" s="172" t="n">
        <f aca="false">Q37-Q39</f>
        <v>0</v>
      </c>
      <c r="R41" s="172" t="n">
        <f aca="false">R37-R39</f>
        <v>0</v>
      </c>
      <c r="S41" s="172" t="n">
        <f aca="false">S37-S39</f>
        <v>0</v>
      </c>
      <c r="T41" s="172" t="n">
        <f aca="false">T37-T39</f>
        <v>0</v>
      </c>
      <c r="U41" s="172" t="n">
        <f aca="false">U37-U39</f>
        <v>0</v>
      </c>
      <c r="V41" s="4"/>
      <c r="W41" s="202"/>
      <c r="X41" s="202"/>
    </row>
    <row r="42" customFormat="false" ht="12.75" hidden="false" customHeight="false" outlineLevel="0" collapsed="false">
      <c r="A42" s="195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W42" s="196"/>
      <c r="X42" s="196"/>
    </row>
    <row r="43" customFormat="false" ht="12.75" hidden="false" customHeight="false" outlineLevel="0" collapsed="false">
      <c r="A43" s="168"/>
      <c r="B43" s="193" t="n">
        <v>37256</v>
      </c>
      <c r="C43" s="193" t="n">
        <v>37621</v>
      </c>
      <c r="D43" s="193" t="n">
        <v>37986</v>
      </c>
      <c r="E43" s="193" t="n">
        <v>38352</v>
      </c>
      <c r="F43" s="193" t="n">
        <v>38717</v>
      </c>
      <c r="G43" s="193" t="n">
        <v>39082</v>
      </c>
      <c r="H43" s="193" t="n">
        <v>39447</v>
      </c>
      <c r="I43" s="193" t="n">
        <v>39813</v>
      </c>
      <c r="J43" s="193" t="n">
        <v>40178</v>
      </c>
      <c r="K43" s="193" t="n">
        <v>40543</v>
      </c>
      <c r="L43" s="193" t="n">
        <v>40908</v>
      </c>
      <c r="M43" s="193" t="n">
        <v>41274</v>
      </c>
      <c r="N43" s="193" t="n">
        <v>41639</v>
      </c>
      <c r="O43" s="193" t="n">
        <v>42004</v>
      </c>
      <c r="P43" s="193" t="n">
        <v>42369</v>
      </c>
      <c r="Q43" s="193" t="n">
        <v>42735</v>
      </c>
      <c r="R43" s="193" t="n">
        <v>43100</v>
      </c>
      <c r="S43" s="193" t="n">
        <v>43465</v>
      </c>
      <c r="T43" s="193" t="n">
        <v>43830</v>
      </c>
      <c r="U43" s="193" t="n">
        <v>44196</v>
      </c>
      <c r="W43" s="196"/>
      <c r="X43" s="196"/>
    </row>
    <row r="44" customFormat="false" ht="12.75" hidden="false" customHeight="false" outlineLevel="0" collapsed="false">
      <c r="A44" s="195" t="s">
        <v>124</v>
      </c>
      <c r="B44" s="172" t="n">
        <f aca="false">B41</f>
        <v>109475.3114</v>
      </c>
      <c r="C44" s="172" t="n">
        <f aca="false">C41</f>
        <v>102100.9171</v>
      </c>
      <c r="D44" s="172" t="n">
        <f aca="false">D41</f>
        <v>93710.1438</v>
      </c>
      <c r="E44" s="172" t="n">
        <f aca="false">E41</f>
        <v>84065.8364</v>
      </c>
      <c r="F44" s="172" t="n">
        <f aca="false">F41</f>
        <v>72908.2536</v>
      </c>
      <c r="G44" s="172" t="n">
        <f aca="false">G41</f>
        <v>60802.0504</v>
      </c>
      <c r="H44" s="172" t="n">
        <f aca="false">H41</f>
        <v>48345.7611</v>
      </c>
      <c r="I44" s="172" t="n">
        <f aca="false">I41</f>
        <v>35403.8685</v>
      </c>
      <c r="J44" s="172" t="n">
        <f aca="false">J41</f>
        <v>21818.2692</v>
      </c>
      <c r="K44" s="172" t="n">
        <f aca="false">K41</f>
        <v>7419.56670000003</v>
      </c>
      <c r="L44" s="172" t="n">
        <f aca="false">L41</f>
        <v>0</v>
      </c>
      <c r="M44" s="172" t="n">
        <f aca="false">M41</f>
        <v>0</v>
      </c>
      <c r="N44" s="172" t="n">
        <f aca="false">N41</f>
        <v>0</v>
      </c>
      <c r="O44" s="172" t="n">
        <f aca="false">O41</f>
        <v>0</v>
      </c>
      <c r="P44" s="172" t="n">
        <f aca="false">P41</f>
        <v>0</v>
      </c>
      <c r="Q44" s="172" t="n">
        <f aca="false">Q41</f>
        <v>0</v>
      </c>
      <c r="R44" s="172" t="n">
        <f aca="false">R41</f>
        <v>0</v>
      </c>
      <c r="S44" s="172" t="n">
        <f aca="false">S41</f>
        <v>0</v>
      </c>
      <c r="T44" s="172" t="n">
        <f aca="false">T41</f>
        <v>0</v>
      </c>
      <c r="U44" s="172" t="n">
        <f aca="false">U41</f>
        <v>0</v>
      </c>
      <c r="W44" s="196"/>
      <c r="X44" s="196"/>
    </row>
    <row r="45" customFormat="false" ht="12.75" hidden="false" customHeight="false" outlineLevel="0" collapsed="false">
      <c r="A45" s="195" t="s">
        <v>127</v>
      </c>
      <c r="B45" s="201" t="n">
        <f aca="false">B38</f>
        <v>0.0306</v>
      </c>
      <c r="C45" s="201" t="n">
        <f aca="false">C38</f>
        <v>0.0347</v>
      </c>
      <c r="D45" s="201" t="n">
        <f aca="false">D38</f>
        <v>0.0396</v>
      </c>
      <c r="E45" s="201" t="n">
        <f aca="false">E38</f>
        <v>0.0458</v>
      </c>
      <c r="F45" s="201" t="n">
        <f aca="false">F38</f>
        <v>0.053</v>
      </c>
      <c r="G45" s="201" t="n">
        <f aca="false">G38</f>
        <v>0.0542</v>
      </c>
      <c r="H45" s="201" t="n">
        <f aca="false">H38</f>
        <v>0.0561</v>
      </c>
      <c r="I45" s="201" t="n">
        <f aca="false">I38</f>
        <v>0.0585</v>
      </c>
      <c r="J45" s="201" t="n">
        <f aca="false">J38</f>
        <v>0.0618</v>
      </c>
      <c r="K45" s="201" t="n">
        <f aca="false">K38</f>
        <v>0.0657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W45" s="196"/>
      <c r="X45" s="196"/>
    </row>
    <row r="46" customFormat="false" ht="12.75" hidden="false" customHeight="false" outlineLevel="0" collapsed="false">
      <c r="A46" s="195" t="s">
        <v>128</v>
      </c>
      <c r="B46" s="172" t="n">
        <f aca="false">B45*$B$34</f>
        <v>3455.6886</v>
      </c>
      <c r="C46" s="172" t="n">
        <f aca="false">C45*$B$34</f>
        <v>3918.7057</v>
      </c>
      <c r="D46" s="172" t="n">
        <f aca="false">D45*$B$34</f>
        <v>4472.0676</v>
      </c>
      <c r="E46" s="172" t="n">
        <f aca="false">E45*$B$34</f>
        <v>5172.2398</v>
      </c>
      <c r="F46" s="172" t="n">
        <f aca="false">F45*$B$34</f>
        <v>5985.343</v>
      </c>
      <c r="G46" s="172" t="n">
        <f aca="false">G45*$B$34</f>
        <v>6120.8602</v>
      </c>
      <c r="H46" s="172" t="n">
        <f aca="false">H45*$B$34</f>
        <v>6335.4291</v>
      </c>
      <c r="I46" s="172" t="n">
        <f aca="false">I45*$B$34</f>
        <v>6606.4635</v>
      </c>
      <c r="J46" s="172" t="n">
        <f aca="false">J45*$B$34</f>
        <v>6979.1358</v>
      </c>
      <c r="K46" s="172" t="n">
        <f aca="false">K45*$B$34</f>
        <v>7419.5667</v>
      </c>
      <c r="L46" s="172" t="n">
        <f aca="false">L45*$B$34</f>
        <v>0</v>
      </c>
      <c r="M46" s="172" t="n">
        <f aca="false">M45*$B$34</f>
        <v>0</v>
      </c>
      <c r="N46" s="172" t="n">
        <f aca="false">N45*$B$34</f>
        <v>0</v>
      </c>
      <c r="O46" s="172" t="n">
        <f aca="false">O45*$B$34</f>
        <v>0</v>
      </c>
      <c r="P46" s="172" t="n">
        <f aca="false">P45*$B$34</f>
        <v>0</v>
      </c>
      <c r="Q46" s="172" t="n">
        <f aca="false">Q45*$B$34</f>
        <v>0</v>
      </c>
      <c r="R46" s="172" t="n">
        <f aca="false">R45*$B$34</f>
        <v>0</v>
      </c>
      <c r="S46" s="172" t="n">
        <f aca="false">S45*$B$34</f>
        <v>0</v>
      </c>
      <c r="T46" s="172" t="n">
        <f aca="false">T45*$B$34</f>
        <v>0</v>
      </c>
      <c r="U46" s="172" t="n">
        <f aca="false">U45*$B$34</f>
        <v>0</v>
      </c>
      <c r="W46" s="196"/>
      <c r="X46" s="196"/>
    </row>
    <row r="47" customFormat="false" ht="12.75" hidden="false" customHeight="false" outlineLevel="0" collapsed="false">
      <c r="A47" s="195" t="s">
        <v>125</v>
      </c>
      <c r="B47" s="197" t="n">
        <f aca="false">B44*$J$97*(B43-B36)/365.25</f>
        <v>6066.47584595756</v>
      </c>
      <c r="C47" s="197" t="n">
        <f aca="false">C44*$J$97*(C43-C36)/365.25</f>
        <v>5657.83042328268</v>
      </c>
      <c r="D47" s="197" t="n">
        <f aca="false">D44*$J$97*(D43-D36)/365.25</f>
        <v>5192.86327313347</v>
      </c>
      <c r="E47" s="197" t="n">
        <f aca="false">E44*$J$97*(E43-E36)/365.25</f>
        <v>4658.43265909925</v>
      </c>
      <c r="F47" s="197" t="n">
        <f aca="false">F44*$J$97*(F43-F36)/365.25</f>
        <v>4040.14525082546</v>
      </c>
      <c r="G47" s="197" t="n">
        <f aca="false">G44*$J$97*(G43-G36)/365.25</f>
        <v>3369.29089690897</v>
      </c>
      <c r="H47" s="197" t="n">
        <f aca="false">H44*$J$97*(H43-H36)/365.25</f>
        <v>2679.03683686242</v>
      </c>
      <c r="I47" s="197" t="n">
        <f aca="false">I44*$J$97*(I43-I36)/365.25</f>
        <v>1961.87350702259</v>
      </c>
      <c r="J47" s="197" t="n">
        <f aca="false">J44*$J$97*(J43-J36)/365.25</f>
        <v>1209.03974978234</v>
      </c>
      <c r="K47" s="197" t="n">
        <f aca="false">K44*$J$97*(K43-K36)/365.25</f>
        <v>411.14861056263</v>
      </c>
      <c r="L47" s="197" t="n">
        <f aca="false">L44*$J$97*(L43-L36)/365.25</f>
        <v>0</v>
      </c>
      <c r="M47" s="197" t="n">
        <f aca="false">M44*$J$97*(M43-M36)/365.25</f>
        <v>0</v>
      </c>
      <c r="N47" s="197" t="n">
        <f aca="false">N44*$J$97*(N43-N36)/365.25</f>
        <v>0</v>
      </c>
      <c r="O47" s="197" t="n">
        <f aca="false">O44*$J$97*(O43-O36)/365.25</f>
        <v>0</v>
      </c>
      <c r="P47" s="197" t="n">
        <f aca="false">P44*$J$97*(P43-P36)/365.25</f>
        <v>0</v>
      </c>
      <c r="Q47" s="197" t="n">
        <f aca="false">Q44*$J$97*(Q43-Q36)/365.25</f>
        <v>0</v>
      </c>
      <c r="R47" s="197" t="n">
        <f aca="false">R44*$J$97*(R43-R36)/365.25</f>
        <v>0</v>
      </c>
      <c r="S47" s="197" t="n">
        <f aca="false">S44*$J$97*(S43-S36)/365.25</f>
        <v>0</v>
      </c>
      <c r="T47" s="197" t="n">
        <f aca="false">T44*$J$97*(T43-T36)/365.25</f>
        <v>0</v>
      </c>
      <c r="U47" s="197" t="n">
        <f aca="false">U44*$J$97*(U43-U36)/365.25</f>
        <v>0</v>
      </c>
      <c r="W47" s="196"/>
      <c r="X47" s="196"/>
    </row>
    <row r="48" customFormat="false" ht="12.75" hidden="false" customHeight="false" outlineLevel="0" collapsed="false">
      <c r="A48" s="195" t="s">
        <v>126</v>
      </c>
      <c r="B48" s="172" t="n">
        <f aca="false">B44-B46</f>
        <v>106019.6228</v>
      </c>
      <c r="C48" s="172" t="n">
        <f aca="false">C44-C46</f>
        <v>98182.2114</v>
      </c>
      <c r="D48" s="172" t="n">
        <f aca="false">D44-D46</f>
        <v>89238.0762</v>
      </c>
      <c r="E48" s="172" t="n">
        <f aca="false">E44-E46</f>
        <v>78893.5966</v>
      </c>
      <c r="F48" s="172" t="n">
        <f aca="false">F44-F46</f>
        <v>66922.9106</v>
      </c>
      <c r="G48" s="172" t="n">
        <f aca="false">G44-G46</f>
        <v>54681.1902</v>
      </c>
      <c r="H48" s="172" t="n">
        <f aca="false">H44-H46</f>
        <v>42010.332</v>
      </c>
      <c r="I48" s="172" t="n">
        <f aca="false">I44-I46</f>
        <v>28797.405</v>
      </c>
      <c r="J48" s="172" t="n">
        <f aca="false">J44-J46</f>
        <v>14839.1334</v>
      </c>
      <c r="K48" s="172" t="n">
        <f aca="false">K44-K46</f>
        <v>0</v>
      </c>
      <c r="L48" s="172" t="n">
        <f aca="false">L44-L46</f>
        <v>0</v>
      </c>
      <c r="M48" s="172" t="n">
        <f aca="false">M44-M46</f>
        <v>0</v>
      </c>
      <c r="N48" s="172" t="n">
        <f aca="false">N44-N46</f>
        <v>0</v>
      </c>
      <c r="O48" s="172" t="n">
        <f aca="false">O44-O46</f>
        <v>0</v>
      </c>
      <c r="P48" s="172" t="n">
        <f aca="false">P44-P46</f>
        <v>0</v>
      </c>
      <c r="Q48" s="172" t="n">
        <f aca="false">Q44-Q46</f>
        <v>0</v>
      </c>
      <c r="R48" s="172" t="n">
        <f aca="false">R44-R46</f>
        <v>0</v>
      </c>
      <c r="S48" s="172" t="n">
        <f aca="false">S44-S46</f>
        <v>0</v>
      </c>
      <c r="T48" s="172" t="n">
        <f aca="false">T44-T46</f>
        <v>0</v>
      </c>
      <c r="U48" s="172" t="n">
        <f aca="false">U44-U46</f>
        <v>0</v>
      </c>
      <c r="W48" s="196"/>
      <c r="X48" s="196"/>
    </row>
    <row r="49" customFormat="false" ht="12.75" hidden="false" customHeight="false" outlineLevel="0" collapsed="false">
      <c r="A49" s="195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W49" s="196"/>
      <c r="X49" s="196"/>
    </row>
    <row r="50" customFormat="false" ht="12.75" hidden="false" customHeight="false" outlineLevel="0" collapsed="false">
      <c r="A50" s="192" t="s">
        <v>14</v>
      </c>
      <c r="B50" s="4"/>
      <c r="C50" s="19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W50" s="196"/>
      <c r="X50" s="196"/>
    </row>
    <row r="51" customFormat="false" ht="12.75" hidden="false" customHeight="false" outlineLevel="0" collapsed="false">
      <c r="B51" s="193" t="n">
        <f aca="false">'Summary Output'!$C$14</f>
        <v>36892</v>
      </c>
      <c r="C51" s="193" t="n">
        <v>37257</v>
      </c>
      <c r="D51" s="193" t="n">
        <v>37622</v>
      </c>
      <c r="E51" s="193" t="n">
        <v>37987</v>
      </c>
      <c r="F51" s="193" t="n">
        <v>38353</v>
      </c>
      <c r="G51" s="193" t="n">
        <v>38718</v>
      </c>
      <c r="H51" s="193" t="n">
        <v>39083</v>
      </c>
      <c r="I51" s="193" t="n">
        <v>39448</v>
      </c>
      <c r="J51" s="193" t="n">
        <v>39814</v>
      </c>
      <c r="K51" s="193" t="n">
        <v>40179</v>
      </c>
      <c r="L51" s="193" t="n">
        <v>40544</v>
      </c>
      <c r="M51" s="193" t="n">
        <v>40909</v>
      </c>
      <c r="N51" s="193" t="n">
        <v>41275</v>
      </c>
      <c r="O51" s="193" t="n">
        <v>41640</v>
      </c>
      <c r="P51" s="193" t="n">
        <v>42005</v>
      </c>
      <c r="Q51" s="193" t="n">
        <v>42370</v>
      </c>
      <c r="R51" s="193" t="n">
        <v>42736</v>
      </c>
      <c r="S51" s="193" t="n">
        <v>43101</v>
      </c>
      <c r="T51" s="193" t="n">
        <v>43466</v>
      </c>
      <c r="U51" s="193" t="n">
        <v>43831</v>
      </c>
      <c r="W51" s="196"/>
      <c r="X51" s="196"/>
    </row>
    <row r="52" customFormat="false" ht="12.75" hidden="false" customHeight="false" outlineLevel="0" collapsed="false">
      <c r="A52" s="195" t="s">
        <v>124</v>
      </c>
      <c r="B52" s="172" t="n">
        <v>0</v>
      </c>
      <c r="C52" s="172" t="n">
        <f aca="false">B68</f>
        <v>236225</v>
      </c>
      <c r="D52" s="172" t="n">
        <f aca="false">C68</f>
        <v>236225</v>
      </c>
      <c r="E52" s="172" t="n">
        <f aca="false">D68</f>
        <v>236225</v>
      </c>
      <c r="F52" s="172" t="n">
        <f aca="false">E68</f>
        <v>236225</v>
      </c>
      <c r="G52" s="172" t="n">
        <f aca="false">F68</f>
        <v>236225</v>
      </c>
      <c r="H52" s="172" t="n">
        <f aca="false">G68</f>
        <v>236225</v>
      </c>
      <c r="I52" s="172" t="n">
        <f aca="false">H68</f>
        <v>236225</v>
      </c>
      <c r="J52" s="172" t="n">
        <f aca="false">I68</f>
        <v>236225</v>
      </c>
      <c r="K52" s="172" t="n">
        <f aca="false">J68</f>
        <v>236225</v>
      </c>
      <c r="L52" s="172" t="n">
        <f aca="false">K68</f>
        <v>236225</v>
      </c>
      <c r="M52" s="172" t="n">
        <f aca="false">L68</f>
        <v>220397.925</v>
      </c>
      <c r="N52" s="172" t="n">
        <f aca="false">M68</f>
        <v>203389.725</v>
      </c>
      <c r="O52" s="172" t="n">
        <f aca="false">N68</f>
        <v>185058.665</v>
      </c>
      <c r="P52" s="172" t="n">
        <f aca="false">O68</f>
        <v>165168.52</v>
      </c>
      <c r="Q52" s="172" t="n">
        <f aca="false">P68</f>
        <v>143577.555</v>
      </c>
      <c r="R52" s="172" t="n">
        <f aca="false">Q68</f>
        <v>119907.81</v>
      </c>
      <c r="S52" s="172" t="n">
        <f aca="false">R68</f>
        <v>94017.5499999999</v>
      </c>
      <c r="T52" s="172" t="n">
        <f aca="false">S68</f>
        <v>65623.3049999999</v>
      </c>
      <c r="U52" s="172" t="n">
        <f aca="false">T68</f>
        <v>34394.3599999999</v>
      </c>
      <c r="W52" s="196"/>
      <c r="X52" s="196"/>
    </row>
    <row r="53" customFormat="false" ht="12.75" hidden="false" customHeight="false" outlineLevel="0" collapsed="false">
      <c r="A53" s="204" t="s">
        <v>125</v>
      </c>
      <c r="B53" s="197" t="n">
        <v>0</v>
      </c>
      <c r="C53" s="197" t="n">
        <f aca="false">C52*$O$97*(C51-B63)/365.25</f>
        <v>72.4358658453114</v>
      </c>
      <c r="D53" s="197" t="n">
        <f aca="false">D52*$O$97*(D51-C63)/365.25</f>
        <v>72.4358658453114</v>
      </c>
      <c r="E53" s="197" t="n">
        <f aca="false">E52*$O$97*(E51-D63)/365.25</f>
        <v>72.4358658453114</v>
      </c>
      <c r="F53" s="197" t="n">
        <f aca="false">F52*$O$97*(F51-E63)/365.25</f>
        <v>72.4358658453114</v>
      </c>
      <c r="G53" s="197" t="n">
        <f aca="false">G52*$O$97*(G51-F63)/365.25</f>
        <v>72.4358658453114</v>
      </c>
      <c r="H53" s="197" t="n">
        <f aca="false">H52*$O$97*(H51-G63)/365.25</f>
        <v>72.4358658453114</v>
      </c>
      <c r="I53" s="197" t="n">
        <f aca="false">I52*$O$97*(I51-H63)/365.25</f>
        <v>72.4358658453114</v>
      </c>
      <c r="J53" s="197" t="n">
        <f aca="false">J52*$O$97*(J51-I63)/365.25</f>
        <v>72.4358658453114</v>
      </c>
      <c r="K53" s="197" t="n">
        <f aca="false">K52*$O$97*(K51-J63)/365.25</f>
        <v>72.4358658453114</v>
      </c>
      <c r="L53" s="197" t="n">
        <f aca="false">L52*$O$97*(L51-K63)/365.25</f>
        <v>72.4358658453114</v>
      </c>
      <c r="M53" s="197" t="n">
        <f aca="false">M52*$O$97*(M51-L63)/365.25</f>
        <v>67.5826628336756</v>
      </c>
      <c r="N53" s="197" t="n">
        <f aca="false">N52*$O$97*(N51-M63)/365.25</f>
        <v>62.3672804928131</v>
      </c>
      <c r="O53" s="197" t="n">
        <f aca="false">O52*$O$97*(O51-N63)/365.25</f>
        <v>56.746257303217</v>
      </c>
      <c r="P53" s="197" t="n">
        <f aca="false">P52*$O$97*(P51-O63)/365.25</f>
        <v>50.6471573990417</v>
      </c>
      <c r="Q53" s="197" t="n">
        <f aca="false">Q52*$O$97*(Q51-P63)/365.25</f>
        <v>44.0265192607803</v>
      </c>
      <c r="R53" s="197" t="n">
        <f aca="false">R52*$O$97*(R51-Q63)/365.25</f>
        <v>36.7684455030801</v>
      </c>
      <c r="S53" s="197" t="n">
        <f aca="false">S52*$O$97*(S51-R63)/365.25</f>
        <v>28.8294746064339</v>
      </c>
      <c r="T53" s="197" t="n">
        <f aca="false">T52*$O$97*(T51-S63)/365.25</f>
        <v>20.1226835318275</v>
      </c>
      <c r="U53" s="197" t="n">
        <f aca="false">U52*$O$97*(U51-T63)/365.25</f>
        <v>10.5466620670773</v>
      </c>
      <c r="W53" s="196"/>
      <c r="X53" s="196"/>
    </row>
    <row r="54" customFormat="false" ht="12.75" hidden="false" customHeight="false" outlineLevel="0" collapsed="false">
      <c r="A54" s="204" t="s">
        <v>126</v>
      </c>
      <c r="B54" s="160" t="n">
        <f aca="false">'Summary Output'!D15</f>
        <v>236225</v>
      </c>
      <c r="C54" s="172" t="n">
        <f aca="false">C52</f>
        <v>236225</v>
      </c>
      <c r="D54" s="172" t="n">
        <f aca="false">D52</f>
        <v>236225</v>
      </c>
      <c r="E54" s="172" t="n">
        <f aca="false">E52</f>
        <v>236225</v>
      </c>
      <c r="F54" s="172" t="n">
        <f aca="false">F52</f>
        <v>236225</v>
      </c>
      <c r="G54" s="172" t="n">
        <f aca="false">G52</f>
        <v>236225</v>
      </c>
      <c r="H54" s="172" t="n">
        <f aca="false">H52</f>
        <v>236225</v>
      </c>
      <c r="I54" s="172" t="n">
        <f aca="false">I52</f>
        <v>236225</v>
      </c>
      <c r="J54" s="172" t="n">
        <f aca="false">J52</f>
        <v>236225</v>
      </c>
      <c r="K54" s="172" t="n">
        <f aca="false">K52</f>
        <v>236225</v>
      </c>
      <c r="L54" s="172" t="n">
        <f aca="false">L52</f>
        <v>236225</v>
      </c>
      <c r="M54" s="172" t="n">
        <f aca="false">M52</f>
        <v>220397.925</v>
      </c>
      <c r="N54" s="172" t="n">
        <f aca="false">N52</f>
        <v>203389.725</v>
      </c>
      <c r="O54" s="172" t="n">
        <f aca="false">O52</f>
        <v>185058.665</v>
      </c>
      <c r="P54" s="172" t="n">
        <f aca="false">P52</f>
        <v>165168.52</v>
      </c>
      <c r="Q54" s="172" t="n">
        <f aca="false">Q52</f>
        <v>143577.555</v>
      </c>
      <c r="R54" s="172" t="n">
        <f aca="false">R52</f>
        <v>119907.81</v>
      </c>
      <c r="S54" s="172" t="n">
        <f aca="false">S52</f>
        <v>94017.5499999999</v>
      </c>
      <c r="T54" s="172" t="n">
        <f aca="false">T52</f>
        <v>65623.3049999999</v>
      </c>
      <c r="U54" s="172" t="n">
        <f aca="false">U52</f>
        <v>34394.3599999999</v>
      </c>
      <c r="W54" s="198" t="n">
        <f aca="false">SUM(B59:U59,B66:U66)</f>
        <v>236225</v>
      </c>
      <c r="X54" s="199" t="n">
        <f aca="false">B54-W54</f>
        <v>0</v>
      </c>
    </row>
    <row r="55" customFormat="false" ht="12.75" hidden="false" customHeight="false" outlineLevel="0" collapsed="false">
      <c r="B55" s="200"/>
      <c r="C55" s="19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W55" s="196"/>
      <c r="X55" s="196"/>
    </row>
    <row r="56" customFormat="false" ht="12.75" hidden="false" customHeight="false" outlineLevel="0" collapsed="false">
      <c r="A56" s="191"/>
      <c r="B56" s="193" t="n">
        <v>37072</v>
      </c>
      <c r="C56" s="193" t="n">
        <v>37437</v>
      </c>
      <c r="D56" s="193" t="n">
        <v>37802</v>
      </c>
      <c r="E56" s="193" t="n">
        <v>38168</v>
      </c>
      <c r="F56" s="193" t="n">
        <v>38533</v>
      </c>
      <c r="G56" s="193" t="n">
        <v>38898</v>
      </c>
      <c r="H56" s="193" t="n">
        <v>39263</v>
      </c>
      <c r="I56" s="193" t="n">
        <v>39629</v>
      </c>
      <c r="J56" s="193" t="n">
        <v>39994</v>
      </c>
      <c r="K56" s="193" t="n">
        <v>40359</v>
      </c>
      <c r="L56" s="193" t="n">
        <v>40724</v>
      </c>
      <c r="M56" s="193" t="n">
        <v>41090</v>
      </c>
      <c r="N56" s="193" t="n">
        <v>41455</v>
      </c>
      <c r="O56" s="193" t="n">
        <v>41820</v>
      </c>
      <c r="P56" s="193" t="n">
        <v>42185</v>
      </c>
      <c r="Q56" s="193" t="n">
        <v>42551</v>
      </c>
      <c r="R56" s="193" t="n">
        <v>42916</v>
      </c>
      <c r="S56" s="193" t="n">
        <v>43281</v>
      </c>
      <c r="T56" s="193" t="n">
        <v>43646</v>
      </c>
      <c r="U56" s="193" t="n">
        <v>44012</v>
      </c>
      <c r="W56" s="196"/>
      <c r="X56" s="196"/>
    </row>
    <row r="57" customFormat="false" ht="12.75" hidden="false" customHeight="false" outlineLevel="0" collapsed="false">
      <c r="A57" s="204" t="s">
        <v>124</v>
      </c>
      <c r="B57" s="172" t="n">
        <f aca="false">B54</f>
        <v>236225</v>
      </c>
      <c r="C57" s="172" t="n">
        <f aca="false">C54</f>
        <v>236225</v>
      </c>
      <c r="D57" s="172" t="n">
        <f aca="false">D54</f>
        <v>236225</v>
      </c>
      <c r="E57" s="172" t="n">
        <f aca="false">E54</f>
        <v>236225</v>
      </c>
      <c r="F57" s="172" t="n">
        <f aca="false">F54</f>
        <v>236225</v>
      </c>
      <c r="G57" s="172" t="n">
        <f aca="false">G54</f>
        <v>236225</v>
      </c>
      <c r="H57" s="172" t="n">
        <f aca="false">H54</f>
        <v>236225</v>
      </c>
      <c r="I57" s="172" t="n">
        <f aca="false">I54</f>
        <v>236225</v>
      </c>
      <c r="J57" s="172" t="n">
        <f aca="false">J54</f>
        <v>236225</v>
      </c>
      <c r="K57" s="172" t="n">
        <f aca="false">K54</f>
        <v>236225</v>
      </c>
      <c r="L57" s="172" t="n">
        <f aca="false">L54</f>
        <v>236225</v>
      </c>
      <c r="M57" s="172" t="n">
        <f aca="false">M54</f>
        <v>220397.925</v>
      </c>
      <c r="N57" s="172" t="n">
        <f aca="false">N54</f>
        <v>203389.725</v>
      </c>
      <c r="O57" s="172" t="n">
        <f aca="false">O54</f>
        <v>185058.665</v>
      </c>
      <c r="P57" s="172" t="n">
        <f aca="false">P54</f>
        <v>165168.52</v>
      </c>
      <c r="Q57" s="172" t="n">
        <f aca="false">Q54</f>
        <v>143577.555</v>
      </c>
      <c r="R57" s="172" t="n">
        <f aca="false">R54</f>
        <v>119907.81</v>
      </c>
      <c r="S57" s="172" t="n">
        <f aca="false">S54</f>
        <v>94017.5499999999</v>
      </c>
      <c r="T57" s="172" t="n">
        <f aca="false">T54</f>
        <v>65623.3049999999</v>
      </c>
      <c r="U57" s="172" t="n">
        <f aca="false">U54</f>
        <v>34394.3599999999</v>
      </c>
      <c r="W57" s="196"/>
      <c r="X57" s="196"/>
    </row>
    <row r="58" customFormat="false" ht="12.75" hidden="false" customHeight="false" outlineLevel="0" collapsed="false">
      <c r="A58" s="195" t="s">
        <v>127</v>
      </c>
      <c r="B58" s="201" t="n">
        <v>0</v>
      </c>
      <c r="C58" s="201" t="n">
        <v>0</v>
      </c>
      <c r="D58" s="201" t="n">
        <v>0</v>
      </c>
      <c r="E58" s="201" t="n">
        <v>0</v>
      </c>
      <c r="F58" s="201" t="n">
        <v>0</v>
      </c>
      <c r="G58" s="201" t="n">
        <v>0</v>
      </c>
      <c r="H58" s="201" t="n">
        <v>0</v>
      </c>
      <c r="I58" s="201" t="n">
        <v>0</v>
      </c>
      <c r="J58" s="201" t="n">
        <v>0</v>
      </c>
      <c r="K58" s="201" t="n">
        <v>0</v>
      </c>
      <c r="L58" s="201" t="n">
        <v>0.0335</v>
      </c>
      <c r="M58" s="201" t="n">
        <v>0.036</v>
      </c>
      <c r="N58" s="201" t="n">
        <v>0.0388</v>
      </c>
      <c r="O58" s="201" t="n">
        <v>0.0421</v>
      </c>
      <c r="P58" s="201" t="n">
        <v>0.0457</v>
      </c>
      <c r="Q58" s="201" t="n">
        <v>0.0501</v>
      </c>
      <c r="R58" s="201" t="n">
        <v>0.0548</v>
      </c>
      <c r="S58" s="201" t="n">
        <v>0.0601</v>
      </c>
      <c r="T58" s="201" t="n">
        <v>0.0661</v>
      </c>
      <c r="U58" s="201" t="n">
        <v>0.0728</v>
      </c>
      <c r="W58" s="196"/>
      <c r="X58" s="196"/>
    </row>
    <row r="59" customFormat="false" ht="12.75" hidden="false" customHeight="false" outlineLevel="0" collapsed="false">
      <c r="A59" s="204" t="s">
        <v>128</v>
      </c>
      <c r="B59" s="172" t="n">
        <f aca="false">$B$54*B58</f>
        <v>0</v>
      </c>
      <c r="C59" s="172" t="n">
        <f aca="false">$B$54*C58</f>
        <v>0</v>
      </c>
      <c r="D59" s="172" t="n">
        <f aca="false">$B$54*D58</f>
        <v>0</v>
      </c>
      <c r="E59" s="172" t="n">
        <f aca="false">$B$54*E58</f>
        <v>0</v>
      </c>
      <c r="F59" s="172" t="n">
        <f aca="false">$B$54*F58</f>
        <v>0</v>
      </c>
      <c r="G59" s="172" t="n">
        <f aca="false">$B$54*G58</f>
        <v>0</v>
      </c>
      <c r="H59" s="172" t="n">
        <f aca="false">$B$54*H58</f>
        <v>0</v>
      </c>
      <c r="I59" s="172" t="n">
        <f aca="false">$B$54*I58</f>
        <v>0</v>
      </c>
      <c r="J59" s="172" t="n">
        <f aca="false">$B$54*J58</f>
        <v>0</v>
      </c>
      <c r="K59" s="172" t="n">
        <f aca="false">$B$54*K58</f>
        <v>0</v>
      </c>
      <c r="L59" s="172" t="n">
        <f aca="false">$B$54*L58</f>
        <v>7913.5375</v>
      </c>
      <c r="M59" s="172" t="n">
        <f aca="false">$B$54*M58</f>
        <v>8504.1</v>
      </c>
      <c r="N59" s="172" t="n">
        <f aca="false">$B$54*N58</f>
        <v>9165.53</v>
      </c>
      <c r="O59" s="172" t="n">
        <f aca="false">$B$54*O58</f>
        <v>9945.0725</v>
      </c>
      <c r="P59" s="172" t="n">
        <f aca="false">$B$54*P58</f>
        <v>10795.4825</v>
      </c>
      <c r="Q59" s="172" t="n">
        <f aca="false">$B$54*Q58</f>
        <v>11834.8725</v>
      </c>
      <c r="R59" s="172" t="n">
        <f aca="false">$B$54*R58</f>
        <v>12945.13</v>
      </c>
      <c r="S59" s="172" t="n">
        <f aca="false">$B$54*S58</f>
        <v>14197.1225</v>
      </c>
      <c r="T59" s="172" t="n">
        <f aca="false">$B$54*T58</f>
        <v>15614.4725</v>
      </c>
      <c r="U59" s="172" t="n">
        <f aca="false">$B$54*U58</f>
        <v>17197.18</v>
      </c>
      <c r="W59" s="205"/>
      <c r="X59" s="205"/>
    </row>
    <row r="60" customFormat="false" ht="12.75" hidden="false" customHeight="false" outlineLevel="0" collapsed="false">
      <c r="A60" s="195" t="s">
        <v>125</v>
      </c>
      <c r="B60" s="197" t="n">
        <f aca="false">B57*$O$97*(B56-B51)/365.25</f>
        <v>13038.4558521561</v>
      </c>
      <c r="C60" s="197" t="n">
        <f aca="false">C57*$O$97*(C56-C51)/365.25</f>
        <v>13038.4558521561</v>
      </c>
      <c r="D60" s="197" t="n">
        <f aca="false">D57*$O$97*(D56-D51)/365.25</f>
        <v>13038.4558521561</v>
      </c>
      <c r="E60" s="197" t="n">
        <f aca="false">E57*$O$97*(E56-E51)/365.25</f>
        <v>13110.8917180014</v>
      </c>
      <c r="F60" s="197" t="n">
        <f aca="false">F57*$O$97*(F56-F51)/365.25</f>
        <v>13038.4558521561</v>
      </c>
      <c r="G60" s="197" t="n">
        <f aca="false">G57*$O$97*(G56-G51)/365.25</f>
        <v>13038.4558521561</v>
      </c>
      <c r="H60" s="197" t="n">
        <f aca="false">H57*$O$97*(H56-H51)/365.25</f>
        <v>13038.4558521561</v>
      </c>
      <c r="I60" s="197" t="n">
        <f aca="false">I57*$O$97*(I56-I51)/365.25</f>
        <v>13110.8917180014</v>
      </c>
      <c r="J60" s="197" t="n">
        <f aca="false">J57*$O$97*(J56-J51)/365.25</f>
        <v>13038.4558521561</v>
      </c>
      <c r="K60" s="197" t="n">
        <f aca="false">K57*$O$97*(K56-K51)/365.25</f>
        <v>13038.4558521561</v>
      </c>
      <c r="L60" s="197" t="n">
        <f aca="false">L57*$O$97*(L56-L51)/365.25</f>
        <v>13038.4558521561</v>
      </c>
      <c r="M60" s="197" t="n">
        <f aca="false">M57*$O$97*(M56-M51)/365.25</f>
        <v>12232.4619728953</v>
      </c>
      <c r="N60" s="197" t="n">
        <f aca="false">N57*$O$97*(N56-N51)/365.25</f>
        <v>11226.1104887064</v>
      </c>
      <c r="O60" s="197" t="n">
        <f aca="false">O57*$O$97*(O56-O51)/365.25</f>
        <v>10214.3263145791</v>
      </c>
      <c r="P60" s="197" t="n">
        <f aca="false">P57*$O$97*(P56-P51)/365.25</f>
        <v>9116.48833182751</v>
      </c>
      <c r="Q60" s="197" t="n">
        <f aca="false">Q57*$O$97*(Q56-Q51)/365.25</f>
        <v>7968.79998620123</v>
      </c>
      <c r="R60" s="197" t="n">
        <f aca="false">R57*$O$97*(R56-R51)/365.25</f>
        <v>6618.32019055441</v>
      </c>
      <c r="S60" s="197" t="n">
        <f aca="false">S57*$O$97*(S56-S51)/365.25</f>
        <v>5189.30542915811</v>
      </c>
      <c r="T60" s="197" t="n">
        <f aca="false">T57*$O$97*(T56-T51)/365.25</f>
        <v>3622.08303572895</v>
      </c>
      <c r="U60" s="197" t="n">
        <f aca="false">U57*$O$97*(U56-U51)/365.25</f>
        <v>1908.945834141</v>
      </c>
      <c r="W60" s="205"/>
      <c r="X60" s="205"/>
    </row>
    <row r="61" customFormat="false" ht="12.75" hidden="false" customHeight="false" outlineLevel="0" collapsed="false">
      <c r="A61" s="195" t="s">
        <v>126</v>
      </c>
      <c r="B61" s="172" t="n">
        <f aca="false">B57-B59</f>
        <v>236225</v>
      </c>
      <c r="C61" s="172" t="n">
        <f aca="false">C57-C59</f>
        <v>236225</v>
      </c>
      <c r="D61" s="172" t="n">
        <f aca="false">D57-D59</f>
        <v>236225</v>
      </c>
      <c r="E61" s="172" t="n">
        <f aca="false">E57-E59</f>
        <v>236225</v>
      </c>
      <c r="F61" s="172" t="n">
        <f aca="false">F57-F59</f>
        <v>236225</v>
      </c>
      <c r="G61" s="172" t="n">
        <f aca="false">G57-G59</f>
        <v>236225</v>
      </c>
      <c r="H61" s="172" t="n">
        <f aca="false">H57-H59</f>
        <v>236225</v>
      </c>
      <c r="I61" s="172" t="n">
        <f aca="false">I57-I59</f>
        <v>236225</v>
      </c>
      <c r="J61" s="172" t="n">
        <f aca="false">J57-J59</f>
        <v>236225</v>
      </c>
      <c r="K61" s="172" t="n">
        <f aca="false">K57-K59</f>
        <v>236225</v>
      </c>
      <c r="L61" s="172" t="n">
        <f aca="false">L57-L59</f>
        <v>228311.4625</v>
      </c>
      <c r="M61" s="172" t="n">
        <f aca="false">M57-M59</f>
        <v>211893.825</v>
      </c>
      <c r="N61" s="172" t="n">
        <f aca="false">N57-N59</f>
        <v>194224.195</v>
      </c>
      <c r="O61" s="172" t="n">
        <f aca="false">O57-O59</f>
        <v>175113.5925</v>
      </c>
      <c r="P61" s="172" t="n">
        <f aca="false">P57-P59</f>
        <v>154373.0375</v>
      </c>
      <c r="Q61" s="172" t="n">
        <f aca="false">Q57-Q59</f>
        <v>131742.6825</v>
      </c>
      <c r="R61" s="172" t="n">
        <f aca="false">R57-R59</f>
        <v>106962.68</v>
      </c>
      <c r="S61" s="172" t="n">
        <f aca="false">S57-S59</f>
        <v>79820.4274999999</v>
      </c>
      <c r="T61" s="172" t="n">
        <f aca="false">T57-T59</f>
        <v>50008.8324999999</v>
      </c>
      <c r="U61" s="172" t="n">
        <f aca="false">U57-U59</f>
        <v>17197.1799999999</v>
      </c>
      <c r="W61" s="205"/>
      <c r="X61" s="205"/>
    </row>
    <row r="62" customFormat="false" ht="12.75" hidden="false" customHeight="false" outlineLevel="0" collapsed="false">
      <c r="A62" s="195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W62" s="205"/>
      <c r="X62" s="205"/>
    </row>
    <row r="63" customFormat="false" ht="12.75" hidden="false" customHeight="false" outlineLevel="0" collapsed="false">
      <c r="A63" s="168"/>
      <c r="B63" s="193" t="n">
        <v>37256</v>
      </c>
      <c r="C63" s="193" t="n">
        <v>37621</v>
      </c>
      <c r="D63" s="193" t="n">
        <v>37986</v>
      </c>
      <c r="E63" s="193" t="n">
        <v>38352</v>
      </c>
      <c r="F63" s="193" t="n">
        <v>38717</v>
      </c>
      <c r="G63" s="193" t="n">
        <v>39082</v>
      </c>
      <c r="H63" s="193" t="n">
        <v>39447</v>
      </c>
      <c r="I63" s="193" t="n">
        <v>39813</v>
      </c>
      <c r="J63" s="193" t="n">
        <v>40178</v>
      </c>
      <c r="K63" s="193" t="n">
        <v>40543</v>
      </c>
      <c r="L63" s="193" t="n">
        <v>40908</v>
      </c>
      <c r="M63" s="193" t="n">
        <v>41274</v>
      </c>
      <c r="N63" s="193" t="n">
        <v>41639</v>
      </c>
      <c r="O63" s="193" t="n">
        <v>42004</v>
      </c>
      <c r="P63" s="193" t="n">
        <v>42369</v>
      </c>
      <c r="Q63" s="193" t="n">
        <v>42735</v>
      </c>
      <c r="R63" s="193" t="n">
        <v>43100</v>
      </c>
      <c r="S63" s="193" t="n">
        <v>43465</v>
      </c>
      <c r="T63" s="193" t="n">
        <v>43830</v>
      </c>
      <c r="U63" s="193" t="n">
        <v>44196</v>
      </c>
      <c r="W63" s="205"/>
      <c r="X63" s="205"/>
    </row>
    <row r="64" customFormat="false" ht="12.75" hidden="false" customHeight="false" outlineLevel="0" collapsed="false">
      <c r="A64" s="195" t="s">
        <v>124</v>
      </c>
      <c r="B64" s="172" t="n">
        <f aca="false">B61</f>
        <v>236225</v>
      </c>
      <c r="C64" s="172" t="n">
        <f aca="false">C61</f>
        <v>236225</v>
      </c>
      <c r="D64" s="172" t="n">
        <f aca="false">D61</f>
        <v>236225</v>
      </c>
      <c r="E64" s="172" t="n">
        <f aca="false">E61</f>
        <v>236225</v>
      </c>
      <c r="F64" s="172" t="n">
        <f aca="false">F61</f>
        <v>236225</v>
      </c>
      <c r="G64" s="172" t="n">
        <f aca="false">G61</f>
        <v>236225</v>
      </c>
      <c r="H64" s="172" t="n">
        <f aca="false">H61</f>
        <v>236225</v>
      </c>
      <c r="I64" s="172" t="n">
        <f aca="false">I61</f>
        <v>236225</v>
      </c>
      <c r="J64" s="172" t="n">
        <f aca="false">J61</f>
        <v>236225</v>
      </c>
      <c r="K64" s="172" t="n">
        <f aca="false">K61</f>
        <v>236225</v>
      </c>
      <c r="L64" s="172" t="n">
        <f aca="false">L61</f>
        <v>228311.4625</v>
      </c>
      <c r="M64" s="172" t="n">
        <f aca="false">M61</f>
        <v>211893.825</v>
      </c>
      <c r="N64" s="172" t="n">
        <f aca="false">N61</f>
        <v>194224.195</v>
      </c>
      <c r="O64" s="172" t="n">
        <f aca="false">O61</f>
        <v>175113.5925</v>
      </c>
      <c r="P64" s="172" t="n">
        <f aca="false">P61</f>
        <v>154373.0375</v>
      </c>
      <c r="Q64" s="172" t="n">
        <f aca="false">Q61</f>
        <v>131742.6825</v>
      </c>
      <c r="R64" s="172" t="n">
        <f aca="false">R61</f>
        <v>106962.68</v>
      </c>
      <c r="S64" s="172" t="n">
        <f aca="false">S61</f>
        <v>79820.4274999999</v>
      </c>
      <c r="T64" s="172" t="n">
        <f aca="false">T61</f>
        <v>50008.8324999999</v>
      </c>
      <c r="U64" s="172" t="n">
        <f aca="false">U61</f>
        <v>17197.1799999999</v>
      </c>
      <c r="W64" s="205"/>
      <c r="X64" s="205"/>
    </row>
    <row r="65" customFormat="false" ht="12.75" hidden="false" customHeight="false" outlineLevel="0" collapsed="false">
      <c r="A65" s="195" t="s">
        <v>127</v>
      </c>
      <c r="B65" s="201" t="n">
        <v>0</v>
      </c>
      <c r="C65" s="201" t="n">
        <v>0</v>
      </c>
      <c r="D65" s="201" t="n">
        <v>0</v>
      </c>
      <c r="E65" s="201" t="n">
        <v>0</v>
      </c>
      <c r="F65" s="201" t="n">
        <v>0</v>
      </c>
      <c r="G65" s="201" t="n">
        <v>0</v>
      </c>
      <c r="H65" s="201" t="n">
        <v>0</v>
      </c>
      <c r="I65" s="201" t="n">
        <v>0</v>
      </c>
      <c r="J65" s="201" t="n">
        <v>0</v>
      </c>
      <c r="K65" s="201" t="n">
        <v>0</v>
      </c>
      <c r="L65" s="201" t="n">
        <f aca="false">L58</f>
        <v>0.0335</v>
      </c>
      <c r="M65" s="201" t="n">
        <f aca="false">M58</f>
        <v>0.036</v>
      </c>
      <c r="N65" s="201" t="n">
        <f aca="false">N58</f>
        <v>0.0388</v>
      </c>
      <c r="O65" s="201" t="n">
        <f aca="false">O58</f>
        <v>0.0421</v>
      </c>
      <c r="P65" s="201" t="n">
        <f aca="false">P58</f>
        <v>0.0457</v>
      </c>
      <c r="Q65" s="201" t="n">
        <f aca="false">Q58</f>
        <v>0.0501</v>
      </c>
      <c r="R65" s="201" t="n">
        <f aca="false">R58</f>
        <v>0.0548</v>
      </c>
      <c r="S65" s="201" t="n">
        <f aca="false">S58</f>
        <v>0.0601</v>
      </c>
      <c r="T65" s="201" t="n">
        <f aca="false">T58</f>
        <v>0.0661</v>
      </c>
      <c r="U65" s="201" t="n">
        <f aca="false">U58</f>
        <v>0.0728</v>
      </c>
      <c r="W65" s="196"/>
      <c r="X65" s="196"/>
    </row>
    <row r="66" customFormat="false" ht="12.75" hidden="false" customHeight="false" outlineLevel="0" collapsed="false">
      <c r="A66" s="204" t="s">
        <v>128</v>
      </c>
      <c r="B66" s="172" t="n">
        <f aca="false">B65*$B$54</f>
        <v>0</v>
      </c>
      <c r="C66" s="172" t="n">
        <f aca="false">C65*$B$54</f>
        <v>0</v>
      </c>
      <c r="D66" s="172" t="n">
        <f aca="false">D65*$B$54</f>
        <v>0</v>
      </c>
      <c r="E66" s="172" t="n">
        <f aca="false">E65*$B$54</f>
        <v>0</v>
      </c>
      <c r="F66" s="172" t="n">
        <f aca="false">F65*$B$54</f>
        <v>0</v>
      </c>
      <c r="G66" s="172" t="n">
        <f aca="false">G65*$B$54</f>
        <v>0</v>
      </c>
      <c r="H66" s="172" t="n">
        <f aca="false">H65*$B$54</f>
        <v>0</v>
      </c>
      <c r="I66" s="172" t="n">
        <f aca="false">I65*$B$54</f>
        <v>0</v>
      </c>
      <c r="J66" s="172" t="n">
        <f aca="false">J65*$B$54</f>
        <v>0</v>
      </c>
      <c r="K66" s="172" t="n">
        <f aca="false">K65*$B$54</f>
        <v>0</v>
      </c>
      <c r="L66" s="172" t="n">
        <f aca="false">L65*$B$54</f>
        <v>7913.5375</v>
      </c>
      <c r="M66" s="172" t="n">
        <f aca="false">M65*$B$54</f>
        <v>8504.1</v>
      </c>
      <c r="N66" s="172" t="n">
        <f aca="false">N65*$B$54</f>
        <v>9165.53</v>
      </c>
      <c r="O66" s="172" t="n">
        <f aca="false">O65*$B$54</f>
        <v>9945.0725</v>
      </c>
      <c r="P66" s="172" t="n">
        <f aca="false">P65*$B$54</f>
        <v>10795.4825</v>
      </c>
      <c r="Q66" s="172" t="n">
        <f aca="false">Q65*$B$54</f>
        <v>11834.8725</v>
      </c>
      <c r="R66" s="172" t="n">
        <f aca="false">R65*$B$54</f>
        <v>12945.13</v>
      </c>
      <c r="S66" s="172" t="n">
        <f aca="false">S65*$B$54</f>
        <v>14197.1225</v>
      </c>
      <c r="T66" s="172" t="n">
        <f aca="false">T65*$B$54</f>
        <v>15614.4725</v>
      </c>
      <c r="U66" s="172" t="n">
        <f aca="false">U65*$B$54</f>
        <v>17197.18</v>
      </c>
      <c r="W66" s="205"/>
      <c r="X66" s="205"/>
    </row>
    <row r="67" customFormat="false" ht="12.75" hidden="false" customHeight="false" outlineLevel="0" collapsed="false">
      <c r="A67" s="195" t="s">
        <v>125</v>
      </c>
      <c r="B67" s="197" t="n">
        <f aca="false">B64*$O$97*(B63-B56)/365.25</f>
        <v>13328.1993155373</v>
      </c>
      <c r="C67" s="197" t="n">
        <f aca="false">C64*$O$97*(C63-C56)/365.25</f>
        <v>13328.1993155373</v>
      </c>
      <c r="D67" s="197" t="n">
        <f aca="false">D64*$O$97*(D63-D56)/365.25</f>
        <v>13328.1993155373</v>
      </c>
      <c r="E67" s="197" t="n">
        <f aca="false">E64*$O$97*(E63-E56)/365.25</f>
        <v>13328.1993155373</v>
      </c>
      <c r="F67" s="197" t="n">
        <f aca="false">F64*$O$97*(F63-F56)/365.25</f>
        <v>13328.1993155373</v>
      </c>
      <c r="G67" s="197" t="n">
        <f aca="false">G64*$O$97*(G63-G56)/365.25</f>
        <v>13328.1993155373</v>
      </c>
      <c r="H67" s="197" t="n">
        <f aca="false">H64*$O$97*(H63-H56)/365.25</f>
        <v>13328.1993155373</v>
      </c>
      <c r="I67" s="197" t="n">
        <f aca="false">I64*$O$97*(I63-I56)/365.25</f>
        <v>13328.1993155373</v>
      </c>
      <c r="J67" s="197" t="n">
        <f aca="false">J64*$O$97*(J63-J56)/365.25</f>
        <v>13328.1993155373</v>
      </c>
      <c r="K67" s="197" t="n">
        <f aca="false">K64*$O$97*(K63-K56)/365.25</f>
        <v>13328.1993155373</v>
      </c>
      <c r="L67" s="197" t="n">
        <f aca="false">L64*$O$97*(L63-L56)/365.25</f>
        <v>12881.7046384668</v>
      </c>
      <c r="M67" s="197" t="n">
        <f aca="false">M64*$O$97*(M63-M56)/365.25</f>
        <v>11955.394786037</v>
      </c>
      <c r="N67" s="197" t="n">
        <f aca="false">N64*$O$97*(N63-N56)/365.25</f>
        <v>10958.4454772348</v>
      </c>
      <c r="O67" s="197" t="n">
        <f aca="false">O64*$O$97*(O63-O56)/365.25</f>
        <v>9880.1941526078</v>
      </c>
      <c r="P67" s="197" t="n">
        <f aca="false">P64*$O$97*(P63-P56)/365.25</f>
        <v>8709.97825270362</v>
      </c>
      <c r="Q67" s="197" t="n">
        <f aca="false">Q64*$O$97*(Q63-Q56)/365.25</f>
        <v>7433.13675827515</v>
      </c>
      <c r="R67" s="197" t="n">
        <f aca="false">R64*$O$97*(R63-R56)/365.25</f>
        <v>6035.00865007529</v>
      </c>
      <c r="S67" s="197" t="n">
        <f aca="false">S64*$O$97*(S63-S56)/365.25</f>
        <v>4503.59854872005</v>
      </c>
      <c r="T67" s="197" t="n">
        <f aca="false">T64*$O$97*(T63-T56)/365.25</f>
        <v>2821.57979509924</v>
      </c>
      <c r="U67" s="197" t="n">
        <f aca="false">U64*$O$97*(U63-U56)/365.25</f>
        <v>970.292910171112</v>
      </c>
      <c r="W67" s="205"/>
      <c r="X67" s="205"/>
    </row>
    <row r="68" customFormat="false" ht="12.75" hidden="false" customHeight="false" outlineLevel="0" collapsed="false">
      <c r="A68" s="195" t="s">
        <v>126</v>
      </c>
      <c r="B68" s="172" t="n">
        <f aca="false">B64-B66</f>
        <v>236225</v>
      </c>
      <c r="C68" s="172" t="n">
        <f aca="false">C64-C66</f>
        <v>236225</v>
      </c>
      <c r="D68" s="172" t="n">
        <f aca="false">D64-D66</f>
        <v>236225</v>
      </c>
      <c r="E68" s="172" t="n">
        <f aca="false">E64-E66</f>
        <v>236225</v>
      </c>
      <c r="F68" s="172" t="n">
        <f aca="false">F64-F66</f>
        <v>236225</v>
      </c>
      <c r="G68" s="172" t="n">
        <f aca="false">G64-G66</f>
        <v>236225</v>
      </c>
      <c r="H68" s="172" t="n">
        <f aca="false">H64-H66</f>
        <v>236225</v>
      </c>
      <c r="I68" s="172" t="n">
        <f aca="false">I64-I66</f>
        <v>236225</v>
      </c>
      <c r="J68" s="172" t="n">
        <f aca="false">J64-J66</f>
        <v>236225</v>
      </c>
      <c r="K68" s="172" t="n">
        <f aca="false">K64-K66</f>
        <v>236225</v>
      </c>
      <c r="L68" s="172" t="n">
        <f aca="false">L64-L66</f>
        <v>220397.925</v>
      </c>
      <c r="M68" s="172" t="n">
        <f aca="false">M64-M66</f>
        <v>203389.725</v>
      </c>
      <c r="N68" s="172" t="n">
        <f aca="false">N64-N66</f>
        <v>185058.665</v>
      </c>
      <c r="O68" s="172" t="n">
        <f aca="false">O64-O66</f>
        <v>165168.52</v>
      </c>
      <c r="P68" s="172" t="n">
        <f aca="false">P64-P66</f>
        <v>143577.555</v>
      </c>
      <c r="Q68" s="172" t="n">
        <f aca="false">Q64-Q66</f>
        <v>119907.81</v>
      </c>
      <c r="R68" s="172" t="n">
        <f aca="false">R64-R66</f>
        <v>94017.5499999999</v>
      </c>
      <c r="S68" s="172" t="n">
        <f aca="false">S64-S66</f>
        <v>65623.3049999999</v>
      </c>
      <c r="T68" s="172" t="n">
        <f aca="false">T64-T66</f>
        <v>34394.3599999999</v>
      </c>
      <c r="U68" s="172" t="n">
        <f aca="false">U64-U66</f>
        <v>-7.27595761418343E-011</v>
      </c>
      <c r="W68" s="205"/>
      <c r="X68" s="205"/>
    </row>
    <row r="69" customFormat="false" ht="12.75" hidden="false" customHeight="false" outlineLevel="0" collapsed="false">
      <c r="A69" s="195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</row>
    <row r="70" customFormat="false" ht="12.75" hidden="false" customHeight="false" outlineLevel="0" collapsed="false">
      <c r="A70" s="206" t="s">
        <v>129</v>
      </c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7"/>
      <c r="W70" s="207"/>
      <c r="X70" s="207"/>
    </row>
    <row r="71" customFormat="false" ht="12.75" hidden="false" customHeight="false" outlineLevel="0" collapsed="false">
      <c r="A71" s="206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7"/>
      <c r="W71" s="207"/>
      <c r="X71" s="207"/>
    </row>
    <row r="72" customFormat="false" ht="12.75" hidden="false" customHeight="false" outlineLevel="0" collapsed="false">
      <c r="A72" s="195" t="s">
        <v>124</v>
      </c>
      <c r="B72" s="203" t="n">
        <f aca="false">B54+B34+B14</f>
        <v>349156</v>
      </c>
      <c r="C72" s="203" t="n">
        <f aca="false">C52+C32+C12</f>
        <v>342244.6228</v>
      </c>
      <c r="D72" s="203" t="n">
        <f aca="false">D52+D32+D12</f>
        <v>334407.2114</v>
      </c>
      <c r="E72" s="203" t="n">
        <f aca="false">E52+E32+E12</f>
        <v>325463.0762</v>
      </c>
      <c r="F72" s="203" t="n">
        <f aca="false">F52+F32+F12</f>
        <v>315118.5966</v>
      </c>
      <c r="G72" s="203" t="n">
        <f aca="false">G52+G32+G12</f>
        <v>303147.9106</v>
      </c>
      <c r="H72" s="203" t="n">
        <f aca="false">H52+H32+H12</f>
        <v>290906.1902</v>
      </c>
      <c r="I72" s="203" t="n">
        <f aca="false">I52+I32+I12</f>
        <v>278235.332</v>
      </c>
      <c r="J72" s="203" t="n">
        <f aca="false">J52+J32+J12</f>
        <v>265022.405</v>
      </c>
      <c r="K72" s="203" t="n">
        <f aca="false">K52+K32+K12</f>
        <v>251064.1334</v>
      </c>
      <c r="L72" s="203" t="n">
        <f aca="false">L52+L32+L12</f>
        <v>236225</v>
      </c>
      <c r="M72" s="203" t="n">
        <f aca="false">M52+M32+M12</f>
        <v>220397.925</v>
      </c>
      <c r="N72" s="203" t="n">
        <f aca="false">N52+N32+N12</f>
        <v>203389.725</v>
      </c>
      <c r="O72" s="203" t="n">
        <f aca="false">O52+O32+O12</f>
        <v>185058.665</v>
      </c>
      <c r="P72" s="203" t="n">
        <f aca="false">P52+P32+P12</f>
        <v>165168.52</v>
      </c>
      <c r="Q72" s="203" t="n">
        <f aca="false">Q52+Q32+Q12</f>
        <v>143577.555</v>
      </c>
      <c r="R72" s="203" t="n">
        <f aca="false">R52+R32+R12</f>
        <v>119907.81</v>
      </c>
      <c r="S72" s="203" t="n">
        <f aca="false">S52+S32+S12</f>
        <v>94017.5499999999</v>
      </c>
      <c r="T72" s="203" t="n">
        <f aca="false">T52+T32+T12</f>
        <v>65623.3049999999</v>
      </c>
      <c r="U72" s="203" t="n">
        <f aca="false">U52+U32+U12</f>
        <v>34394.3599999999</v>
      </c>
      <c r="V72" s="207"/>
      <c r="W72" s="207"/>
      <c r="X72" s="207"/>
    </row>
    <row r="73" customFormat="false" ht="12.75" hidden="false" customHeight="false" outlineLevel="0" collapsed="false">
      <c r="A73" s="195" t="s">
        <v>126</v>
      </c>
      <c r="B73" s="203" t="n">
        <f aca="false">B68+B48+B28</f>
        <v>342244.6228</v>
      </c>
      <c r="C73" s="203" t="n">
        <f aca="false">C68+C48+C28</f>
        <v>334407.2114</v>
      </c>
      <c r="D73" s="203" t="n">
        <f aca="false">D68+D48+D28</f>
        <v>325463.0762</v>
      </c>
      <c r="E73" s="203" t="n">
        <f aca="false">E68+E48+E28</f>
        <v>315118.5966</v>
      </c>
      <c r="F73" s="203" t="n">
        <f aca="false">F68+F48+F28</f>
        <v>303147.9106</v>
      </c>
      <c r="G73" s="203" t="n">
        <f aca="false">G68+G48+G28</f>
        <v>290906.1902</v>
      </c>
      <c r="H73" s="203" t="n">
        <f aca="false">H68+H48+H28</f>
        <v>278235.332</v>
      </c>
      <c r="I73" s="203" t="n">
        <f aca="false">I68+I48+I28</f>
        <v>265022.405</v>
      </c>
      <c r="J73" s="203" t="n">
        <f aca="false">J68+J48+J28</f>
        <v>251064.1334</v>
      </c>
      <c r="K73" s="203" t="n">
        <f aca="false">K68+K48+K28</f>
        <v>236225</v>
      </c>
      <c r="L73" s="203" t="n">
        <f aca="false">L68+L48+L28</f>
        <v>220397.925</v>
      </c>
      <c r="M73" s="203" t="n">
        <f aca="false">M68+M48+M28</f>
        <v>203389.725</v>
      </c>
      <c r="N73" s="203" t="n">
        <f aca="false">N68+N48+N28</f>
        <v>185058.665</v>
      </c>
      <c r="O73" s="203" t="n">
        <f aca="false">O68+O48+O28</f>
        <v>165168.52</v>
      </c>
      <c r="P73" s="203" t="n">
        <f aca="false">P68+P48+P28</f>
        <v>143577.555</v>
      </c>
      <c r="Q73" s="203" t="n">
        <f aca="false">Q68+Q48+Q28</f>
        <v>119907.81</v>
      </c>
      <c r="R73" s="203" t="n">
        <f aca="false">R68+R48+R28</f>
        <v>94017.5499999999</v>
      </c>
      <c r="S73" s="203" t="n">
        <f aca="false">S68+S48+S28</f>
        <v>65623.3049999999</v>
      </c>
      <c r="T73" s="203" t="n">
        <f aca="false">T68+T48+T28</f>
        <v>34394.3599999999</v>
      </c>
      <c r="U73" s="203" t="n">
        <f aca="false">U68+U48+U28</f>
        <v>-7.27595761418343E-011</v>
      </c>
      <c r="V73" s="207"/>
      <c r="W73" s="207"/>
      <c r="X73" s="207"/>
    </row>
    <row r="74" customFormat="false" ht="12.75" hidden="false" customHeight="false" outlineLevel="0" collapsed="false">
      <c r="A74" s="195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7"/>
      <c r="W74" s="207"/>
      <c r="X74" s="207"/>
    </row>
    <row r="75" customFormat="false" ht="12.75" hidden="false" customHeight="false" outlineLevel="0" collapsed="false">
      <c r="A75" s="195" t="s">
        <v>130</v>
      </c>
      <c r="B75" s="203" t="n">
        <f aca="false">SUM(B66,B59,B46,B39,B26,B19)</f>
        <v>6911.3772</v>
      </c>
      <c r="C75" s="203" t="n">
        <f aca="false">SUM(C66,C59,C46,C39,C26,C19)</f>
        <v>7837.4114</v>
      </c>
      <c r="D75" s="203" t="n">
        <f aca="false">SUM(D66,D59,D46,D39,D26,D19)</f>
        <v>8944.1352</v>
      </c>
      <c r="E75" s="203" t="n">
        <f aca="false">SUM(E66,E59,E46,E39,E26,E19)</f>
        <v>10344.4796</v>
      </c>
      <c r="F75" s="203" t="n">
        <f aca="false">SUM(F66,F59,F46,F39,F26,F19)</f>
        <v>11970.686</v>
      </c>
      <c r="G75" s="203" t="n">
        <f aca="false">SUM(G66,G59,G46,G39,G26,G19)</f>
        <v>12241.7204</v>
      </c>
      <c r="H75" s="203" t="n">
        <f aca="false">SUM(H66,H59,H46,H39,H26,H19)</f>
        <v>12670.8582</v>
      </c>
      <c r="I75" s="203" t="n">
        <f aca="false">SUM(I66,I59,I46,I39,I26,I19)</f>
        <v>13212.927</v>
      </c>
      <c r="J75" s="203" t="n">
        <f aca="false">SUM(J66,J59,J46,J39,J26,J19)</f>
        <v>13958.2716</v>
      </c>
      <c r="K75" s="203" t="n">
        <f aca="false">SUM(K66,K59,K46,K39,K26,K19)</f>
        <v>14839.1334</v>
      </c>
      <c r="L75" s="203" t="n">
        <f aca="false">SUM(L66,L59,L46,L39,L26,L19)</f>
        <v>15827.075</v>
      </c>
      <c r="M75" s="203" t="n">
        <f aca="false">SUM(M66,M59,M46,M39,M26,M19)</f>
        <v>17008.2</v>
      </c>
      <c r="N75" s="203" t="n">
        <f aca="false">SUM(N66,N59,N46,N39,N26,N19)</f>
        <v>18331.06</v>
      </c>
      <c r="O75" s="203" t="n">
        <f aca="false">SUM(O66,O59,O46,O39,O26,O19)</f>
        <v>19890.145</v>
      </c>
      <c r="P75" s="203" t="n">
        <f aca="false">SUM(P66,P59,P46,P39,P26,P19)</f>
        <v>21590.965</v>
      </c>
      <c r="Q75" s="203" t="n">
        <f aca="false">SUM(Q66,Q59,Q46,Q39,Q26,Q19)</f>
        <v>23669.745</v>
      </c>
      <c r="R75" s="203" t="n">
        <f aca="false">SUM(R66,R59,R46,R39,R26,R19)</f>
        <v>25890.26</v>
      </c>
      <c r="S75" s="203" t="n">
        <f aca="false">SUM(S66,S59,S46,S39,S26,S19)</f>
        <v>28394.245</v>
      </c>
      <c r="T75" s="203" t="n">
        <f aca="false">SUM(T66,T59,T46,T39,T26,T19)</f>
        <v>31228.945</v>
      </c>
      <c r="U75" s="203" t="n">
        <f aca="false">SUM(U66,U59,U46,U39,U26,U19)</f>
        <v>34394.36</v>
      </c>
      <c r="V75" s="207"/>
      <c r="W75" s="207"/>
      <c r="X75" s="207"/>
    </row>
    <row r="76" customFormat="false" ht="12.75" hidden="false" customHeight="false" outlineLevel="0" collapsed="false">
      <c r="A76" s="208" t="s">
        <v>116</v>
      </c>
      <c r="B76" s="209" t="n">
        <f aca="false">SUM(B13,B20,B33,B40,B53,B60,B67,B47,B27)</f>
        <v>38555.0579130349</v>
      </c>
      <c r="C76" s="209" t="n">
        <f aca="false">SUM(C13,C20,C33,C40,C53,C60,C67,C47,C27)</f>
        <v>37876.1156798138</v>
      </c>
      <c r="D76" s="209" t="n">
        <f aca="false">SUM(D13,D20,D33,D40,D53,D60,D67,D47,D27)</f>
        <v>36983.9264599206</v>
      </c>
      <c r="E76" s="209" t="n">
        <f aca="false">SUM(E13,E20,E33,E40,E53,E60,E67,E47,E27)</f>
        <v>36061.2567125531</v>
      </c>
      <c r="F76" s="209" t="n">
        <f aca="false">SUM(F13,F20,F33,F40,F53,F60,F67,F47,F27)</f>
        <v>34779.7742947844</v>
      </c>
      <c r="G76" s="209" t="n">
        <f aca="false">SUM(G13,G20,G33,G40,G53,G60,G67,G47,G27)</f>
        <v>33456.3905548036</v>
      </c>
      <c r="H76" s="209" t="n">
        <f aca="false">SUM(H13,H20,H33,H40,H53,H60,H67,H47,H27)</f>
        <v>32098.8328584422</v>
      </c>
      <c r="I76" s="209" t="n">
        <f aca="false">SUM(I13,I20,I33,I40,I53,I60,I67,I47,I27)</f>
        <v>30776.0611774949</v>
      </c>
      <c r="J76" s="209" t="n">
        <f aca="false">SUM(J13,J20,J33,J40,J53,J60,J67,J47,J27)</f>
        <v>29217.8948724381</v>
      </c>
      <c r="K76" s="209" t="n">
        <f aca="false">SUM(K13,K20,K33,K40,K53,K60,K67,K47,K27)</f>
        <v>27659.1298453169</v>
      </c>
      <c r="L76" s="209" t="n">
        <f aca="false">SUM(L13,L20,L33,L40,L53,L60,L67,L47,L27)</f>
        <v>25992.5963564682</v>
      </c>
      <c r="M76" s="209" t="n">
        <f aca="false">SUM(M13,M20,M33,M40,M53,M60,M67,M47,M27)</f>
        <v>24255.4394217659</v>
      </c>
      <c r="N76" s="209" t="n">
        <f aca="false">SUM(N13,N20,N33,N40,N53,N60,N67,N47,N27)</f>
        <v>22246.9232464339</v>
      </c>
      <c r="O76" s="209" t="n">
        <f aca="false">SUM(O13,O20,O33,O40,O53,O60,O67,O47,O27)</f>
        <v>20151.2667244901</v>
      </c>
      <c r="P76" s="209" t="n">
        <f aca="false">SUM(P13,P20,P33,P40,P53,P60,P67,P47,P27)</f>
        <v>17877.1137419302</v>
      </c>
      <c r="Q76" s="209" t="n">
        <f aca="false">SUM(Q13,Q20,Q33,Q40,Q53,Q60,Q67,Q47,Q27)</f>
        <v>15445.9632637372</v>
      </c>
      <c r="R76" s="209" t="n">
        <f aca="false">SUM(R13,R20,R33,R40,R53,R60,R67,R47,R27)</f>
        <v>12690.0972861328</v>
      </c>
      <c r="S76" s="209" t="n">
        <f aca="false">SUM(S13,S20,S33,S40,S53,S60,S67,S47,S27)</f>
        <v>9721.73345248459</v>
      </c>
      <c r="T76" s="209" t="n">
        <f aca="false">SUM(T13,T20,T33,T40,T53,T60,T67,T47,T27)</f>
        <v>6463.78551436002</v>
      </c>
      <c r="U76" s="209" t="n">
        <f aca="false">SUM(U13,U20,U33,U40,U53,U60,U67,U47,U27)</f>
        <v>2889.78540637918</v>
      </c>
      <c r="V76" s="207"/>
      <c r="W76" s="207"/>
      <c r="X76" s="207"/>
    </row>
    <row r="77" customFormat="false" ht="12.75" hidden="false" customHeight="false" outlineLevel="0" collapsed="false">
      <c r="A77" s="207" t="s">
        <v>131</v>
      </c>
      <c r="B77" s="207" t="n">
        <f aca="false">SUM(B75:B76)</f>
        <v>45466.4351130349</v>
      </c>
      <c r="C77" s="207" t="n">
        <f aca="false">SUM(C75:C76)</f>
        <v>45713.5270798138</v>
      </c>
      <c r="D77" s="207" t="n">
        <f aca="false">SUM(D75:D76)</f>
        <v>45928.0616599206</v>
      </c>
      <c r="E77" s="207" t="n">
        <f aca="false">SUM(E75:E76)</f>
        <v>46405.7363125531</v>
      </c>
      <c r="F77" s="207" t="n">
        <f aca="false">SUM(F75:F76)</f>
        <v>46750.4602947844</v>
      </c>
      <c r="G77" s="207" t="n">
        <f aca="false">SUM(G75:G76)</f>
        <v>45698.1109548036</v>
      </c>
      <c r="H77" s="207" t="n">
        <f aca="false">SUM(H75:H76)</f>
        <v>44769.6910584422</v>
      </c>
      <c r="I77" s="207" t="n">
        <f aca="false">SUM(I75:I76)</f>
        <v>43988.9881774949</v>
      </c>
      <c r="J77" s="207" t="n">
        <f aca="false">SUM(J75:J76)</f>
        <v>43176.1664724381</v>
      </c>
      <c r="K77" s="207" t="n">
        <f aca="false">SUM(K75:K76)</f>
        <v>42498.2632453169</v>
      </c>
      <c r="L77" s="207" t="n">
        <f aca="false">SUM(L75:L76)</f>
        <v>41819.6713564682</v>
      </c>
      <c r="M77" s="207" t="n">
        <f aca="false">SUM(M75:M76)</f>
        <v>41263.6394217659</v>
      </c>
      <c r="N77" s="207" t="n">
        <f aca="false">SUM(N75:N76)</f>
        <v>40577.9832464339</v>
      </c>
      <c r="O77" s="207" t="n">
        <f aca="false">SUM(O75:O76)</f>
        <v>40041.4117244901</v>
      </c>
      <c r="P77" s="207" t="n">
        <f aca="false">SUM(P75:P76)</f>
        <v>39468.0787419302</v>
      </c>
      <c r="Q77" s="207" t="n">
        <f aca="false">SUM(Q75:Q76)</f>
        <v>39115.7082637372</v>
      </c>
      <c r="R77" s="207" t="n">
        <f aca="false">SUM(R75:R76)</f>
        <v>38580.3572861328</v>
      </c>
      <c r="S77" s="207" t="n">
        <f aca="false">SUM(S75:S76)</f>
        <v>38115.9784524846</v>
      </c>
      <c r="T77" s="207" t="n">
        <f aca="false">SUM(T75:T76)</f>
        <v>37692.73051436</v>
      </c>
      <c r="U77" s="207" t="n">
        <f aca="false">SUM(U75:U76)</f>
        <v>37284.1454063792</v>
      </c>
      <c r="V77" s="207"/>
      <c r="W77" s="207"/>
      <c r="X77" s="207"/>
    </row>
    <row r="78" customFormat="false" ht="13.5" hidden="false" customHeight="false" outlineLevel="0" collapsed="false">
      <c r="A78" s="207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</row>
    <row r="79" customFormat="false" ht="13.5" hidden="false" customHeight="false" outlineLevel="0" collapsed="false">
      <c r="A79" s="210" t="s">
        <v>132</v>
      </c>
      <c r="B79" s="211" t="n">
        <f aca="false">IF(B77&gt;0.1,B8/B77," ")</f>
        <v>2.25645422750818</v>
      </c>
      <c r="C79" s="211" t="n">
        <f aca="false">IF(C77&gt;0.1,C8/C77," ")</f>
        <v>2.35589322642967</v>
      </c>
      <c r="D79" s="211" t="n">
        <f aca="false">IF(D77&gt;0.1,D8/D77," ")</f>
        <v>2.46192701116928</v>
      </c>
      <c r="E79" s="211" t="n">
        <f aca="false">IF(E77&gt;0.1,E8/E77," ")</f>
        <v>2.56078453702577</v>
      </c>
      <c r="F79" s="211" t="n">
        <f aca="false">IF(F77&gt;0.1,F8/F77," ")</f>
        <v>2.67209969565711</v>
      </c>
      <c r="G79" s="211" t="n">
        <f aca="false">IF(G77&gt;0.1,G8/G77," ")</f>
        <v>2.77701677073552</v>
      </c>
      <c r="H79" s="211" t="n">
        <f aca="false">IF(H77&gt;0.1,H8/H77," ")</f>
        <v>2.88086437034452</v>
      </c>
      <c r="I79" s="211" t="n">
        <f aca="false">IF(I77&gt;0.1,I8/I77," ")</f>
        <v>2.98134246409664</v>
      </c>
      <c r="J79" s="211" t="n">
        <f aca="false">IF(J77&gt;0.1,J8/J77," ")</f>
        <v>3.09100984569827</v>
      </c>
      <c r="K79" s="211" t="n">
        <f aca="false">IF(K77&gt;0.1,K8/K77," ")</f>
        <v>3.19751818595161</v>
      </c>
      <c r="L79" s="211" t="n">
        <f aca="false">IF(L77&gt;0.1,L8/L77," ")</f>
        <v>3.30091060568628</v>
      </c>
      <c r="M79" s="211" t="n">
        <f aca="false">IF(M77&gt;0.1,M8/M77," ")</f>
        <v>3.40231727000861</v>
      </c>
      <c r="N79" s="211" t="n">
        <f aca="false">IF(N77&gt;0.1,N8/N77," ")</f>
        <v>3.50993791834894</v>
      </c>
      <c r="O79" s="211" t="n">
        <f aca="false">IF(O77&gt;0.1,O8/O77," ")</f>
        <v>3.61757560168777</v>
      </c>
      <c r="P79" s="211" t="n">
        <f aca="false">IF(P77&gt;0.1,P8/P77," ")</f>
        <v>3.72142838573563</v>
      </c>
      <c r="Q79" s="211" t="n">
        <f aca="false">IF(Q77&gt;0.1,Q8/Q77," ")</f>
        <v>3.82375047239454</v>
      </c>
      <c r="R79" s="211" t="n">
        <f aca="false">IF(R77&gt;0.1,R8/R77," ")</f>
        <v>3.93205923325347</v>
      </c>
      <c r="S79" s="211" t="n">
        <f aca="false">IF(S77&gt;0.1,S8/S77," ")</f>
        <v>4.03659764435585</v>
      </c>
      <c r="T79" s="211" t="n">
        <f aca="false">IF(T77&gt;0.1,T8/T77," ")</f>
        <v>4.13991852887519</v>
      </c>
      <c r="U79" s="212" t="n">
        <f aca="false">IF(U77&gt;0.1,U8/U77," ")</f>
        <v>4.24465711843232</v>
      </c>
      <c r="V79" s="190"/>
      <c r="W79" s="190"/>
      <c r="X79" s="190"/>
    </row>
    <row r="80" customFormat="false" ht="12.75" hidden="false" customHeight="false" outlineLevel="0" collapsed="false">
      <c r="A80" s="213"/>
      <c r="B80" s="214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190"/>
      <c r="W80" s="190"/>
      <c r="X80" s="190"/>
    </row>
    <row r="81" customFormat="false" ht="12.75" hidden="false" customHeight="false" outlineLevel="0" collapsed="false">
      <c r="A81" s="213"/>
      <c r="B81" s="216"/>
      <c r="C81" s="216"/>
      <c r="D81" s="216"/>
      <c r="E81" s="0"/>
      <c r="F81" s="0"/>
      <c r="G81" s="0"/>
      <c r="H81" s="0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190"/>
      <c r="W81" s="190"/>
      <c r="X81" s="190"/>
    </row>
    <row r="82" customFormat="false" ht="12.75" hidden="false" customHeight="false" outlineLevel="0" collapsed="false">
      <c r="A82" s="213"/>
      <c r="B82" s="217" t="s">
        <v>40</v>
      </c>
      <c r="C82" s="217"/>
      <c r="D82" s="217"/>
      <c r="E82" s="0"/>
      <c r="F82" s="0"/>
      <c r="G82" s="0"/>
      <c r="H82" s="0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190"/>
      <c r="W82" s="190"/>
      <c r="X82" s="190"/>
    </row>
    <row r="83" customFormat="false" ht="12.75" hidden="false" customHeight="false" outlineLevel="0" collapsed="false">
      <c r="A83" s="213"/>
      <c r="B83" s="218" t="s">
        <v>133</v>
      </c>
      <c r="C83" s="219"/>
      <c r="D83" s="220"/>
      <c r="E83" s="0"/>
      <c r="F83" s="0"/>
      <c r="G83" s="0"/>
      <c r="H83" s="0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190"/>
      <c r="W83" s="190"/>
      <c r="X83" s="190"/>
    </row>
    <row r="84" customFormat="false" ht="12.75" hidden="false" customHeight="false" outlineLevel="0" collapsed="false">
      <c r="A84" s="213"/>
      <c r="B84" s="221" t="s">
        <v>134</v>
      </c>
      <c r="C84" s="40"/>
      <c r="D84" s="222" t="n">
        <f aca="false">MIN(B79:U79)</f>
        <v>2.25645422750818</v>
      </c>
      <c r="E84" s="0"/>
      <c r="F84" s="0"/>
      <c r="G84" s="0"/>
      <c r="H84" s="0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190"/>
      <c r="W84" s="190"/>
      <c r="X84" s="190"/>
    </row>
    <row r="85" customFormat="false" ht="12.75" hidden="false" customHeight="false" outlineLevel="0" collapsed="false">
      <c r="A85" s="213"/>
      <c r="B85" s="223" t="s">
        <v>135</v>
      </c>
      <c r="C85" s="224"/>
      <c r="D85" s="225" t="n">
        <f aca="false">AVERAGE(B79:U79)</f>
        <v>3.24820315566976</v>
      </c>
      <c r="E85" s="0"/>
      <c r="F85" s="0"/>
      <c r="G85" s="0"/>
      <c r="H85" s="0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190"/>
      <c r="W85" s="190"/>
      <c r="X85" s="190"/>
    </row>
    <row r="86" customFormat="false" ht="12.75" hidden="false" customHeight="false" outlineLevel="0" collapsed="false">
      <c r="A86" s="213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190"/>
      <c r="W86" s="190"/>
      <c r="X86" s="190"/>
    </row>
    <row r="87" customFormat="false" ht="12.75" hidden="false" customHeight="false" outlineLevel="0" collapsed="false">
      <c r="A87" s="213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190"/>
      <c r="W87" s="190"/>
      <c r="X87" s="190"/>
    </row>
    <row r="88" customFormat="false" ht="12.75" hidden="false" customHeight="false" outlineLevel="0" collapsed="false">
      <c r="A88" s="213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190"/>
      <c r="W88" s="190"/>
      <c r="X88" s="190"/>
    </row>
    <row r="89" customFormat="false" ht="12.75" hidden="false" customHeight="false" outlineLevel="0" collapsed="false">
      <c r="A89" s="213"/>
      <c r="B89" s="181"/>
      <c r="C89" s="12"/>
      <c r="D89" s="12"/>
      <c r="E89" s="59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190"/>
      <c r="W89" s="190"/>
      <c r="X89" s="190"/>
    </row>
    <row r="90" customFormat="false" ht="12.75" hidden="false" customHeight="false" outlineLevel="0" collapsed="false">
      <c r="A90" s="213"/>
      <c r="B90" s="181"/>
      <c r="C90" s="12"/>
      <c r="D90" s="12"/>
      <c r="E90" s="59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190"/>
      <c r="W90" s="190"/>
      <c r="X90" s="190"/>
    </row>
    <row r="91" customFormat="false" ht="12.75" hidden="false" customHeight="false" outlineLevel="0" collapsed="false">
      <c r="A91" s="213" t="s">
        <v>136</v>
      </c>
      <c r="B91" s="226" t="n">
        <f aca="false">SUM(B13,B20,B27,B33,B40,B47,B53,B60,B67)</f>
        <v>38555.0579130349</v>
      </c>
      <c r="C91" s="226" t="n">
        <f aca="false">SUM(C13,C20,C27,C33,C40,C47,C53,C60,C67)</f>
        <v>37876.1156798138</v>
      </c>
      <c r="D91" s="226" t="n">
        <f aca="false">SUM(D13,D20,D27,D33,D40,D47,D53,D60,D67)</f>
        <v>36983.9264599206</v>
      </c>
      <c r="E91" s="226" t="n">
        <f aca="false">SUM(E13,E20,E27,E33,E40,E47,E53,E60,E67)</f>
        <v>36061.2567125531</v>
      </c>
      <c r="F91" s="226" t="n">
        <f aca="false">SUM(F13,F20,F27,F33,F40,F47,F53,F60,F67)</f>
        <v>34779.7742947844</v>
      </c>
      <c r="G91" s="226" t="n">
        <f aca="false">SUM(G13,G20,G27,G33,G40,G47,G53,G60,G67)</f>
        <v>33456.3905548036</v>
      </c>
      <c r="H91" s="226" t="n">
        <f aca="false">SUM(H13,H20,H27,H33,H40,H47,H53,H60,H67)</f>
        <v>32098.8328584422</v>
      </c>
      <c r="I91" s="226" t="n">
        <f aca="false">SUM(I13,I20,I27,I33,I40,I47,I53,I60,I67)</f>
        <v>30776.0611774949</v>
      </c>
      <c r="J91" s="226" t="n">
        <f aca="false">SUM(J13,J20,J27,J33,J40,J47,J53,J60,J67)</f>
        <v>29217.8948724381</v>
      </c>
      <c r="K91" s="226" t="n">
        <f aca="false">SUM(K13,K20,K27,K33,K40,K47,K53,K60,K67)</f>
        <v>27659.1298453169</v>
      </c>
      <c r="L91" s="226" t="n">
        <f aca="false">SUM(L13,L20,L27,L33,L40,L47,L53,L60,L67)</f>
        <v>25992.5963564682</v>
      </c>
      <c r="M91" s="226" t="n">
        <f aca="false">SUM(M13,M20,M27,M33,M40,M47,M53,M60,M67)</f>
        <v>24255.4394217659</v>
      </c>
      <c r="N91" s="226" t="n">
        <f aca="false">SUM(N13,N20,N27,N33,N40,N47,N53,N60,N67)</f>
        <v>22246.9232464339</v>
      </c>
      <c r="O91" s="226" t="n">
        <f aca="false">SUM(O13,O20,O27,O33,O40,O47,O53,O60,O67)</f>
        <v>20151.2667244901</v>
      </c>
      <c r="P91" s="226" t="n">
        <f aca="false">SUM(P13,P20,P27,P33,P40,P47,P53,P60,P67)</f>
        <v>17877.1137419302</v>
      </c>
      <c r="Q91" s="226" t="n">
        <f aca="false">SUM(Q13,Q20,Q27,Q33,Q40,Q47,Q53,Q60,Q67)</f>
        <v>15445.9632637372</v>
      </c>
      <c r="R91" s="226" t="n">
        <f aca="false">SUM(R13,R20,R27,R33,R40,R47,R53,R60,R67)</f>
        <v>12690.0972861328</v>
      </c>
      <c r="S91" s="226" t="n">
        <f aca="false">SUM(S13,S20,S27,S33,S40,S47,S53,S60,S67)</f>
        <v>9721.73345248459</v>
      </c>
      <c r="T91" s="226" t="n">
        <f aca="false">SUM(T13,T20,T27,T33,T40,T47,T53,T60,T67)</f>
        <v>6463.78551436002</v>
      </c>
      <c r="U91" s="226" t="n">
        <f aca="false">SUM(U13,U20,U27,U33,U40,U47,U53,U60,U67)</f>
        <v>2889.78540637918</v>
      </c>
      <c r="V91" s="190"/>
      <c r="W91" s="190"/>
      <c r="X91" s="190"/>
    </row>
    <row r="92" customFormat="false" ht="12.75" hidden="false" customHeight="false" outlineLevel="0" collapsed="false">
      <c r="A92" s="213"/>
      <c r="B92" s="181"/>
      <c r="C92" s="12"/>
      <c r="D92" s="12"/>
      <c r="E92" s="59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190"/>
      <c r="W92" s="190"/>
      <c r="X92" s="190"/>
    </row>
    <row r="93" customFormat="false" ht="12.75" hidden="false" customHeight="false" outlineLevel="0" collapsed="false">
      <c r="A93" s="213"/>
      <c r="B93" s="181"/>
      <c r="C93" s="12"/>
      <c r="D93" s="12"/>
      <c r="E93" s="59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190"/>
      <c r="W93" s="190"/>
      <c r="X93" s="190"/>
    </row>
    <row r="94" customFormat="false" ht="12.75" hidden="false" customHeight="false" outlineLevel="0" collapsed="false">
      <c r="B94" s="227" t="s">
        <v>12</v>
      </c>
      <c r="C94" s="227"/>
      <c r="D94" s="227"/>
      <c r="E94" s="227"/>
      <c r="F94" s="190"/>
      <c r="G94" s="227" t="s">
        <v>13</v>
      </c>
      <c r="H94" s="227"/>
      <c r="I94" s="227"/>
      <c r="J94" s="227"/>
      <c r="K94" s="190"/>
      <c r="L94" s="227" t="s">
        <v>14</v>
      </c>
      <c r="M94" s="227"/>
      <c r="N94" s="227"/>
      <c r="O94" s="227"/>
      <c r="P94" s="168"/>
      <c r="Q94" s="168"/>
      <c r="R94" s="168"/>
      <c r="S94" s="190"/>
      <c r="T94" s="190"/>
      <c r="U94" s="190"/>
      <c r="V94" s="190"/>
      <c r="W94" s="190"/>
      <c r="X94" s="190"/>
    </row>
    <row r="95" customFormat="false" ht="12.75" hidden="false" customHeight="false" outlineLevel="0" collapsed="false">
      <c r="B95" s="228" t="s">
        <v>137</v>
      </c>
      <c r="C95" s="229"/>
      <c r="D95" s="229"/>
      <c r="E95" s="230" t="n">
        <f aca="false">'Summary Output'!B20</f>
        <v>0.068</v>
      </c>
      <c r="F95" s="213"/>
      <c r="G95" s="228" t="s">
        <v>137</v>
      </c>
      <c r="H95" s="229"/>
      <c r="I95" s="229"/>
      <c r="J95" s="230" t="n">
        <f aca="false">'Summary Output'!C20</f>
        <v>0.065</v>
      </c>
      <c r="K95" s="213"/>
      <c r="L95" s="228" t="s">
        <v>137</v>
      </c>
      <c r="M95" s="229"/>
      <c r="N95" s="229"/>
      <c r="O95" s="230" t="n">
        <f aca="false">'Summary Output'!D20</f>
        <v>0.062</v>
      </c>
      <c r="P95" s="168"/>
      <c r="Q95" s="168"/>
      <c r="R95" s="168"/>
      <c r="S95" s="190"/>
      <c r="T95" s="190"/>
      <c r="U95" s="190"/>
      <c r="V95" s="190"/>
      <c r="W95" s="190"/>
      <c r="X95" s="190"/>
    </row>
    <row r="96" customFormat="false" ht="12.75" hidden="false" customHeight="false" outlineLevel="0" collapsed="false">
      <c r="B96" s="231" t="s">
        <v>23</v>
      </c>
      <c r="C96" s="12"/>
      <c r="D96" s="12"/>
      <c r="E96" s="232" t="n">
        <f aca="false">'Summary Output'!B21</f>
        <v>0.0225</v>
      </c>
      <c r="G96" s="231" t="s">
        <v>23</v>
      </c>
      <c r="H96" s="12"/>
      <c r="I96" s="12"/>
      <c r="J96" s="232" t="n">
        <f aca="false">'Summary Output'!C21</f>
        <v>0.045</v>
      </c>
      <c r="L96" s="231" t="s">
        <v>23</v>
      </c>
      <c r="M96" s="12"/>
      <c r="N96" s="12"/>
      <c r="O96" s="232" t="n">
        <f aca="false">'Summary Output'!D21</f>
        <v>0.05</v>
      </c>
    </row>
    <row r="97" customFormat="false" ht="12.75" hidden="false" customHeight="false" outlineLevel="0" collapsed="false">
      <c r="A97" s="195"/>
      <c r="B97" s="233" t="s">
        <v>138</v>
      </c>
      <c r="C97" s="234"/>
      <c r="D97" s="234"/>
      <c r="E97" s="235" t="n">
        <f aca="false">E96+E95</f>
        <v>0.0905</v>
      </c>
      <c r="G97" s="233" t="s">
        <v>138</v>
      </c>
      <c r="H97" s="234"/>
      <c r="I97" s="234"/>
      <c r="J97" s="235" t="n">
        <f aca="false">J96+J95</f>
        <v>0.11</v>
      </c>
      <c r="L97" s="233" t="s">
        <v>138</v>
      </c>
      <c r="M97" s="234"/>
      <c r="N97" s="234"/>
      <c r="O97" s="235" t="n">
        <f aca="false">O96+O95</f>
        <v>0.112</v>
      </c>
    </row>
    <row r="98" customFormat="false" ht="12.75" hidden="false" customHeight="false" outlineLevel="0" collapsed="false">
      <c r="B98" s="236" t="s">
        <v>139</v>
      </c>
      <c r="C98" s="229"/>
      <c r="D98" s="229"/>
      <c r="E98" s="237" t="e">
        <f aca="false">('Summary Output'!B17-'Summary Output'!$C$14)/365.25</f>
        <v>#N/A</v>
      </c>
      <c r="G98" s="236" t="s">
        <v>139</v>
      </c>
      <c r="H98" s="229"/>
      <c r="I98" s="229"/>
      <c r="J98" s="237" t="n">
        <f aca="false">('Summary Output'!C17-'Summary Output'!$C$14)/365.25</f>
        <v>9.9958932238193</v>
      </c>
      <c r="L98" s="236" t="s">
        <v>139</v>
      </c>
      <c r="M98" s="229"/>
      <c r="N98" s="229"/>
      <c r="O98" s="237" t="n">
        <f aca="false">('Summary Output'!D17-'Summary Output'!$C$14)/365.25</f>
        <v>19.9972621492129</v>
      </c>
    </row>
    <row r="99" customFormat="false" ht="12.75" hidden="false" customHeight="false" outlineLevel="0" collapsed="false">
      <c r="B99" s="238" t="s">
        <v>140</v>
      </c>
      <c r="C99" s="12"/>
      <c r="D99" s="12"/>
      <c r="E99" s="239" t="str">
        <f aca="false">B109</f>
        <v/>
      </c>
      <c r="G99" s="238" t="s">
        <v>140</v>
      </c>
      <c r="H99" s="12"/>
      <c r="I99" s="12"/>
      <c r="J99" s="239" t="n">
        <f aca="false">B110</f>
        <v>5.87656454483231</v>
      </c>
      <c r="L99" s="238" t="s">
        <v>140</v>
      </c>
      <c r="M99" s="12"/>
      <c r="N99" s="12"/>
      <c r="O99" s="239" t="n">
        <f aca="false">B111</f>
        <v>15.9577752224504</v>
      </c>
    </row>
    <row r="100" customFormat="false" ht="12.75" hidden="false" customHeight="false" outlineLevel="0" collapsed="false">
      <c r="B100" s="233" t="s">
        <v>141</v>
      </c>
      <c r="C100" s="234"/>
      <c r="D100" s="234"/>
      <c r="E100" s="240" t="n">
        <f aca="false">B14</f>
        <v>0</v>
      </c>
      <c r="G100" s="233" t="s">
        <v>141</v>
      </c>
      <c r="H100" s="234"/>
      <c r="I100" s="234"/>
      <c r="J100" s="240" t="n">
        <f aca="false">B34</f>
        <v>112931</v>
      </c>
      <c r="L100" s="233" t="s">
        <v>141</v>
      </c>
      <c r="M100" s="234"/>
      <c r="N100" s="234"/>
      <c r="O100" s="240" t="n">
        <f aca="false">B54</f>
        <v>236225</v>
      </c>
    </row>
    <row r="101" customFormat="false" ht="12.75" hidden="false" customHeight="false" outlineLevel="0" collapsed="false">
      <c r="B101" s="195"/>
    </row>
    <row r="102" customFormat="false" ht="12.75" hidden="false" customHeight="false" outlineLevel="0" collapsed="false">
      <c r="B102" s="195"/>
    </row>
    <row r="103" customFormat="false" ht="13.5" hidden="false" customHeight="false" outlineLevel="0" collapsed="false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</row>
    <row r="105" customFormat="false" ht="12.75" hidden="false" customHeight="false" outlineLevel="0" collapsed="false">
      <c r="A105" s="2" t="s">
        <v>142</v>
      </c>
      <c r="B105" s="241" t="n">
        <f aca="false">(B16-$B$11)/365.25</f>
        <v>0.492813141683778</v>
      </c>
      <c r="C105" s="241" t="n">
        <f aca="false">(C16-$B$11)/365.25</f>
        <v>1.492128678987</v>
      </c>
      <c r="D105" s="241" t="n">
        <f aca="false">(D16-$B$11)/365.25</f>
        <v>2.49144421629021</v>
      </c>
      <c r="E105" s="241" t="n">
        <f aca="false">(E16-$B$11)/365.25</f>
        <v>3.49349760438056</v>
      </c>
      <c r="F105" s="241" t="n">
        <f aca="false">(F16-$B$11)/365.25</f>
        <v>4.49281314168378</v>
      </c>
      <c r="G105" s="241" t="n">
        <f aca="false">(G16-$B$11)/365.25</f>
        <v>5.492128678987</v>
      </c>
      <c r="H105" s="241" t="n">
        <f aca="false">(H16-$B$11)/365.25</f>
        <v>6.49144421629021</v>
      </c>
      <c r="I105" s="241" t="n">
        <f aca="false">(I16-$B$11)/365.25</f>
        <v>7.49349760438056</v>
      </c>
      <c r="J105" s="241" t="n">
        <f aca="false">(J16-$B$11)/365.25</f>
        <v>8.49281314168378</v>
      </c>
      <c r="K105" s="241" t="n">
        <f aca="false">(K16-$B$11)/365.25</f>
        <v>9.492128678987</v>
      </c>
      <c r="L105" s="241" t="n">
        <f aca="false">(L16-$B$11)/365.25</f>
        <v>10.4914442162902</v>
      </c>
      <c r="M105" s="241" t="n">
        <f aca="false">(M16-$B$11)/365.25</f>
        <v>11.4934976043806</v>
      </c>
      <c r="N105" s="241" t="n">
        <f aca="false">(N16-$B$11)/365.25</f>
        <v>12.4928131416838</v>
      </c>
      <c r="O105" s="241" t="n">
        <f aca="false">(O16-$B$11)/365.25</f>
        <v>13.492128678987</v>
      </c>
      <c r="P105" s="241" t="n">
        <f aca="false">(P16-$B$11)/365.25</f>
        <v>14.4914442162902</v>
      </c>
      <c r="Q105" s="241" t="n">
        <f aca="false">(Q16-$B$11)/365.25</f>
        <v>15.4934976043806</v>
      </c>
      <c r="R105" s="241" t="n">
        <f aca="false">(R16-$B$11)/365.25</f>
        <v>16.4928131416838</v>
      </c>
      <c r="S105" s="241" t="n">
        <f aca="false">(S16-$B$11)/365.25</f>
        <v>17.492128678987</v>
      </c>
      <c r="T105" s="241" t="n">
        <f aca="false">(T16-$B$11)/365.25</f>
        <v>18.4914442162902</v>
      </c>
      <c r="U105" s="241" t="n">
        <f aca="false">(U16-$B$11)/365.25</f>
        <v>19.4934976043806</v>
      </c>
      <c r="V105" s="242"/>
      <c r="W105" s="242"/>
      <c r="X105" s="242"/>
    </row>
    <row r="106" customFormat="false" ht="12.75" hidden="false" customHeight="false" outlineLevel="0" collapsed="false">
      <c r="B106" s="241" t="n">
        <f aca="false">(B23-$B$11)/365.25</f>
        <v>0.996577686516085</v>
      </c>
      <c r="C106" s="241" t="n">
        <f aca="false">(C23-$B$11)/365.25</f>
        <v>1.9958932238193</v>
      </c>
      <c r="D106" s="241" t="n">
        <f aca="false">(D23-$B$11)/365.25</f>
        <v>2.99520876112252</v>
      </c>
      <c r="E106" s="241" t="n">
        <f aca="false">(E23-$B$11)/365.25</f>
        <v>3.99726214921287</v>
      </c>
      <c r="F106" s="241" t="n">
        <f aca="false">(F23-$B$11)/365.25</f>
        <v>4.99657768651609</v>
      </c>
      <c r="G106" s="241" t="n">
        <f aca="false">(G23-$B$11)/365.25</f>
        <v>5.9958932238193</v>
      </c>
      <c r="H106" s="241" t="n">
        <f aca="false">(H23-$B$11)/365.25</f>
        <v>6.99520876112252</v>
      </c>
      <c r="I106" s="241" t="n">
        <f aca="false">(I23-$B$11)/365.25</f>
        <v>7.99726214921287</v>
      </c>
      <c r="J106" s="241" t="n">
        <f aca="false">(J23-$B$11)/365.25</f>
        <v>8.99657768651609</v>
      </c>
      <c r="K106" s="241" t="n">
        <f aca="false">(K23-$B$11)/365.25</f>
        <v>9.9958932238193</v>
      </c>
      <c r="L106" s="241" t="n">
        <f aca="false">(L23-$B$11)/365.25</f>
        <v>10.9952087611225</v>
      </c>
      <c r="M106" s="241" t="n">
        <f aca="false">(M23-$B$11)/365.25</f>
        <v>11.9972621492129</v>
      </c>
      <c r="N106" s="241" t="n">
        <f aca="false">(N23-$B$11)/365.25</f>
        <v>12.9965776865161</v>
      </c>
      <c r="O106" s="241" t="n">
        <f aca="false">(O23-$B$11)/365.25</f>
        <v>13.9958932238193</v>
      </c>
      <c r="P106" s="241" t="n">
        <f aca="false">(P23-$B$11)/365.25</f>
        <v>14.9952087611225</v>
      </c>
      <c r="Q106" s="241" t="n">
        <f aca="false">(Q23-$B$11)/365.25</f>
        <v>15.9972621492129</v>
      </c>
      <c r="R106" s="241" t="n">
        <f aca="false">(R23-$B$11)/365.25</f>
        <v>16.9965776865161</v>
      </c>
      <c r="S106" s="241" t="n">
        <f aca="false">(S23-$B$11)/365.25</f>
        <v>17.9958932238193</v>
      </c>
      <c r="T106" s="241" t="n">
        <f aca="false">(T23-$B$11)/365.25</f>
        <v>18.9952087611225</v>
      </c>
      <c r="U106" s="241" t="n">
        <f aca="false">(U23-$B$11)/365.25</f>
        <v>19.9972621492129</v>
      </c>
      <c r="V106" s="241"/>
      <c r="W106" s="241"/>
      <c r="X106" s="241"/>
    </row>
    <row r="107" customFormat="false" ht="12.75" hidden="false" customHeight="false" outlineLevel="0" collapsed="false"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</row>
    <row r="108" customFormat="false" ht="12.75" hidden="false" customHeight="false" outlineLevel="0" collapsed="false">
      <c r="A108" s="2" t="s">
        <v>143</v>
      </c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customFormat="false" ht="12.75" hidden="false" customHeight="false" outlineLevel="0" collapsed="false">
      <c r="A109" s="1" t="s">
        <v>12</v>
      </c>
      <c r="B109" s="243" t="str">
        <f aca="false">IF(E100=0,"",(SUMPRODUCT($B$105:$U$105,B19:U19)+SUMPRODUCT($B$106:$U$106,B26:U26))/E100)</f>
        <v/>
      </c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customFormat="false" ht="12.75" hidden="false" customHeight="false" outlineLevel="0" collapsed="false">
      <c r="A110" s="1" t="s">
        <v>13</v>
      </c>
      <c r="B110" s="243" t="n">
        <f aca="false">(SUMPRODUCT($B$105:$U$105,B39:U39)+SUMPRODUCT($B$106:$U$106,B46:U46))/J100</f>
        <v>5.87656454483231</v>
      </c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customFormat="false" ht="12.75" hidden="false" customHeight="false" outlineLevel="0" collapsed="false">
      <c r="A111" s="1" t="s">
        <v>14</v>
      </c>
      <c r="B111" s="243" t="n">
        <f aca="false">(SUMPRODUCT($B$105:$U$105,B59:U59)+SUMPRODUCT($B$106:$U$106,B66:U66))/O100</f>
        <v>15.9577752224504</v>
      </c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</row>
    <row r="112" customFormat="false" ht="13.5" hidden="false" customHeight="false" outlineLevel="0" collapsed="false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</row>
  </sheetData>
  <mergeCells count="4">
    <mergeCell ref="B82:D82"/>
    <mergeCell ref="B94:E94"/>
    <mergeCell ref="G94:J94"/>
    <mergeCell ref="L94:O9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rowBreaks count="1" manualBreakCount="1">
    <brk id="89" man="true" max="16383" min="0"/>
  </rowBreaks>
  <colBreaks count="1" manualBreakCount="1">
    <brk id="11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84"/>
    <col collapsed="false" customWidth="true" hidden="false" outlineLevel="0" max="2" min="2" style="1" width="9.28"/>
    <col collapsed="false" customWidth="true" hidden="false" outlineLevel="0" max="22" min="3" style="1" width="10.71"/>
    <col collapsed="false" customWidth="true" hidden="false" outlineLevel="0" max="24" min="23" style="93" width="10.28"/>
    <col collapsed="false" customWidth="true" hidden="false" outlineLevel="0" max="25" min="25" style="93" width="4.7"/>
    <col collapsed="false" customWidth="false" hidden="false" outlineLevel="0" max="257" min="26" style="1" width="9.14"/>
  </cols>
  <sheetData>
    <row r="2" customFormat="false" ht="18" hidden="false" customHeight="false" outlineLevel="0" collapsed="false">
      <c r="A2" s="149" t="s">
        <v>144</v>
      </c>
      <c r="B2" s="149"/>
    </row>
    <row r="5" customFormat="false" ht="18" hidden="false" customHeight="false" outlineLevel="0" collapsed="false">
      <c r="A5" s="244" t="s">
        <v>145</v>
      </c>
      <c r="B5" s="244"/>
    </row>
    <row r="6" customFormat="false" ht="12.75" hidden="false" customHeight="false" outlineLevel="0" collapsed="false">
      <c r="W6" s="245"/>
      <c r="X6" s="245"/>
    </row>
    <row r="7" customFormat="false" ht="13.5" hidden="false" customHeight="false" outlineLevel="0" collapsed="false">
      <c r="A7" s="154" t="s">
        <v>101</v>
      </c>
      <c r="B7" s="187" t="s">
        <v>146</v>
      </c>
      <c r="C7" s="155" t="n">
        <v>2001</v>
      </c>
      <c r="D7" s="155" t="n">
        <f aca="false">C7+1</f>
        <v>2002</v>
      </c>
      <c r="E7" s="155" t="n">
        <f aca="false">D7+1</f>
        <v>2003</v>
      </c>
      <c r="F7" s="155" t="n">
        <f aca="false">E7+1</f>
        <v>2004</v>
      </c>
      <c r="G7" s="155" t="n">
        <f aca="false">F7+1</f>
        <v>2005</v>
      </c>
      <c r="H7" s="155" t="n">
        <f aca="false">G7+1</f>
        <v>2006</v>
      </c>
      <c r="I7" s="155" t="n">
        <f aca="false">H7+1</f>
        <v>2007</v>
      </c>
      <c r="J7" s="155" t="n">
        <f aca="false">I7+1</f>
        <v>2008</v>
      </c>
      <c r="K7" s="155" t="n">
        <f aca="false">J7+1</f>
        <v>2009</v>
      </c>
      <c r="L7" s="155" t="n">
        <f aca="false">K7+1</f>
        <v>2010</v>
      </c>
      <c r="M7" s="155" t="n">
        <f aca="false">L7+1</f>
        <v>2011</v>
      </c>
      <c r="N7" s="155" t="n">
        <f aca="false">M7+1</f>
        <v>2012</v>
      </c>
      <c r="O7" s="155" t="n">
        <f aca="false">N7+1</f>
        <v>2013</v>
      </c>
      <c r="P7" s="155" t="n">
        <f aca="false">O7+1</f>
        <v>2014</v>
      </c>
      <c r="Q7" s="155" t="n">
        <f aca="false">P7+1</f>
        <v>2015</v>
      </c>
      <c r="R7" s="155" t="n">
        <f aca="false">Q7+1</f>
        <v>2016</v>
      </c>
      <c r="S7" s="155" t="n">
        <f aca="false">R7+1</f>
        <v>2017</v>
      </c>
      <c r="T7" s="155" t="n">
        <f aca="false">S7+1</f>
        <v>2018</v>
      </c>
      <c r="U7" s="155" t="n">
        <f aca="false">T7+1</f>
        <v>2019</v>
      </c>
      <c r="V7" s="155" t="n">
        <f aca="false">U7+1</f>
        <v>2020</v>
      </c>
      <c r="W7" s="246" t="s">
        <v>15</v>
      </c>
      <c r="X7" s="247" t="s">
        <v>123</v>
      </c>
      <c r="Y7" s="247"/>
    </row>
    <row r="8" customFormat="false" ht="12.75" hidden="false" customHeight="false" outlineLevel="0" collapsed="false">
      <c r="A8" s="248"/>
      <c r="B8" s="249" t="n">
        <f aca="false">'Summary Output'!B27</f>
        <v>36892</v>
      </c>
      <c r="C8" s="249" t="n">
        <v>37256</v>
      </c>
      <c r="D8" s="249" t="n">
        <v>37621</v>
      </c>
      <c r="E8" s="249" t="n">
        <v>37986</v>
      </c>
      <c r="F8" s="249" t="n">
        <v>38352</v>
      </c>
      <c r="G8" s="249" t="n">
        <v>38717</v>
      </c>
      <c r="H8" s="249" t="n">
        <v>39082</v>
      </c>
      <c r="I8" s="249" t="n">
        <v>39447</v>
      </c>
      <c r="J8" s="249" t="n">
        <v>39813</v>
      </c>
      <c r="K8" s="249" t="n">
        <v>40178</v>
      </c>
      <c r="L8" s="249" t="n">
        <v>40543</v>
      </c>
      <c r="M8" s="249" t="n">
        <v>40908</v>
      </c>
      <c r="N8" s="249" t="n">
        <v>41274</v>
      </c>
      <c r="O8" s="249" t="n">
        <v>41639</v>
      </c>
      <c r="P8" s="249" t="n">
        <v>42004</v>
      </c>
      <c r="Q8" s="249" t="n">
        <v>42369</v>
      </c>
      <c r="R8" s="249" t="n">
        <v>42735</v>
      </c>
      <c r="S8" s="249" t="n">
        <v>43100</v>
      </c>
      <c r="T8" s="249" t="n">
        <v>43465</v>
      </c>
      <c r="U8" s="249" t="n">
        <v>43830</v>
      </c>
      <c r="V8" s="249" t="n">
        <v>44196</v>
      </c>
      <c r="W8" s="250"/>
      <c r="X8" s="247"/>
      <c r="Y8" s="251"/>
    </row>
    <row r="9" customFormat="false" ht="12.75" hidden="false" customHeight="false" outlineLevel="0" collapsed="false">
      <c r="A9" s="159"/>
      <c r="B9" s="159"/>
      <c r="C9" s="156"/>
      <c r="D9" s="156"/>
      <c r="E9" s="156"/>
      <c r="F9" s="156"/>
      <c r="G9" s="252"/>
      <c r="H9" s="252"/>
      <c r="I9" s="253"/>
      <c r="J9" s="253"/>
      <c r="K9" s="252"/>
      <c r="L9" s="252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250"/>
      <c r="X9" s="247"/>
      <c r="Y9" s="251"/>
    </row>
    <row r="10" customFormat="false" ht="12.75" hidden="false" customHeight="false" outlineLevel="0" collapsed="false">
      <c r="A10" s="254" t="s">
        <v>113</v>
      </c>
      <c r="B10" s="172" t="n">
        <v>0</v>
      </c>
      <c r="C10" s="172" t="n">
        <f aca="false">IS!B27</f>
        <v>102592.929720534</v>
      </c>
      <c r="D10" s="172" t="n">
        <f aca="false">IS!C27</f>
        <v>107696.188803543</v>
      </c>
      <c r="E10" s="172" t="n">
        <f aca="false">IS!D27</f>
        <v>113071.535571207</v>
      </c>
      <c r="F10" s="172" t="n">
        <f aca="false">IS!E27</f>
        <v>118835.091978481</v>
      </c>
      <c r="G10" s="172" t="n">
        <f aca="false">IS!F27</f>
        <v>124921.890725523</v>
      </c>
      <c r="H10" s="172" t="n">
        <f aca="false">IS!G27</f>
        <v>126904.420512422</v>
      </c>
      <c r="I10" s="172" t="n">
        <f aca="false">IS!H27</f>
        <v>128975.407841598</v>
      </c>
      <c r="J10" s="172" t="n">
        <f aca="false">IS!I27</f>
        <v>131146.23840621</v>
      </c>
      <c r="K10" s="172" t="n">
        <f aca="false">IS!J27</f>
        <v>133457.955665814</v>
      </c>
      <c r="L10" s="172" t="n">
        <f aca="false">IS!K27</f>
        <v>135888.96959826</v>
      </c>
      <c r="M10" s="172" t="n">
        <f aca="false">IS!L27</f>
        <v>138042.99670688</v>
      </c>
      <c r="N10" s="172" t="n">
        <f aca="false">IS!M27</f>
        <v>140391.993028082</v>
      </c>
      <c r="O10" s="172" t="n">
        <f aca="false">IS!N27</f>
        <v>142426.202046786</v>
      </c>
      <c r="P10" s="172" t="n">
        <f aca="false">IS!O27</f>
        <v>144852.83411165</v>
      </c>
      <c r="Q10" s="172" t="n">
        <f aca="false">IS!P27</f>
        <v>146877.628560668</v>
      </c>
      <c r="R10" s="172" t="n">
        <f aca="false">IS!Q27</f>
        <v>149568.707951512</v>
      </c>
      <c r="S10" s="172" t="n">
        <f aca="false">IS!R27</f>
        <v>151700.250089156</v>
      </c>
      <c r="T10" s="172" t="n">
        <f aca="false">IS!S27</f>
        <v>153858.868833618</v>
      </c>
      <c r="U10" s="172" t="n">
        <f aca="false">IS!T27</f>
        <v>156044.833460298</v>
      </c>
      <c r="V10" s="172" t="n">
        <f aca="false">IS!U27</f>
        <v>158258.413203853</v>
      </c>
      <c r="W10" s="255" t="n">
        <f aca="false">SUM(C10:V10)</f>
        <v>2705513.3568161</v>
      </c>
      <c r="X10" s="256" t="n">
        <f aca="false">SUM(Wheatland!W48,Wilton!W48,Gleason!W48)</f>
        <v>2705513.3568161</v>
      </c>
      <c r="Y10" s="257" t="n">
        <f aca="false">W10-X10</f>
        <v>0</v>
      </c>
    </row>
    <row r="11" customFormat="false" ht="12.75" hidden="false" customHeight="false" outlineLevel="0" collapsed="false"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251"/>
      <c r="Y11" s="251"/>
    </row>
    <row r="12" customFormat="false" ht="12" hidden="false" customHeight="true" outlineLevel="0" collapsed="false">
      <c r="A12" s="258" t="s">
        <v>147</v>
      </c>
      <c r="B12" s="172" t="n">
        <v>0</v>
      </c>
      <c r="C12" s="259" t="n">
        <f aca="false">IS!B22</f>
        <v>746.46</v>
      </c>
      <c r="D12" s="259" t="n">
        <f aca="false">IS!C22</f>
        <v>1050.307</v>
      </c>
      <c r="E12" s="259" t="n">
        <f aca="false">IS!D22</f>
        <v>1248.093</v>
      </c>
      <c r="F12" s="259" t="n">
        <f aca="false">IS!E22</f>
        <v>1339.135</v>
      </c>
      <c r="G12" s="259" t="n">
        <f aca="false">IS!F22</f>
        <v>1401.501</v>
      </c>
      <c r="H12" s="259" t="n">
        <f aca="false">IS!G22</f>
        <v>1623.537</v>
      </c>
      <c r="I12" s="259" t="n">
        <f aca="false">IS!H22</f>
        <v>1795.939</v>
      </c>
      <c r="J12" s="259" t="n">
        <f aca="false">IS!I22</f>
        <v>1908.112</v>
      </c>
      <c r="K12" s="259" t="n">
        <f aca="false">IS!J22</f>
        <v>1920.18</v>
      </c>
      <c r="L12" s="259" t="n">
        <f aca="false">IS!K22</f>
        <v>1854.138</v>
      </c>
      <c r="M12" s="259" t="n">
        <f aca="false">IS!L22</f>
        <v>2009.213</v>
      </c>
      <c r="N12" s="259" t="n">
        <f aca="false">IS!M22</f>
        <v>2009.18</v>
      </c>
      <c r="O12" s="259" t="n">
        <f aca="false">IS!N22</f>
        <v>2358.1</v>
      </c>
      <c r="P12" s="259" t="n">
        <f aca="false">IS!O22</f>
        <v>2358.1</v>
      </c>
      <c r="Q12" s="259" t="n">
        <f aca="false">IS!P22</f>
        <v>2794.25</v>
      </c>
      <c r="R12" s="259" t="n">
        <f aca="false">IS!Q22</f>
        <v>2229.731045</v>
      </c>
      <c r="S12" s="259" t="n">
        <f aca="false">IS!R22</f>
        <v>2244.6096659</v>
      </c>
      <c r="T12" s="259" t="n">
        <f aca="false">IS!S22</f>
        <v>2259.785859218</v>
      </c>
      <c r="U12" s="259" t="n">
        <f aca="false">IS!T22</f>
        <v>2275.26557640236</v>
      </c>
      <c r="V12" s="259" t="n">
        <f aca="false">IS!U22</f>
        <v>2291.05488793041</v>
      </c>
      <c r="W12" s="255" t="n">
        <f aca="false">SUM(C12:V12)</f>
        <v>37716.6920344508</v>
      </c>
      <c r="X12" s="256" t="n">
        <f aca="false">SUM(IS!B22:U22)</f>
        <v>37716.6920344508</v>
      </c>
      <c r="Y12" s="257" t="n">
        <f aca="false">W12-X12</f>
        <v>0</v>
      </c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customFormat="false" ht="12.75" hidden="false" customHeight="false" outlineLevel="0" collapsed="false">
      <c r="A13" s="258" t="s">
        <v>148</v>
      </c>
      <c r="B13" s="172" t="n">
        <v>0</v>
      </c>
      <c r="C13" s="259" t="n">
        <f aca="false">SUM(Gleason!B50,Wheatland!B50,Wilton!B50)</f>
        <v>-629.1981014</v>
      </c>
      <c r="D13" s="259" t="n">
        <f aca="false">-C12</f>
        <v>-746.46</v>
      </c>
      <c r="E13" s="259" t="n">
        <f aca="false">-D12</f>
        <v>-1050.307</v>
      </c>
      <c r="F13" s="259" t="n">
        <f aca="false">-E12</f>
        <v>-1248.093</v>
      </c>
      <c r="G13" s="259" t="n">
        <f aca="false">-F12</f>
        <v>-1339.135</v>
      </c>
      <c r="H13" s="259" t="n">
        <f aca="false">-G12</f>
        <v>-1401.501</v>
      </c>
      <c r="I13" s="259" t="n">
        <f aca="false">-H12</f>
        <v>-1623.537</v>
      </c>
      <c r="J13" s="259" t="n">
        <f aca="false">-I12</f>
        <v>-1795.939</v>
      </c>
      <c r="K13" s="259" t="n">
        <f aca="false">-J12</f>
        <v>-1908.112</v>
      </c>
      <c r="L13" s="259" t="n">
        <f aca="false">-K12</f>
        <v>-1920.18</v>
      </c>
      <c r="M13" s="259" t="n">
        <f aca="false">-L12</f>
        <v>-1854.138</v>
      </c>
      <c r="N13" s="259" t="n">
        <f aca="false">-M12</f>
        <v>-2009.213</v>
      </c>
      <c r="O13" s="259" t="n">
        <f aca="false">-N12</f>
        <v>-2009.18</v>
      </c>
      <c r="P13" s="259" t="n">
        <f aca="false">-O12</f>
        <v>-2358.1</v>
      </c>
      <c r="Q13" s="259" t="n">
        <f aca="false">-P12</f>
        <v>-2358.1</v>
      </c>
      <c r="R13" s="259" t="n">
        <f aca="false">-Q12</f>
        <v>-2794.25</v>
      </c>
      <c r="S13" s="259" t="n">
        <f aca="false">-R12</f>
        <v>-2229.731045</v>
      </c>
      <c r="T13" s="259" t="n">
        <f aca="false">-S12</f>
        <v>-2244.6096659</v>
      </c>
      <c r="U13" s="259" t="n">
        <f aca="false">-T12</f>
        <v>-2259.785859218</v>
      </c>
      <c r="V13" s="259" t="n">
        <f aca="false">-U12</f>
        <v>-2275.26557640236</v>
      </c>
      <c r="W13" s="255" t="n">
        <f aca="false">SUM(C13:V13)</f>
        <v>-36054.8352479204</v>
      </c>
      <c r="X13" s="256" t="n">
        <f aca="false">SUM(Wheatland!W50,Wilton!W50,Gleason!W50)</f>
        <v>-36054.8352479204</v>
      </c>
      <c r="Y13" s="257" t="n">
        <f aca="false">W13-X13</f>
        <v>0</v>
      </c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customFormat="false" ht="12.75" hidden="false" customHeight="false" outlineLevel="0" collapsed="false">
      <c r="A14" s="258" t="s">
        <v>149</v>
      </c>
      <c r="B14" s="172" t="n">
        <v>0</v>
      </c>
      <c r="C14" s="172" t="n">
        <f aca="false">-Debt!B75</f>
        <v>-6911.3772</v>
      </c>
      <c r="D14" s="172" t="n">
        <f aca="false">-Debt!C75</f>
        <v>-7837.4114</v>
      </c>
      <c r="E14" s="172" t="n">
        <f aca="false">-Debt!D75</f>
        <v>-8944.1352</v>
      </c>
      <c r="F14" s="172" t="n">
        <f aca="false">-Debt!E75</f>
        <v>-10344.4796</v>
      </c>
      <c r="G14" s="172" t="n">
        <f aca="false">-Debt!F75</f>
        <v>-11970.686</v>
      </c>
      <c r="H14" s="172" t="n">
        <f aca="false">-Debt!G75</f>
        <v>-12241.7204</v>
      </c>
      <c r="I14" s="172" t="n">
        <f aca="false">-Debt!H75</f>
        <v>-12670.8582</v>
      </c>
      <c r="J14" s="172" t="n">
        <f aca="false">-Debt!I75</f>
        <v>-13212.927</v>
      </c>
      <c r="K14" s="172" t="n">
        <f aca="false">-Debt!J75</f>
        <v>-13958.2716</v>
      </c>
      <c r="L14" s="172" t="n">
        <f aca="false">-Debt!K75</f>
        <v>-14839.1334</v>
      </c>
      <c r="M14" s="172" t="n">
        <f aca="false">-Debt!L75</f>
        <v>-15827.075</v>
      </c>
      <c r="N14" s="172" t="n">
        <f aca="false">-Debt!M75</f>
        <v>-17008.2</v>
      </c>
      <c r="O14" s="172" t="n">
        <f aca="false">-Debt!N75</f>
        <v>-18331.06</v>
      </c>
      <c r="P14" s="172" t="n">
        <f aca="false">-Debt!O75</f>
        <v>-19890.145</v>
      </c>
      <c r="Q14" s="172" t="n">
        <f aca="false">-Debt!P75</f>
        <v>-21590.965</v>
      </c>
      <c r="R14" s="172" t="n">
        <f aca="false">-Debt!Q75</f>
        <v>-23669.745</v>
      </c>
      <c r="S14" s="172" t="n">
        <f aca="false">-Debt!R75</f>
        <v>-25890.26</v>
      </c>
      <c r="T14" s="172" t="n">
        <f aca="false">-Debt!S75</f>
        <v>-28394.245</v>
      </c>
      <c r="U14" s="172" t="n">
        <f aca="false">-Debt!T75</f>
        <v>-31228.945</v>
      </c>
      <c r="V14" s="172" t="n">
        <f aca="false">-Debt!U75</f>
        <v>-34394.36</v>
      </c>
      <c r="W14" s="255" t="n">
        <f aca="false">SUM(C14:V14)</f>
        <v>-349156</v>
      </c>
      <c r="X14" s="256" t="n">
        <f aca="false">SUM(Debt!B75:U75)</f>
        <v>349156</v>
      </c>
      <c r="Y14" s="257" t="n">
        <f aca="false">W14+X14</f>
        <v>0</v>
      </c>
    </row>
    <row r="15" customFormat="false" ht="12.75" hidden="false" customHeight="false" outlineLevel="0" collapsed="false">
      <c r="A15" s="258" t="s">
        <v>150</v>
      </c>
      <c r="B15" s="260" t="n">
        <v>0</v>
      </c>
      <c r="C15" s="260" t="n">
        <f aca="false">-Debt!B76</f>
        <v>-38555.0579130349</v>
      </c>
      <c r="D15" s="260" t="n">
        <f aca="false">-Debt!C76</f>
        <v>-37876.1156798138</v>
      </c>
      <c r="E15" s="260" t="n">
        <f aca="false">-Debt!D76</f>
        <v>-36983.9264599206</v>
      </c>
      <c r="F15" s="260" t="n">
        <f aca="false">-Debt!E76</f>
        <v>-36061.2567125531</v>
      </c>
      <c r="G15" s="260" t="n">
        <f aca="false">-Debt!F76</f>
        <v>-34779.7742947844</v>
      </c>
      <c r="H15" s="260" t="n">
        <f aca="false">-Debt!G76</f>
        <v>-33456.3905548036</v>
      </c>
      <c r="I15" s="260" t="n">
        <f aca="false">-Debt!H76</f>
        <v>-32098.8328584422</v>
      </c>
      <c r="J15" s="260" t="n">
        <f aca="false">-Debt!I76</f>
        <v>-30776.0611774949</v>
      </c>
      <c r="K15" s="260" t="n">
        <f aca="false">-Debt!J76</f>
        <v>-29217.8948724381</v>
      </c>
      <c r="L15" s="260" t="n">
        <f aca="false">-Debt!K76</f>
        <v>-27659.1298453169</v>
      </c>
      <c r="M15" s="260" t="n">
        <f aca="false">-Debt!L76</f>
        <v>-25992.5963564682</v>
      </c>
      <c r="N15" s="260" t="n">
        <f aca="false">-Debt!M76</f>
        <v>-24255.4394217659</v>
      </c>
      <c r="O15" s="260" t="n">
        <f aca="false">-Debt!N76</f>
        <v>-22246.9232464339</v>
      </c>
      <c r="P15" s="260" t="n">
        <f aca="false">-Debt!O76</f>
        <v>-20151.2667244901</v>
      </c>
      <c r="Q15" s="260" t="n">
        <f aca="false">-Debt!P76</f>
        <v>-17877.1137419302</v>
      </c>
      <c r="R15" s="260" t="n">
        <f aca="false">-Debt!Q76</f>
        <v>-15445.9632637372</v>
      </c>
      <c r="S15" s="260" t="n">
        <f aca="false">-Debt!R76</f>
        <v>-12690.0972861328</v>
      </c>
      <c r="T15" s="260" t="n">
        <f aca="false">-Debt!S76</f>
        <v>-9721.73345248459</v>
      </c>
      <c r="U15" s="260" t="n">
        <f aca="false">-Debt!T76</f>
        <v>-6463.78551436002</v>
      </c>
      <c r="V15" s="260" t="n">
        <f aca="false">-Debt!U76</f>
        <v>-2889.78540637918</v>
      </c>
      <c r="W15" s="261" t="n">
        <f aca="false">SUM(C15:V15)</f>
        <v>-495199.144782784</v>
      </c>
      <c r="X15" s="256" t="n">
        <f aca="false">SUM(Debt!B76:U76)</f>
        <v>495199.144782784</v>
      </c>
      <c r="Y15" s="257" t="n">
        <f aca="false">W15+X15</f>
        <v>0</v>
      </c>
    </row>
    <row r="16" customFormat="false" ht="12.75" hidden="false" customHeight="false" outlineLevel="0" collapsed="false">
      <c r="A16" s="258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256"/>
      <c r="Y16" s="168"/>
    </row>
    <row r="17" customFormat="false" ht="12.75" hidden="false" customHeight="false" outlineLevel="0" collapsed="false">
      <c r="A17" s="254" t="s">
        <v>151</v>
      </c>
      <c r="B17" s="160" t="n">
        <f aca="false">SUM(B10:B15)</f>
        <v>0</v>
      </c>
      <c r="C17" s="160" t="n">
        <f aca="false">SUM(C10:C15)</f>
        <v>57243.7565060991</v>
      </c>
      <c r="D17" s="160" t="n">
        <f aca="false">SUM(D10:D15)</f>
        <v>62286.5087237288</v>
      </c>
      <c r="E17" s="160" t="n">
        <f aca="false">SUM(E10:E15)</f>
        <v>67341.2599112862</v>
      </c>
      <c r="F17" s="160" t="n">
        <f aca="false">SUM(F10:F15)</f>
        <v>72520.3976659279</v>
      </c>
      <c r="G17" s="160" t="n">
        <f aca="false">SUM(G10:G15)</f>
        <v>78233.796430739</v>
      </c>
      <c r="H17" s="160" t="n">
        <f aca="false">SUM(H10:H15)</f>
        <v>81428.3455576183</v>
      </c>
      <c r="I17" s="160" t="n">
        <f aca="false">SUM(I10:I15)</f>
        <v>84378.1187831554</v>
      </c>
      <c r="J17" s="160" t="n">
        <f aca="false">SUM(J10:J15)</f>
        <v>87269.4232287156</v>
      </c>
      <c r="K17" s="160" t="n">
        <f aca="false">SUM(K10:K15)</f>
        <v>90293.8571933756</v>
      </c>
      <c r="L17" s="160" t="n">
        <f aca="false">SUM(L10:L15)</f>
        <v>93324.6643529428</v>
      </c>
      <c r="M17" s="160" t="n">
        <f aca="false">SUM(M10:M15)</f>
        <v>96378.4003504122</v>
      </c>
      <c r="N17" s="160" t="n">
        <f aca="false">SUM(N10:N15)</f>
        <v>99128.3206063162</v>
      </c>
      <c r="O17" s="160" t="n">
        <f aca="false">SUM(O10:O15)</f>
        <v>102197.138800352</v>
      </c>
      <c r="P17" s="160" t="n">
        <f aca="false">SUM(P10:P15)</f>
        <v>104811.42238716</v>
      </c>
      <c r="Q17" s="160" t="n">
        <f aca="false">SUM(Q10:Q15)</f>
        <v>107845.699818738</v>
      </c>
      <c r="R17" s="160" t="n">
        <f aca="false">SUM(R10:R15)</f>
        <v>109888.480732775</v>
      </c>
      <c r="S17" s="160" t="n">
        <f aca="false">SUM(S10:S15)</f>
        <v>113134.771423924</v>
      </c>
      <c r="T17" s="160" t="n">
        <f aca="false">SUM(T10:T15)</f>
        <v>115758.066574451</v>
      </c>
      <c r="U17" s="160" t="n">
        <f aca="false">SUM(U10:U15)</f>
        <v>118367.582663123</v>
      </c>
      <c r="V17" s="160" t="n">
        <f aca="false">SUM(V10:V15)</f>
        <v>120990.057109002</v>
      </c>
      <c r="W17" s="255" t="n">
        <f aca="false">SUM(C17:V17)</f>
        <v>1862820.06881984</v>
      </c>
      <c r="X17" s="256" t="n">
        <f aca="false">SUM(Wheatland!W53,Wilton!W53,Gleason!W53)</f>
        <v>1862820.06881984</v>
      </c>
      <c r="Y17" s="257" t="n">
        <f aca="false">W17-X17</f>
        <v>0</v>
      </c>
    </row>
    <row r="18" customFormat="false" ht="12.75" hidden="false" customHeight="false" outlineLevel="0" collapsed="false">
      <c r="A18" s="254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251"/>
      <c r="Y18" s="168"/>
    </row>
    <row r="19" customFormat="false" ht="12.75" hidden="false" customHeight="false" outlineLevel="0" collapsed="false">
      <c r="A19" s="169" t="s">
        <v>152</v>
      </c>
      <c r="B19" s="172" t="n">
        <v>0</v>
      </c>
      <c r="C19" s="172" t="n">
        <f aca="false">-Tax!B8</f>
        <v>-1871.44969172303</v>
      </c>
      <c r="D19" s="172" t="n">
        <f aca="false">-Tax!C8</f>
        <v>-534.013032389125</v>
      </c>
      <c r="E19" s="172" t="n">
        <f aca="false">-Tax!D8</f>
        <v>-967.579234039856</v>
      </c>
      <c r="F19" s="172" t="n">
        <f aca="false">-Tax!E8</f>
        <v>-1501.91849704118</v>
      </c>
      <c r="G19" s="172" t="n">
        <f aca="false">-Tax!F8</f>
        <v>-2777.54133568052</v>
      </c>
      <c r="H19" s="172" t="n">
        <f aca="false">-Tax!G8</f>
        <v>-3350.50058609227</v>
      </c>
      <c r="I19" s="172" t="n">
        <f aca="false">-Tax!H8</f>
        <v>-3752.33646743763</v>
      </c>
      <c r="J19" s="172" t="n">
        <f aca="false">-Tax!I8</f>
        <v>-3995.33720864021</v>
      </c>
      <c r="K19" s="172" t="n">
        <f aca="false">-Tax!J8</f>
        <v>-4275.44128873011</v>
      </c>
      <c r="L19" s="172" t="n">
        <f aca="false">-Tax!K8</f>
        <v>-4555.12380848361</v>
      </c>
      <c r="M19" s="172" t="n">
        <f aca="false">-Tax!L8</f>
        <v>-4824.96071855632</v>
      </c>
      <c r="N19" s="172" t="n">
        <f aca="false">-Tax!M8</f>
        <v>-5105.11802113696</v>
      </c>
      <c r="O19" s="172" t="n">
        <f aca="false">-Tax!N8</f>
        <v>-5395.45038792625</v>
      </c>
      <c r="P19" s="172" t="n">
        <f aca="false">-Tax!O8</f>
        <v>-5706.13739200577</v>
      </c>
      <c r="Q19" s="172" t="n">
        <f aca="false">-Tax!P8</f>
        <v>-6015.25371515397</v>
      </c>
      <c r="R19" s="172" t="n">
        <f aca="false">-Tax!Q8</f>
        <v>-7793.13170853154</v>
      </c>
      <c r="S19" s="172" t="n">
        <f aca="false">-Tax!R8</f>
        <v>-9560.56943062575</v>
      </c>
      <c r="T19" s="172" t="n">
        <f aca="false">-Tax!S8</f>
        <v>-9921.55320687978</v>
      </c>
      <c r="U19" s="172" t="n">
        <f aca="false">-Tax!T8</f>
        <v>-10304.844397419</v>
      </c>
      <c r="V19" s="172" t="n">
        <f aca="false">-Tax!U8</f>
        <v>-10712.324086249</v>
      </c>
      <c r="W19" s="255" t="n">
        <f aca="false">SUM(C19:V19)</f>
        <v>-102920.584214742</v>
      </c>
      <c r="X19" s="256" t="n">
        <f aca="false">SUM(Wheatland!W55,Wilton!W55,Gleason!W55)</f>
        <v>-102920.584214742</v>
      </c>
      <c r="Y19" s="257" t="n">
        <f aca="false">W19-X19</f>
        <v>0</v>
      </c>
    </row>
    <row r="20" customFormat="false" ht="12.75" hidden="false" customHeight="false" outlineLevel="0" collapsed="false">
      <c r="A20" s="169" t="s">
        <v>153</v>
      </c>
      <c r="B20" s="260" t="n">
        <v>0</v>
      </c>
      <c r="C20" s="260" t="n">
        <f aca="false">-Tax!B24</f>
        <v>-7934.61603220895</v>
      </c>
      <c r="D20" s="260" t="n">
        <f aca="false">-Tax!C24</f>
        <v>-0</v>
      </c>
      <c r="E20" s="260" t="n">
        <f aca="false">-Tax!D24</f>
        <v>-638.821021996365</v>
      </c>
      <c r="F20" s="260" t="n">
        <f aca="false">-Tax!E24</f>
        <v>-7156.77803830886</v>
      </c>
      <c r="G20" s="260" t="n">
        <f aca="false">-Tax!F24</f>
        <v>-11418.0477355491</v>
      </c>
      <c r="H20" s="260" t="n">
        <f aca="false">-Tax!G24</f>
        <v>-14309.8901714765</v>
      </c>
      <c r="I20" s="260" t="n">
        <f aca="false">-Tax!H24</f>
        <v>-16281.5980646923</v>
      </c>
      <c r="J20" s="260" t="n">
        <f aca="false">-Tax!I24</f>
        <v>-17391.6613278008</v>
      </c>
      <c r="K20" s="260" t="n">
        <f aca="false">-Tax!J24</f>
        <v>-18675.731410817</v>
      </c>
      <c r="L20" s="260" t="n">
        <f aca="false">-Tax!K24</f>
        <v>-19946.6179013352</v>
      </c>
      <c r="M20" s="260" t="n">
        <f aca="false">-Tax!L24</f>
        <v>-21217.0184553406</v>
      </c>
      <c r="N20" s="260" t="n">
        <f aca="false">-Tax!M24</f>
        <v>-22521.4697755872</v>
      </c>
      <c r="O20" s="260" t="n">
        <f aca="false">-Tax!N24</f>
        <v>-23862.4545285402</v>
      </c>
      <c r="P20" s="260" t="n">
        <f aca="false">-Tax!O24</f>
        <v>-25308.8678190784</v>
      </c>
      <c r="Q20" s="260" t="n">
        <f aca="false">-Tax!P24</f>
        <v>-26732.9559704454</v>
      </c>
      <c r="R20" s="260" t="n">
        <f aca="false">-Tax!Q24</f>
        <v>-36059.4218348306</v>
      </c>
      <c r="S20" s="260" t="n">
        <f aca="false">-Tax!R24</f>
        <v>-45307.3541803392</v>
      </c>
      <c r="T20" s="260" t="n">
        <f aca="false">-Tax!S24</f>
        <v>-46975.4537609887</v>
      </c>
      <c r="U20" s="260" t="n">
        <f aca="false">-Tax!T24</f>
        <v>-48746.6712419818</v>
      </c>
      <c r="V20" s="260" t="n">
        <f aca="false">-Tax!U24</f>
        <v>-50629.7062989287</v>
      </c>
      <c r="W20" s="261" t="n">
        <f aca="false">SUM(C20:V20)</f>
        <v>-461115.135570246</v>
      </c>
      <c r="X20" s="256" t="n">
        <f aca="false">SUM(Wheatland!W56,Wilton!W56,Gleason!W56)</f>
        <v>-461115.135570246</v>
      </c>
      <c r="Y20" s="257" t="n">
        <f aca="false">W20-X20</f>
        <v>0</v>
      </c>
    </row>
    <row r="21" customFormat="false" ht="12.75" hidden="false" customHeight="false" outlineLevel="0" collapsed="false">
      <c r="A21" s="258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262"/>
      <c r="Y21" s="168"/>
    </row>
    <row r="22" customFormat="false" ht="12.75" hidden="false" customHeight="false" outlineLevel="0" collapsed="false">
      <c r="A22" s="254" t="s">
        <v>154</v>
      </c>
      <c r="B22" s="160" t="n">
        <f aca="false">SUM(B20,B19,B17)</f>
        <v>0</v>
      </c>
      <c r="C22" s="160" t="n">
        <f aca="false">SUM(C20,C19,C17)</f>
        <v>47437.6907821671</v>
      </c>
      <c r="D22" s="160" t="n">
        <f aca="false">SUM(D20,D19,D17)</f>
        <v>61752.4956913396</v>
      </c>
      <c r="E22" s="160" t="n">
        <f aca="false">SUM(E20,E19,E17)</f>
        <v>65734.8596552499</v>
      </c>
      <c r="F22" s="160" t="n">
        <f aca="false">SUM(F20,F19,F17)</f>
        <v>63861.7011305779</v>
      </c>
      <c r="G22" s="160" t="n">
        <f aca="false">SUM(G20,G19,G17)</f>
        <v>64038.2073595093</v>
      </c>
      <c r="H22" s="160" t="n">
        <f aca="false">SUM(H20,H19,H17)</f>
        <v>63767.9548000495</v>
      </c>
      <c r="I22" s="160" t="n">
        <f aca="false">SUM(I20,I19,I17)</f>
        <v>64344.1842510255</v>
      </c>
      <c r="J22" s="160" t="n">
        <f aca="false">SUM(J20,J19,J17)</f>
        <v>65882.4246922746</v>
      </c>
      <c r="K22" s="160" t="n">
        <f aca="false">SUM(K20,K19,K17)</f>
        <v>67342.6844938285</v>
      </c>
      <c r="L22" s="160" t="n">
        <f aca="false">SUM(L20,L19,L17)</f>
        <v>68822.922643124</v>
      </c>
      <c r="M22" s="160" t="n">
        <f aca="false">SUM(M20,M19,M17)</f>
        <v>70336.4211765153</v>
      </c>
      <c r="N22" s="160" t="n">
        <f aca="false">SUM(N20,N19,N17)</f>
        <v>71501.7328095921</v>
      </c>
      <c r="O22" s="160" t="n">
        <f aca="false">SUM(O20,O19,O17)</f>
        <v>72939.233883886</v>
      </c>
      <c r="P22" s="160" t="n">
        <f aca="false">SUM(P20,P19,P17)</f>
        <v>73796.4171760757</v>
      </c>
      <c r="Q22" s="160" t="n">
        <f aca="false">SUM(Q20,Q19,Q17)</f>
        <v>75097.4901331384</v>
      </c>
      <c r="R22" s="160" t="n">
        <f aca="false">SUM(R20,R19,R17)</f>
        <v>66035.9271894125</v>
      </c>
      <c r="S22" s="160" t="n">
        <f aca="false">SUM(S20,S19,S17)</f>
        <v>58266.8478129586</v>
      </c>
      <c r="T22" s="160" t="n">
        <f aca="false">SUM(T20,T19,T17)</f>
        <v>58861.0596065827</v>
      </c>
      <c r="U22" s="160" t="n">
        <f aca="false">SUM(U20,U19,U17)</f>
        <v>59316.0670237219</v>
      </c>
      <c r="V22" s="160" t="n">
        <f aca="false">SUM(V20,V19,V17)</f>
        <v>59648.0267238242</v>
      </c>
      <c r="W22" s="263" t="n">
        <f aca="false">SUM(W20,W19,W17)</f>
        <v>1298784.34903485</v>
      </c>
      <c r="X22" s="256" t="n">
        <f aca="false">SUM(Wheatland!W58,Wilton!W58,Gleason!W58)</f>
        <v>1298784.34903485</v>
      </c>
      <c r="Y22" s="257" t="n">
        <f aca="false">W22-X22</f>
        <v>0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2.75" hidden="false" customHeight="false" outlineLevel="0" collapsed="false">
      <c r="A23" s="258"/>
      <c r="B23" s="197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97"/>
      <c r="X23" s="197"/>
      <c r="Y23" s="1"/>
    </row>
    <row r="24" customFormat="false" ht="12.75" hidden="false" customHeight="false" outlineLevel="0" collapsed="false">
      <c r="A24" s="258"/>
      <c r="B24" s="264"/>
      <c r="C24" s="264"/>
      <c r="D24" s="264"/>
      <c r="E24" s="264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</row>
    <row r="25" customFormat="false" ht="18" hidden="false" customHeight="false" outlineLevel="0" collapsed="false">
      <c r="A25" s="244" t="s">
        <v>155</v>
      </c>
    </row>
    <row r="26" customFormat="false" ht="12" hidden="false" customHeight="true" outlineLevel="0" collapsed="false">
      <c r="A26" s="244"/>
    </row>
    <row r="27" customFormat="false" ht="13.5" hidden="false" customHeight="false" outlineLevel="0" collapsed="false">
      <c r="A27" s="154" t="s">
        <v>101</v>
      </c>
      <c r="B27" s="187" t="s">
        <v>146</v>
      </c>
      <c r="C27" s="155" t="n">
        <v>2001</v>
      </c>
      <c r="D27" s="155" t="n">
        <f aca="false">C27+1</f>
        <v>2002</v>
      </c>
      <c r="E27" s="155" t="n">
        <f aca="false">D27+1</f>
        <v>2003</v>
      </c>
      <c r="F27" s="155" t="n">
        <f aca="false">E27+1</f>
        <v>2004</v>
      </c>
      <c r="G27" s="155" t="n">
        <f aca="false">F27+1</f>
        <v>2005</v>
      </c>
      <c r="H27" s="155" t="n">
        <f aca="false">G27+1</f>
        <v>2006</v>
      </c>
      <c r="I27" s="155" t="n">
        <f aca="false">H27+1</f>
        <v>2007</v>
      </c>
      <c r="J27" s="155" t="n">
        <f aca="false">I27+1</f>
        <v>2008</v>
      </c>
      <c r="K27" s="155" t="n">
        <f aca="false">J27+1</f>
        <v>2009</v>
      </c>
      <c r="L27" s="155" t="n">
        <f aca="false">K27+1</f>
        <v>2010</v>
      </c>
      <c r="M27" s="155" t="n">
        <f aca="false">L27+1</f>
        <v>2011</v>
      </c>
      <c r="N27" s="155" t="n">
        <f aca="false">M27+1</f>
        <v>2012</v>
      </c>
      <c r="O27" s="155" t="n">
        <f aca="false">N27+1</f>
        <v>2013</v>
      </c>
      <c r="P27" s="155" t="n">
        <f aca="false">O27+1</f>
        <v>2014</v>
      </c>
      <c r="Q27" s="155" t="n">
        <f aca="false">P27+1</f>
        <v>2015</v>
      </c>
      <c r="R27" s="155" t="n">
        <f aca="false">Q27+1</f>
        <v>2016</v>
      </c>
      <c r="S27" s="155" t="n">
        <f aca="false">R27+1</f>
        <v>2017</v>
      </c>
      <c r="T27" s="155" t="n">
        <f aca="false">S27+1</f>
        <v>2018</v>
      </c>
      <c r="U27" s="155" t="n">
        <f aca="false">T27+1</f>
        <v>2019</v>
      </c>
      <c r="V27" s="155" t="n">
        <f aca="false">U27+1</f>
        <v>2020</v>
      </c>
      <c r="X27" s="1"/>
    </row>
    <row r="28" customFormat="false" ht="12.75" hidden="false" customHeight="false" outlineLevel="0" collapsed="false">
      <c r="V28" s="93"/>
      <c r="X28" s="1"/>
    </row>
    <row r="29" customFormat="false" ht="12.75" hidden="false" customHeight="false" outlineLevel="0" collapsed="false">
      <c r="A29" s="1" t="s">
        <v>156</v>
      </c>
      <c r="B29" s="172" t="n">
        <f aca="false">-'Summary Output'!C7</f>
        <v>-440765.811903581</v>
      </c>
      <c r="C29" s="172" t="n">
        <v>0</v>
      </c>
      <c r="D29" s="172" t="n">
        <v>0</v>
      </c>
      <c r="E29" s="172" t="n">
        <v>0</v>
      </c>
      <c r="F29" s="172" t="n">
        <v>0</v>
      </c>
      <c r="G29" s="172" t="n">
        <v>0</v>
      </c>
      <c r="H29" s="172" t="n">
        <v>0</v>
      </c>
      <c r="I29" s="172" t="n">
        <v>0</v>
      </c>
      <c r="J29" s="172" t="n">
        <v>0</v>
      </c>
      <c r="K29" s="172" t="n">
        <v>0</v>
      </c>
      <c r="L29" s="172" t="n">
        <v>0</v>
      </c>
      <c r="M29" s="172" t="n">
        <v>0</v>
      </c>
      <c r="N29" s="172" t="n">
        <v>0</v>
      </c>
      <c r="O29" s="172" t="n">
        <v>0</v>
      </c>
      <c r="P29" s="172" t="n">
        <v>0</v>
      </c>
      <c r="Q29" s="172" t="n">
        <v>0</v>
      </c>
      <c r="R29" s="172" t="n">
        <v>0</v>
      </c>
      <c r="S29" s="172" t="n">
        <v>0</v>
      </c>
      <c r="T29" s="172" t="n">
        <v>0</v>
      </c>
      <c r="U29" s="172" t="n">
        <v>0</v>
      </c>
      <c r="V29" s="172" t="n">
        <v>0</v>
      </c>
    </row>
    <row r="30" customFormat="false" ht="12.75" hidden="false" customHeight="false" outlineLevel="0" collapsed="false">
      <c r="A30" s="1" t="s">
        <v>157</v>
      </c>
      <c r="B30" s="172" t="n">
        <f aca="false">B22</f>
        <v>0</v>
      </c>
      <c r="C30" s="172" t="n">
        <f aca="false">C22</f>
        <v>47437.6907821671</v>
      </c>
      <c r="D30" s="172" t="n">
        <f aca="false">D22</f>
        <v>61752.4956913396</v>
      </c>
      <c r="E30" s="172" t="n">
        <f aca="false">E22</f>
        <v>65734.8596552499</v>
      </c>
      <c r="F30" s="172" t="n">
        <f aca="false">F22</f>
        <v>63861.7011305779</v>
      </c>
      <c r="G30" s="172" t="n">
        <f aca="false">G22</f>
        <v>64038.2073595093</v>
      </c>
      <c r="H30" s="172" t="n">
        <f aca="false">H22</f>
        <v>63767.9548000495</v>
      </c>
      <c r="I30" s="172" t="n">
        <f aca="false">I22</f>
        <v>64344.1842510255</v>
      </c>
      <c r="J30" s="172" t="n">
        <f aca="false">J22</f>
        <v>65882.4246922746</v>
      </c>
      <c r="K30" s="172" t="n">
        <f aca="false">K22</f>
        <v>67342.6844938285</v>
      </c>
      <c r="L30" s="172" t="n">
        <f aca="false">L22</f>
        <v>68822.922643124</v>
      </c>
      <c r="M30" s="172" t="n">
        <f aca="false">M22</f>
        <v>70336.4211765153</v>
      </c>
      <c r="N30" s="172" t="n">
        <f aca="false">N22</f>
        <v>71501.7328095921</v>
      </c>
      <c r="O30" s="172" t="n">
        <f aca="false">O22</f>
        <v>72939.233883886</v>
      </c>
      <c r="P30" s="172" t="n">
        <f aca="false">P22</f>
        <v>73796.4171760757</v>
      </c>
      <c r="Q30" s="172" t="n">
        <f aca="false">Q22</f>
        <v>75097.4901331384</v>
      </c>
      <c r="R30" s="172" t="n">
        <f aca="false">R22</f>
        <v>66035.9271894125</v>
      </c>
      <c r="S30" s="172" t="n">
        <f aca="false">S22</f>
        <v>58266.8478129586</v>
      </c>
      <c r="T30" s="172" t="n">
        <f aca="false">T22</f>
        <v>58861.0596065827</v>
      </c>
      <c r="U30" s="172" t="n">
        <f aca="false">U22</f>
        <v>59316.0670237219</v>
      </c>
      <c r="V30" s="172" t="n">
        <f aca="false">V22</f>
        <v>59648.0267238242</v>
      </c>
    </row>
    <row r="31" customFormat="false" ht="12.75" hidden="false" customHeight="false" outlineLevel="0" collapsed="false">
      <c r="A31" s="1" t="s">
        <v>158</v>
      </c>
      <c r="B31" s="260" t="n">
        <v>0</v>
      </c>
      <c r="C31" s="260" t="n">
        <v>0</v>
      </c>
      <c r="D31" s="260" t="n">
        <v>0</v>
      </c>
      <c r="E31" s="260" t="n">
        <v>0</v>
      </c>
      <c r="F31" s="260" t="n">
        <v>0</v>
      </c>
      <c r="G31" s="260" t="n">
        <v>0</v>
      </c>
      <c r="H31" s="260" t="n">
        <v>0</v>
      </c>
      <c r="I31" s="260" t="n">
        <v>0</v>
      </c>
      <c r="J31" s="260" t="n">
        <v>0</v>
      </c>
      <c r="K31" s="260" t="n">
        <v>0</v>
      </c>
      <c r="L31" s="260" t="n">
        <v>0</v>
      </c>
      <c r="M31" s="260" t="n">
        <v>0</v>
      </c>
      <c r="N31" s="260" t="n">
        <v>0</v>
      </c>
      <c r="O31" s="260" t="n">
        <v>0</v>
      </c>
      <c r="P31" s="260" t="n">
        <v>0</v>
      </c>
      <c r="Q31" s="260" t="n">
        <v>0</v>
      </c>
      <c r="R31" s="260" t="n">
        <v>0</v>
      </c>
      <c r="S31" s="260" t="n">
        <v>0</v>
      </c>
      <c r="T31" s="260" t="n">
        <v>0</v>
      </c>
      <c r="U31" s="260" t="n">
        <v>0</v>
      </c>
      <c r="V31" s="260" t="n">
        <f aca="false">2*V10</f>
        <v>316516.826407706</v>
      </c>
    </row>
    <row r="32" customFormat="false" ht="12.75" hidden="false" customHeight="false" outlineLevel="0" collapsed="false">
      <c r="A32" s="1" t="s">
        <v>159</v>
      </c>
      <c r="B32" s="172" t="n">
        <f aca="false">SUM(B29:B31)</f>
        <v>-440765.811903581</v>
      </c>
      <c r="C32" s="172" t="n">
        <f aca="false">SUM(C29:C31)</f>
        <v>47437.6907821671</v>
      </c>
      <c r="D32" s="172" t="n">
        <f aca="false">SUM(D29:D31)</f>
        <v>61752.4956913396</v>
      </c>
      <c r="E32" s="172" t="n">
        <f aca="false">SUM(E29:E31)</f>
        <v>65734.8596552499</v>
      </c>
      <c r="F32" s="172" t="n">
        <f aca="false">SUM(F29:F31)</f>
        <v>63861.7011305779</v>
      </c>
      <c r="G32" s="172" t="n">
        <f aca="false">SUM(G29:G31)</f>
        <v>64038.2073595093</v>
      </c>
      <c r="H32" s="172" t="n">
        <f aca="false">SUM(H29:H31)</f>
        <v>63767.9548000495</v>
      </c>
      <c r="I32" s="172" t="n">
        <f aca="false">SUM(I29:I31)</f>
        <v>64344.1842510255</v>
      </c>
      <c r="J32" s="172" t="n">
        <f aca="false">SUM(J29:J31)</f>
        <v>65882.4246922746</v>
      </c>
      <c r="K32" s="172" t="n">
        <f aca="false">SUM(K29:K31)</f>
        <v>67342.6844938285</v>
      </c>
      <c r="L32" s="172" t="n">
        <f aca="false">SUM(L29:L31)</f>
        <v>68822.922643124</v>
      </c>
      <c r="M32" s="172" t="n">
        <f aca="false">SUM(M29:M31)</f>
        <v>70336.4211765153</v>
      </c>
      <c r="N32" s="172" t="n">
        <f aca="false">SUM(N29:N31)</f>
        <v>71501.7328095921</v>
      </c>
      <c r="O32" s="172" t="n">
        <f aca="false">SUM(O29:O31)</f>
        <v>72939.233883886</v>
      </c>
      <c r="P32" s="172" t="n">
        <f aca="false">SUM(P29:P31)</f>
        <v>73796.4171760757</v>
      </c>
      <c r="Q32" s="172" t="n">
        <f aca="false">SUM(Q29:Q31)</f>
        <v>75097.4901331384</v>
      </c>
      <c r="R32" s="172" t="n">
        <f aca="false">SUM(R29:R31)</f>
        <v>66035.9271894125</v>
      </c>
      <c r="S32" s="172" t="n">
        <f aca="false">SUM(S29:S31)</f>
        <v>58266.8478129586</v>
      </c>
      <c r="T32" s="172" t="n">
        <f aca="false">SUM(T29:T31)</f>
        <v>58861.0596065827</v>
      </c>
      <c r="U32" s="172" t="n">
        <f aca="false">SUM(U29:U31)</f>
        <v>59316.0670237219</v>
      </c>
      <c r="V32" s="172" t="n">
        <f aca="false">SUM(V29:V31)</f>
        <v>376164.85313153</v>
      </c>
    </row>
    <row r="33" customFormat="false" ht="12.75" hidden="false" customHeight="false" outlineLevel="0" collapsed="false">
      <c r="A33" s="1" t="s">
        <v>160</v>
      </c>
      <c r="B33" s="265" t="e">
        <f aca="false">([2]!xirr,B32:V32,B8:V8)</f>
        <v>#VALUE!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</row>
  </sheetData>
  <mergeCells count="1">
    <mergeCell ref="X7:Y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colBreaks count="1" manualBreakCount="1">
    <brk id="1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13"/>
    <col collapsed="false" customWidth="true" hidden="false" outlineLevel="0" max="2" min="2" style="266" width="17.14"/>
    <col collapsed="false" customWidth="true" hidden="false" outlineLevel="0" max="4" min="3" style="266" width="10.28"/>
    <col collapsed="false" customWidth="true" hidden="false" outlineLevel="0" max="13" min="5" style="1" width="10.28"/>
    <col collapsed="false" customWidth="true" hidden="false" outlineLevel="0" max="22" min="14" style="1" width="10.13"/>
    <col collapsed="false" customWidth="true" hidden="false" outlineLevel="0" max="23" min="23" style="1" width="11.7"/>
    <col collapsed="false" customWidth="true" hidden="false" outlineLevel="0" max="24" min="24" style="1" width="20.7"/>
    <col collapsed="false" customWidth="true" hidden="false" outlineLevel="0" max="25" min="25" style="1" width="7.28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B1" s="1"/>
      <c r="C1" s="1"/>
      <c r="D1" s="1"/>
    </row>
    <row r="2" customFormat="false" ht="18" hidden="false" customHeight="false" outlineLevel="0" collapsed="false">
      <c r="A2" s="149" t="s">
        <v>161</v>
      </c>
      <c r="C2" s="267"/>
    </row>
    <row r="3" customFormat="false" ht="12.75" hidden="false" customHeight="false" outlineLevel="0" collapsed="false"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</row>
    <row r="4" customFormat="false" ht="13.5" hidden="false" customHeight="false" outlineLevel="0" collapsed="false">
      <c r="A4" s="154" t="s">
        <v>101</v>
      </c>
      <c r="B4" s="154" t="s">
        <v>162</v>
      </c>
      <c r="C4" s="268" t="n">
        <v>37256</v>
      </c>
      <c r="D4" s="268" t="n">
        <v>37621</v>
      </c>
      <c r="E4" s="268" t="n">
        <v>37986</v>
      </c>
      <c r="F4" s="268" t="n">
        <v>38352</v>
      </c>
      <c r="G4" s="268" t="n">
        <v>38717</v>
      </c>
      <c r="H4" s="268" t="n">
        <v>39082</v>
      </c>
      <c r="I4" s="268" t="n">
        <v>39447</v>
      </c>
      <c r="J4" s="268" t="n">
        <v>39813</v>
      </c>
      <c r="K4" s="268" t="n">
        <v>40178</v>
      </c>
      <c r="L4" s="268" t="n">
        <v>40543</v>
      </c>
      <c r="M4" s="268" t="n">
        <v>40908</v>
      </c>
      <c r="N4" s="268" t="n">
        <v>41274</v>
      </c>
      <c r="O4" s="268" t="n">
        <v>41639</v>
      </c>
      <c r="P4" s="268" t="n">
        <v>42004</v>
      </c>
      <c r="Q4" s="268" t="n">
        <v>42369</v>
      </c>
      <c r="R4" s="268" t="n">
        <v>42735</v>
      </c>
      <c r="S4" s="268" t="n">
        <v>43100</v>
      </c>
      <c r="T4" s="268" t="n">
        <v>43465</v>
      </c>
      <c r="U4" s="268" t="n">
        <v>43830</v>
      </c>
      <c r="V4" s="268" t="n">
        <v>44196</v>
      </c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  <c r="IL4" s="269"/>
      <c r="IM4" s="269"/>
      <c r="IN4" s="269"/>
      <c r="IO4" s="269"/>
      <c r="IP4" s="269"/>
      <c r="IQ4" s="269"/>
      <c r="IR4" s="269"/>
      <c r="IS4" s="269"/>
      <c r="IT4" s="269"/>
      <c r="IU4" s="269"/>
      <c r="IV4" s="269"/>
      <c r="IW4" s="269"/>
    </row>
    <row r="5" customFormat="false" ht="12.75" hidden="false" customHeight="false" outlineLevel="0" collapsed="false">
      <c r="B5" s="270" t="n">
        <v>0</v>
      </c>
      <c r="C5" s="270" t="n">
        <v>1</v>
      </c>
      <c r="D5" s="270" t="n">
        <v>2</v>
      </c>
      <c r="E5" s="270" t="n">
        <f aca="false">D5+1</f>
        <v>3</v>
      </c>
      <c r="F5" s="270" t="n">
        <f aca="false">E5+1</f>
        <v>4</v>
      </c>
      <c r="G5" s="270" t="n">
        <f aca="false">F5+1</f>
        <v>5</v>
      </c>
      <c r="H5" s="270" t="n">
        <f aca="false">G5+1</f>
        <v>6</v>
      </c>
      <c r="I5" s="270" t="n">
        <f aca="false">H5+1</f>
        <v>7</v>
      </c>
      <c r="J5" s="270" t="n">
        <f aca="false">I5+1</f>
        <v>8</v>
      </c>
      <c r="K5" s="270" t="n">
        <f aca="false">J5+1</f>
        <v>9</v>
      </c>
      <c r="L5" s="270" t="n">
        <f aca="false">K5+1</f>
        <v>10</v>
      </c>
      <c r="M5" s="270" t="n">
        <f aca="false">L5+1</f>
        <v>11</v>
      </c>
      <c r="N5" s="270" t="n">
        <f aca="false">M5+1</f>
        <v>12</v>
      </c>
      <c r="O5" s="270" t="n">
        <f aca="false">N5+1</f>
        <v>13</v>
      </c>
      <c r="P5" s="270" t="n">
        <f aca="false">O5+1</f>
        <v>14</v>
      </c>
      <c r="Q5" s="270" t="n">
        <f aca="false">P5+1</f>
        <v>15</v>
      </c>
      <c r="R5" s="270" t="n">
        <f aca="false">Q5+1</f>
        <v>16</v>
      </c>
      <c r="S5" s="270" t="n">
        <f aca="false">R5+1</f>
        <v>17</v>
      </c>
      <c r="T5" s="270" t="n">
        <f aca="false">S5+1</f>
        <v>18</v>
      </c>
      <c r="U5" s="270" t="n">
        <f aca="false">T5+1</f>
        <v>19</v>
      </c>
      <c r="V5" s="270" t="n">
        <f aca="false">U5+1</f>
        <v>20</v>
      </c>
    </row>
    <row r="6" customFormat="false" ht="12.75" hidden="false" customHeight="false" outlineLevel="0" collapsed="false">
      <c r="A6" s="271" t="s">
        <v>37</v>
      </c>
      <c r="B6" s="270" t="n">
        <v>0</v>
      </c>
      <c r="C6" s="270" t="n">
        <v>1</v>
      </c>
      <c r="D6" s="270" t="n">
        <v>2</v>
      </c>
      <c r="E6" s="270" t="n">
        <f aca="false">D6+1</f>
        <v>3</v>
      </c>
      <c r="F6" s="270" t="n">
        <f aca="false">E6+1</f>
        <v>4</v>
      </c>
      <c r="G6" s="270" t="n">
        <f aca="false">F6+1</f>
        <v>5</v>
      </c>
      <c r="H6" s="270" t="n">
        <f aca="false">G6+1</f>
        <v>6</v>
      </c>
      <c r="I6" s="270" t="n">
        <f aca="false">H6+1</f>
        <v>7</v>
      </c>
      <c r="J6" s="270" t="n">
        <f aca="false">I6+1</f>
        <v>8</v>
      </c>
      <c r="K6" s="270" t="n">
        <f aca="false">J6+1</f>
        <v>9</v>
      </c>
      <c r="L6" s="270" t="n">
        <f aca="false">K6+1</f>
        <v>10</v>
      </c>
      <c r="M6" s="270" t="n">
        <f aca="false">L6+1</f>
        <v>11</v>
      </c>
      <c r="N6" s="270" t="n">
        <f aca="false">M6+1</f>
        <v>12</v>
      </c>
      <c r="O6" s="270" t="n">
        <f aca="false">N6+1</f>
        <v>13</v>
      </c>
      <c r="P6" s="270" t="n">
        <f aca="false">O6+1</f>
        <v>14</v>
      </c>
      <c r="Q6" s="270" t="n">
        <f aca="false">P6+1</f>
        <v>15</v>
      </c>
      <c r="R6" s="270" t="n">
        <f aca="false">Q6+1</f>
        <v>16</v>
      </c>
      <c r="S6" s="270" t="n">
        <f aca="false">R6+1</f>
        <v>17</v>
      </c>
      <c r="T6" s="270" t="n">
        <f aca="false">S6+1</f>
        <v>18</v>
      </c>
      <c r="U6" s="270" t="n">
        <f aca="false">T6+1</f>
        <v>19</v>
      </c>
      <c r="V6" s="270" t="n">
        <f aca="false">U6+1</f>
        <v>20</v>
      </c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  <c r="IW6" s="272"/>
    </row>
    <row r="7" customFormat="false" ht="12.75" hidden="false" customHeight="false" outlineLevel="0" collapsed="false">
      <c r="A7" s="272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  <c r="IW7" s="272"/>
    </row>
    <row r="8" customFormat="false" ht="12.75" hidden="false" customHeight="false" outlineLevel="0" collapsed="false">
      <c r="A8" s="192" t="s">
        <v>55</v>
      </c>
      <c r="B8" s="1"/>
      <c r="C8" s="1"/>
      <c r="D8" s="1"/>
    </row>
    <row r="9" customFormat="false" ht="12.75" hidden="false" customHeight="false" outlineLevel="0" collapsed="false">
      <c r="A9" s="24" t="s">
        <v>163</v>
      </c>
      <c r="B9" s="273" t="n">
        <v>0</v>
      </c>
      <c r="C9" s="273" t="n">
        <v>12</v>
      </c>
      <c r="D9" s="273" t="n">
        <v>12</v>
      </c>
      <c r="E9" s="273" t="n">
        <v>12</v>
      </c>
      <c r="F9" s="273" t="n">
        <v>12</v>
      </c>
      <c r="G9" s="273" t="n">
        <v>12</v>
      </c>
      <c r="H9" s="273" t="n">
        <v>12</v>
      </c>
      <c r="I9" s="273" t="n">
        <v>12</v>
      </c>
      <c r="J9" s="273" t="n">
        <v>12</v>
      </c>
      <c r="K9" s="273" t="n">
        <v>12</v>
      </c>
      <c r="L9" s="273" t="n">
        <v>12</v>
      </c>
      <c r="M9" s="273" t="n">
        <v>12</v>
      </c>
      <c r="N9" s="273" t="n">
        <v>12</v>
      </c>
      <c r="O9" s="273" t="n">
        <v>12</v>
      </c>
      <c r="P9" s="273" t="n">
        <v>12</v>
      </c>
      <c r="Q9" s="273" t="n">
        <v>12</v>
      </c>
      <c r="R9" s="273" t="n">
        <v>12</v>
      </c>
      <c r="S9" s="273" t="n">
        <v>12</v>
      </c>
      <c r="T9" s="273" t="n">
        <v>12</v>
      </c>
      <c r="U9" s="273" t="n">
        <v>12</v>
      </c>
      <c r="V9" s="273" t="n">
        <v>12</v>
      </c>
    </row>
    <row r="10" customFormat="false" ht="12.75" hidden="false" customHeight="false" outlineLevel="0" collapsed="false">
      <c r="A10" s="1" t="s">
        <v>164</v>
      </c>
      <c r="B10" s="201" t="n">
        <v>0</v>
      </c>
      <c r="C10" s="201" t="n">
        <f aca="false">90%/30</f>
        <v>0.03</v>
      </c>
      <c r="D10" s="201" t="n">
        <f aca="false">90%/30</f>
        <v>0.03</v>
      </c>
      <c r="E10" s="201" t="n">
        <f aca="false">90%/30</f>
        <v>0.03</v>
      </c>
      <c r="F10" s="201" t="n">
        <f aca="false">90%/30</f>
        <v>0.03</v>
      </c>
      <c r="G10" s="201" t="n">
        <f aca="false">90%/30</f>
        <v>0.03</v>
      </c>
      <c r="H10" s="201" t="n">
        <f aca="false">90%/30</f>
        <v>0.03</v>
      </c>
      <c r="I10" s="201" t="n">
        <f aca="false">90%/30</f>
        <v>0.03</v>
      </c>
      <c r="J10" s="201" t="n">
        <f aca="false">90%/30</f>
        <v>0.03</v>
      </c>
      <c r="K10" s="201" t="n">
        <f aca="false">90%/30</f>
        <v>0.03</v>
      </c>
      <c r="L10" s="201" t="n">
        <f aca="false">90%/30</f>
        <v>0.03</v>
      </c>
      <c r="M10" s="201" t="n">
        <f aca="false">90%/30</f>
        <v>0.03</v>
      </c>
      <c r="N10" s="201" t="n">
        <f aca="false">90%/30</f>
        <v>0.03</v>
      </c>
      <c r="O10" s="201" t="n">
        <f aca="false">90%/30</f>
        <v>0.03</v>
      </c>
      <c r="P10" s="201" t="n">
        <f aca="false">90%/30</f>
        <v>0.03</v>
      </c>
      <c r="Q10" s="201" t="n">
        <f aca="false">90%/30</f>
        <v>0.03</v>
      </c>
      <c r="R10" s="201" t="n">
        <f aca="false">90%/30</f>
        <v>0.03</v>
      </c>
      <c r="S10" s="201" t="n">
        <f aca="false">90%/30</f>
        <v>0.03</v>
      </c>
      <c r="T10" s="201" t="n">
        <f aca="false">90%/30</f>
        <v>0.03</v>
      </c>
      <c r="U10" s="201" t="n">
        <f aca="false">90%/30</f>
        <v>0.03</v>
      </c>
      <c r="V10" s="201" t="n">
        <f aca="false">90%/30</f>
        <v>0.03</v>
      </c>
    </row>
    <row r="11" customFormat="false" ht="12.75" hidden="false" customHeight="false" outlineLevel="0" collapsed="false">
      <c r="B11" s="1"/>
      <c r="C11" s="1"/>
      <c r="D11" s="1"/>
    </row>
    <row r="12" customFormat="false" ht="12.75" hidden="false" customHeight="false" outlineLevel="0" collapsed="false">
      <c r="A12" s="1" t="s">
        <v>165</v>
      </c>
      <c r="B12" s="160" t="n">
        <f aca="false">'Summary Output'!$G$7*Allocation!$C$6</f>
        <v>233188.816118416</v>
      </c>
      <c r="C12" s="172" t="n">
        <f aca="false">B14</f>
        <v>233188.816118416</v>
      </c>
      <c r="D12" s="172" t="n">
        <f aca="false">C14</f>
        <v>226193.151634864</v>
      </c>
      <c r="E12" s="172" t="n">
        <f aca="false">D14</f>
        <v>219197.487151311</v>
      </c>
      <c r="F12" s="172" t="n">
        <f aca="false">E14</f>
        <v>212201.822667759</v>
      </c>
      <c r="G12" s="172" t="n">
        <f aca="false">F14</f>
        <v>205206.158184206</v>
      </c>
      <c r="H12" s="172" t="n">
        <f aca="false">G14</f>
        <v>198210.493700654</v>
      </c>
      <c r="I12" s="172" t="n">
        <f aca="false">H14</f>
        <v>191214.829217101</v>
      </c>
      <c r="J12" s="172" t="n">
        <f aca="false">I14</f>
        <v>184219.164733549</v>
      </c>
      <c r="K12" s="172" t="n">
        <f aca="false">J14</f>
        <v>177223.500249996</v>
      </c>
      <c r="L12" s="172" t="n">
        <f aca="false">K14</f>
        <v>170227.835766444</v>
      </c>
      <c r="M12" s="172" t="n">
        <f aca="false">L14</f>
        <v>163232.171282891</v>
      </c>
      <c r="N12" s="172" t="n">
        <f aca="false">M14</f>
        <v>156236.506799339</v>
      </c>
      <c r="O12" s="172" t="n">
        <f aca="false">N14</f>
        <v>149240.842315786</v>
      </c>
      <c r="P12" s="172" t="n">
        <f aca="false">O14</f>
        <v>142245.177832234</v>
      </c>
      <c r="Q12" s="172" t="n">
        <f aca="false">P14</f>
        <v>135249.513348681</v>
      </c>
      <c r="R12" s="172" t="n">
        <f aca="false">Q14</f>
        <v>128253.848865129</v>
      </c>
      <c r="S12" s="172" t="n">
        <f aca="false">R14</f>
        <v>121258.184381576</v>
      </c>
      <c r="T12" s="172" t="n">
        <f aca="false">S14</f>
        <v>114262.519898024</v>
      </c>
      <c r="U12" s="172" t="n">
        <f aca="false">T14</f>
        <v>107266.855414471</v>
      </c>
      <c r="V12" s="172" t="n">
        <f aca="false">U14</f>
        <v>100271.190930919</v>
      </c>
    </row>
    <row r="13" customFormat="false" ht="12.75" hidden="false" customHeight="false" outlineLevel="0" collapsed="false">
      <c r="A13" s="1" t="s">
        <v>166</v>
      </c>
      <c r="B13" s="197" t="n">
        <f aca="false">$B$12*B10</f>
        <v>0</v>
      </c>
      <c r="C13" s="197" t="n">
        <f aca="false">$B$12*C10</f>
        <v>6995.66448355249</v>
      </c>
      <c r="D13" s="197" t="n">
        <f aca="false">$B$12*D10</f>
        <v>6995.66448355249</v>
      </c>
      <c r="E13" s="197" t="n">
        <f aca="false">$B$12*E10</f>
        <v>6995.66448355249</v>
      </c>
      <c r="F13" s="197" t="n">
        <f aca="false">$B$12*F10</f>
        <v>6995.66448355249</v>
      </c>
      <c r="G13" s="197" t="n">
        <f aca="false">$B$12*G10</f>
        <v>6995.66448355249</v>
      </c>
      <c r="H13" s="197" t="n">
        <f aca="false">$B$12*H10</f>
        <v>6995.66448355249</v>
      </c>
      <c r="I13" s="197" t="n">
        <f aca="false">$B$12*I10</f>
        <v>6995.66448355249</v>
      </c>
      <c r="J13" s="197" t="n">
        <f aca="false">$B$12*J10</f>
        <v>6995.66448355249</v>
      </c>
      <c r="K13" s="197" t="n">
        <f aca="false">$B$12*K10</f>
        <v>6995.66448355249</v>
      </c>
      <c r="L13" s="197" t="n">
        <f aca="false">$B$12*L10</f>
        <v>6995.66448355249</v>
      </c>
      <c r="M13" s="197" t="n">
        <f aca="false">$B$12*M10</f>
        <v>6995.66448355249</v>
      </c>
      <c r="N13" s="197" t="n">
        <f aca="false">$B$12*N10</f>
        <v>6995.66448355249</v>
      </c>
      <c r="O13" s="197" t="n">
        <f aca="false">$B$12*O10</f>
        <v>6995.66448355249</v>
      </c>
      <c r="P13" s="197" t="n">
        <f aca="false">$B$12*P10</f>
        <v>6995.66448355249</v>
      </c>
      <c r="Q13" s="197" t="n">
        <f aca="false">$B$12*Q10</f>
        <v>6995.66448355249</v>
      </c>
      <c r="R13" s="197" t="n">
        <f aca="false">$B$12*R10</f>
        <v>6995.66448355249</v>
      </c>
      <c r="S13" s="197" t="n">
        <f aca="false">$B$12*S10</f>
        <v>6995.66448355249</v>
      </c>
      <c r="T13" s="197" t="n">
        <f aca="false">$B$12*T10</f>
        <v>6995.66448355249</v>
      </c>
      <c r="U13" s="197" t="n">
        <f aca="false">$B$12*U10</f>
        <v>6995.66448355249</v>
      </c>
      <c r="V13" s="197" t="n">
        <f aca="false">$B$12*V10</f>
        <v>6995.66448355249</v>
      </c>
    </row>
    <row r="14" customFormat="false" ht="12.75" hidden="false" customHeight="false" outlineLevel="0" collapsed="false">
      <c r="A14" s="1" t="s">
        <v>167</v>
      </c>
      <c r="B14" s="172" t="n">
        <f aca="false">B12-B13</f>
        <v>233188.816118416</v>
      </c>
      <c r="C14" s="172" t="n">
        <f aca="false">C12-C13</f>
        <v>226193.151634864</v>
      </c>
      <c r="D14" s="172" t="n">
        <f aca="false">D12-D13</f>
        <v>219197.487151311</v>
      </c>
      <c r="E14" s="172" t="n">
        <f aca="false">E12-E13</f>
        <v>212201.822667759</v>
      </c>
      <c r="F14" s="172" t="n">
        <f aca="false">F12-F13</f>
        <v>205206.158184206</v>
      </c>
      <c r="G14" s="172" t="n">
        <f aca="false">G12-G13</f>
        <v>198210.493700654</v>
      </c>
      <c r="H14" s="172" t="n">
        <f aca="false">H12-H13</f>
        <v>191214.829217101</v>
      </c>
      <c r="I14" s="172" t="n">
        <f aca="false">I12-I13</f>
        <v>184219.164733549</v>
      </c>
      <c r="J14" s="172" t="n">
        <f aca="false">J12-J13</f>
        <v>177223.500249996</v>
      </c>
      <c r="K14" s="172" t="n">
        <f aca="false">K12-K13</f>
        <v>170227.835766444</v>
      </c>
      <c r="L14" s="172" t="n">
        <f aca="false">L12-L13</f>
        <v>163232.171282891</v>
      </c>
      <c r="M14" s="172" t="n">
        <f aca="false">M12-M13</f>
        <v>156236.506799339</v>
      </c>
      <c r="N14" s="172" t="n">
        <f aca="false">N12-N13</f>
        <v>149240.842315786</v>
      </c>
      <c r="O14" s="172" t="n">
        <f aca="false">O12-O13</f>
        <v>142245.177832234</v>
      </c>
      <c r="P14" s="172" t="n">
        <f aca="false">P12-P13</f>
        <v>135249.513348681</v>
      </c>
      <c r="Q14" s="172" t="n">
        <f aca="false">Q12-Q13</f>
        <v>128253.848865129</v>
      </c>
      <c r="R14" s="172" t="n">
        <f aca="false">R12-R13</f>
        <v>121258.184381576</v>
      </c>
      <c r="S14" s="172" t="n">
        <f aca="false">S12-S13</f>
        <v>114262.519898024</v>
      </c>
      <c r="T14" s="172" t="n">
        <f aca="false">T12-T13</f>
        <v>107266.855414471</v>
      </c>
      <c r="U14" s="172" t="n">
        <f aca="false">U12-U13</f>
        <v>100271.190930919</v>
      </c>
      <c r="V14" s="172" t="n">
        <f aca="false">V12-V13</f>
        <v>93275.5264473664</v>
      </c>
    </row>
    <row r="15" customFormat="false" ht="12.75" hidden="false" customHeight="false" outlineLevel="0" collapsed="false">
      <c r="B15" s="1"/>
      <c r="C15" s="1"/>
      <c r="D15" s="1"/>
    </row>
    <row r="16" customFormat="false" ht="12.75" hidden="false" customHeight="false" outlineLevel="0" collapsed="false">
      <c r="A16" s="192" t="s">
        <v>56</v>
      </c>
      <c r="B16" s="1"/>
      <c r="C16" s="1"/>
      <c r="D16" s="1"/>
    </row>
    <row r="17" customFormat="false" ht="12.75" hidden="false" customHeight="false" outlineLevel="0" collapsed="false">
      <c r="A17" s="24" t="s">
        <v>163</v>
      </c>
      <c r="B17" s="273" t="n">
        <v>0</v>
      </c>
      <c r="C17" s="273" t="n">
        <v>12</v>
      </c>
      <c r="D17" s="273" t="n">
        <v>12</v>
      </c>
      <c r="E17" s="273" t="n">
        <v>12</v>
      </c>
      <c r="F17" s="273" t="n">
        <v>12</v>
      </c>
      <c r="G17" s="273" t="n">
        <v>12</v>
      </c>
      <c r="H17" s="273" t="n">
        <v>12</v>
      </c>
      <c r="I17" s="273" t="n">
        <v>12</v>
      </c>
      <c r="J17" s="273" t="n">
        <v>12</v>
      </c>
      <c r="K17" s="273" t="n">
        <v>12</v>
      </c>
      <c r="L17" s="273" t="n">
        <v>12</v>
      </c>
      <c r="M17" s="273" t="n">
        <v>12</v>
      </c>
      <c r="N17" s="273" t="n">
        <v>12</v>
      </c>
      <c r="O17" s="273" t="n">
        <v>12</v>
      </c>
      <c r="P17" s="273" t="n">
        <v>12</v>
      </c>
      <c r="Q17" s="273" t="n">
        <v>12</v>
      </c>
      <c r="R17" s="273" t="n">
        <v>12</v>
      </c>
      <c r="S17" s="273" t="n">
        <v>12</v>
      </c>
      <c r="T17" s="273" t="n">
        <v>12</v>
      </c>
      <c r="U17" s="273" t="n">
        <v>12</v>
      </c>
      <c r="V17" s="273" t="n">
        <v>12</v>
      </c>
    </row>
    <row r="18" customFormat="false" ht="12.75" hidden="false" customHeight="false" outlineLevel="0" collapsed="false">
      <c r="A18" s="1" t="s">
        <v>164</v>
      </c>
      <c r="B18" s="201" t="n">
        <v>0</v>
      </c>
      <c r="C18" s="201" t="n">
        <f aca="false">90%/30</f>
        <v>0.03</v>
      </c>
      <c r="D18" s="201" t="n">
        <f aca="false">90%/30</f>
        <v>0.03</v>
      </c>
      <c r="E18" s="201" t="n">
        <f aca="false">90%/30</f>
        <v>0.03</v>
      </c>
      <c r="F18" s="201" t="n">
        <f aca="false">90%/30</f>
        <v>0.03</v>
      </c>
      <c r="G18" s="201" t="n">
        <f aca="false">90%/30</f>
        <v>0.03</v>
      </c>
      <c r="H18" s="201" t="n">
        <f aca="false">90%/30</f>
        <v>0.03</v>
      </c>
      <c r="I18" s="201" t="n">
        <f aca="false">90%/30</f>
        <v>0.03</v>
      </c>
      <c r="J18" s="201" t="n">
        <f aca="false">90%/30</f>
        <v>0.03</v>
      </c>
      <c r="K18" s="201" t="n">
        <f aca="false">90%/30</f>
        <v>0.03</v>
      </c>
      <c r="L18" s="201" t="n">
        <f aca="false">90%/30</f>
        <v>0.03</v>
      </c>
      <c r="M18" s="201" t="n">
        <f aca="false">90%/30</f>
        <v>0.03</v>
      </c>
      <c r="N18" s="201" t="n">
        <f aca="false">90%/30</f>
        <v>0.03</v>
      </c>
      <c r="O18" s="201" t="n">
        <f aca="false">90%/30</f>
        <v>0.03</v>
      </c>
      <c r="P18" s="201" t="n">
        <f aca="false">90%/30</f>
        <v>0.03</v>
      </c>
      <c r="Q18" s="201" t="n">
        <f aca="false">90%/30</f>
        <v>0.03</v>
      </c>
      <c r="R18" s="201" t="n">
        <f aca="false">90%/30</f>
        <v>0.03</v>
      </c>
      <c r="S18" s="201" t="n">
        <f aca="false">90%/30</f>
        <v>0.03</v>
      </c>
      <c r="T18" s="201" t="n">
        <f aca="false">90%/30</f>
        <v>0.03</v>
      </c>
      <c r="U18" s="201" t="n">
        <f aca="false">90%/30</f>
        <v>0.03</v>
      </c>
      <c r="V18" s="201" t="n">
        <f aca="false">90%/30</f>
        <v>0.03</v>
      </c>
    </row>
    <row r="19" customFormat="false" ht="12.75" hidden="false" customHeight="false" outlineLevel="0" collapsed="false">
      <c r="B19" s="1"/>
      <c r="C19" s="1"/>
      <c r="D19" s="1"/>
      <c r="X19" s="274" t="s">
        <v>168</v>
      </c>
      <c r="Y19" s="275"/>
    </row>
    <row r="20" customFormat="false" ht="12.75" hidden="false" customHeight="false" outlineLevel="0" collapsed="false">
      <c r="A20" s="1" t="s">
        <v>165</v>
      </c>
      <c r="B20" s="160" t="n">
        <f aca="false">'Summary Output'!$G$7*Allocation!$C$7</f>
        <v>213307.421304434</v>
      </c>
      <c r="C20" s="172" t="n">
        <f aca="false">B22</f>
        <v>213307.421304434</v>
      </c>
      <c r="D20" s="172" t="n">
        <f aca="false">C22</f>
        <v>206908.198665301</v>
      </c>
      <c r="E20" s="172" t="n">
        <f aca="false">D22</f>
        <v>200508.976026168</v>
      </c>
      <c r="F20" s="172" t="n">
        <f aca="false">E22</f>
        <v>194109.753387035</v>
      </c>
      <c r="G20" s="172" t="n">
        <f aca="false">F22</f>
        <v>187710.530747902</v>
      </c>
      <c r="H20" s="172" t="n">
        <f aca="false">G22</f>
        <v>181311.308108769</v>
      </c>
      <c r="I20" s="172" t="n">
        <f aca="false">H22</f>
        <v>174912.085469636</v>
      </c>
      <c r="J20" s="172" t="n">
        <f aca="false">I22</f>
        <v>168512.862830503</v>
      </c>
      <c r="K20" s="172" t="n">
        <f aca="false">J22</f>
        <v>162113.64019137</v>
      </c>
      <c r="L20" s="172" t="n">
        <f aca="false">K22</f>
        <v>155714.417552237</v>
      </c>
      <c r="M20" s="172" t="n">
        <f aca="false">L22</f>
        <v>149315.194913104</v>
      </c>
      <c r="N20" s="172" t="n">
        <f aca="false">M22</f>
        <v>142915.972273971</v>
      </c>
      <c r="O20" s="172" t="n">
        <f aca="false">N22</f>
        <v>136516.749634838</v>
      </c>
      <c r="P20" s="172" t="n">
        <f aca="false">O22</f>
        <v>130117.526995705</v>
      </c>
      <c r="Q20" s="172" t="n">
        <f aca="false">P22</f>
        <v>123718.304356572</v>
      </c>
      <c r="R20" s="172" t="n">
        <f aca="false">Q22</f>
        <v>117319.081717439</v>
      </c>
      <c r="S20" s="172" t="n">
        <f aca="false">R22</f>
        <v>110919.859078306</v>
      </c>
      <c r="T20" s="172" t="n">
        <f aca="false">S22</f>
        <v>104520.636439173</v>
      </c>
      <c r="U20" s="172" t="n">
        <f aca="false">T22</f>
        <v>98121.4138000397</v>
      </c>
      <c r="V20" s="172" t="n">
        <f aca="false">U22</f>
        <v>91722.1911609067</v>
      </c>
      <c r="X20" s="276"/>
      <c r="Y20" s="277"/>
    </row>
    <row r="21" customFormat="false" ht="12.75" hidden="false" customHeight="false" outlineLevel="0" collapsed="false">
      <c r="A21" s="1" t="s">
        <v>166</v>
      </c>
      <c r="B21" s="197" t="n">
        <f aca="false">$B$20*B18</f>
        <v>0</v>
      </c>
      <c r="C21" s="197" t="n">
        <f aca="false">$B$20*C18</f>
        <v>6399.22263913304</v>
      </c>
      <c r="D21" s="197" t="n">
        <f aca="false">$B$20*D18</f>
        <v>6399.22263913304</v>
      </c>
      <c r="E21" s="197" t="n">
        <f aca="false">$B$20*E18</f>
        <v>6399.22263913304</v>
      </c>
      <c r="F21" s="197" t="n">
        <f aca="false">$B$20*F18</f>
        <v>6399.22263913304</v>
      </c>
      <c r="G21" s="197" t="n">
        <f aca="false">$B$20*G18</f>
        <v>6399.22263913304</v>
      </c>
      <c r="H21" s="197" t="n">
        <f aca="false">$B$20*H18</f>
        <v>6399.22263913304</v>
      </c>
      <c r="I21" s="197" t="n">
        <f aca="false">$B$20*I18</f>
        <v>6399.22263913304</v>
      </c>
      <c r="J21" s="197" t="n">
        <f aca="false">$B$20*J18</f>
        <v>6399.22263913304</v>
      </c>
      <c r="K21" s="197" t="n">
        <f aca="false">$B$20*K18</f>
        <v>6399.22263913304</v>
      </c>
      <c r="L21" s="197" t="n">
        <f aca="false">$B$20*L18</f>
        <v>6399.22263913304</v>
      </c>
      <c r="M21" s="197" t="n">
        <f aca="false">$B$20*M18</f>
        <v>6399.22263913304</v>
      </c>
      <c r="N21" s="197" t="n">
        <f aca="false">$B$20*N18</f>
        <v>6399.22263913304</v>
      </c>
      <c r="O21" s="197" t="n">
        <f aca="false">$B$20*O18</f>
        <v>6399.22263913304</v>
      </c>
      <c r="P21" s="197" t="n">
        <f aca="false">$B$20*P18</f>
        <v>6399.22263913304</v>
      </c>
      <c r="Q21" s="197" t="n">
        <f aca="false">$B$20*Q18</f>
        <v>6399.22263913304</v>
      </c>
      <c r="R21" s="197" t="n">
        <f aca="false">$B$20*R18</f>
        <v>6399.22263913304</v>
      </c>
      <c r="S21" s="197" t="n">
        <f aca="false">$B$20*S18</f>
        <v>6399.22263913304</v>
      </c>
      <c r="T21" s="197" t="n">
        <f aca="false">$B$20*T18</f>
        <v>6399.22263913304</v>
      </c>
      <c r="U21" s="197" t="n">
        <f aca="false">$B$20*U18</f>
        <v>6399.22263913304</v>
      </c>
      <c r="V21" s="197" t="n">
        <f aca="false">$B$20*V18</f>
        <v>6399.22263913304</v>
      </c>
      <c r="X21" s="278" t="n">
        <v>0</v>
      </c>
      <c r="Y21" s="279" t="n">
        <v>0</v>
      </c>
    </row>
    <row r="22" customFormat="false" ht="12.75" hidden="false" customHeight="false" outlineLevel="0" collapsed="false">
      <c r="A22" s="1" t="s">
        <v>167</v>
      </c>
      <c r="B22" s="172" t="n">
        <f aca="false">B20-B21</f>
        <v>213307.421304434</v>
      </c>
      <c r="C22" s="172" t="n">
        <f aca="false">C20-C21</f>
        <v>206908.198665301</v>
      </c>
      <c r="D22" s="172" t="n">
        <f aca="false">D20-D21</f>
        <v>200508.976026168</v>
      </c>
      <c r="E22" s="172" t="n">
        <f aca="false">E20-E21</f>
        <v>194109.753387035</v>
      </c>
      <c r="F22" s="172" t="n">
        <f aca="false">F20-F21</f>
        <v>187710.530747902</v>
      </c>
      <c r="G22" s="172" t="n">
        <f aca="false">G20-G21</f>
        <v>181311.308108769</v>
      </c>
      <c r="H22" s="172" t="n">
        <f aca="false">H20-H21</f>
        <v>174912.085469636</v>
      </c>
      <c r="I22" s="172" t="n">
        <f aca="false">I20-I21</f>
        <v>168512.862830503</v>
      </c>
      <c r="J22" s="172" t="n">
        <f aca="false">J20-J21</f>
        <v>162113.64019137</v>
      </c>
      <c r="K22" s="172" t="n">
        <f aca="false">K20-K21</f>
        <v>155714.417552237</v>
      </c>
      <c r="L22" s="172" t="n">
        <f aca="false">L20-L21</f>
        <v>149315.194913104</v>
      </c>
      <c r="M22" s="172" t="n">
        <f aca="false">M20-M21</f>
        <v>142915.972273971</v>
      </c>
      <c r="N22" s="172" t="n">
        <f aca="false">N20-N21</f>
        <v>136516.749634838</v>
      </c>
      <c r="O22" s="172" t="n">
        <f aca="false">O20-O21</f>
        <v>130117.526995705</v>
      </c>
      <c r="P22" s="172" t="n">
        <f aca="false">P20-P21</f>
        <v>123718.304356572</v>
      </c>
      <c r="Q22" s="172" t="n">
        <f aca="false">Q20-Q21</f>
        <v>117319.081717439</v>
      </c>
      <c r="R22" s="172" t="n">
        <f aca="false">R20-R21</f>
        <v>110919.859078306</v>
      </c>
      <c r="S22" s="172" t="n">
        <f aca="false">S20-S21</f>
        <v>104520.636439173</v>
      </c>
      <c r="T22" s="172" t="n">
        <f aca="false">T20-T21</f>
        <v>98121.4138000397</v>
      </c>
      <c r="U22" s="172" t="n">
        <f aca="false">U20-U21</f>
        <v>91722.1911609067</v>
      </c>
      <c r="V22" s="172" t="n">
        <f aca="false">V20-V21</f>
        <v>85322.9685217736</v>
      </c>
      <c r="X22" s="278" t="n">
        <v>1</v>
      </c>
      <c r="Y22" s="279" t="n">
        <v>0.05</v>
      </c>
    </row>
    <row r="23" customFormat="false" ht="12.75" hidden="false" customHeight="false" outlineLevel="0" collapsed="false">
      <c r="B23" s="1"/>
      <c r="C23" s="1"/>
      <c r="D23" s="1"/>
      <c r="X23" s="278" t="n">
        <v>2</v>
      </c>
      <c r="Y23" s="279" t="n">
        <v>0.095</v>
      </c>
    </row>
    <row r="24" customFormat="false" ht="12.75" hidden="false" customHeight="false" outlineLevel="0" collapsed="false">
      <c r="A24" s="192" t="s">
        <v>57</v>
      </c>
      <c r="B24" s="1"/>
      <c r="C24" s="1"/>
      <c r="D24" s="1"/>
      <c r="X24" s="278" t="n">
        <v>3</v>
      </c>
      <c r="Y24" s="279" t="n">
        <v>0.0855</v>
      </c>
    </row>
    <row r="25" customFormat="false" ht="12.75" hidden="false" customHeight="false" outlineLevel="0" collapsed="false">
      <c r="A25" s="24" t="s">
        <v>163</v>
      </c>
      <c r="B25" s="273" t="n">
        <v>0</v>
      </c>
      <c r="C25" s="273" t="n">
        <v>12</v>
      </c>
      <c r="D25" s="273" t="n">
        <v>12</v>
      </c>
      <c r="E25" s="273" t="n">
        <v>12</v>
      </c>
      <c r="F25" s="273" t="n">
        <v>12</v>
      </c>
      <c r="G25" s="273" t="n">
        <v>12</v>
      </c>
      <c r="H25" s="273" t="n">
        <v>12</v>
      </c>
      <c r="I25" s="273" t="n">
        <v>12</v>
      </c>
      <c r="J25" s="273" t="n">
        <v>12</v>
      </c>
      <c r="K25" s="273" t="n">
        <v>12</v>
      </c>
      <c r="L25" s="273" t="n">
        <v>12</v>
      </c>
      <c r="M25" s="273" t="n">
        <v>12</v>
      </c>
      <c r="N25" s="273" t="n">
        <v>12</v>
      </c>
      <c r="O25" s="273" t="n">
        <v>12</v>
      </c>
      <c r="P25" s="273" t="n">
        <v>12</v>
      </c>
      <c r="Q25" s="273" t="n">
        <v>12</v>
      </c>
      <c r="R25" s="273" t="n">
        <v>12</v>
      </c>
      <c r="S25" s="273" t="n">
        <v>12</v>
      </c>
      <c r="T25" s="273" t="n">
        <v>12</v>
      </c>
      <c r="U25" s="273" t="n">
        <v>12</v>
      </c>
      <c r="V25" s="273" t="n">
        <v>12</v>
      </c>
      <c r="X25" s="278" t="n">
        <v>4</v>
      </c>
      <c r="Y25" s="279" t="n">
        <v>0.077</v>
      </c>
    </row>
    <row r="26" customFormat="false" ht="12.75" hidden="false" customHeight="false" outlineLevel="0" collapsed="false">
      <c r="A26" s="1" t="s">
        <v>164</v>
      </c>
      <c r="B26" s="201" t="n">
        <v>0</v>
      </c>
      <c r="C26" s="201" t="n">
        <f aca="false">90%/30</f>
        <v>0.03</v>
      </c>
      <c r="D26" s="201" t="n">
        <f aca="false">90%/30</f>
        <v>0.03</v>
      </c>
      <c r="E26" s="201" t="n">
        <f aca="false">90%/30</f>
        <v>0.03</v>
      </c>
      <c r="F26" s="201" t="n">
        <f aca="false">90%/30</f>
        <v>0.03</v>
      </c>
      <c r="G26" s="201" t="n">
        <f aca="false">90%/30</f>
        <v>0.03</v>
      </c>
      <c r="H26" s="201" t="n">
        <f aca="false">90%/30</f>
        <v>0.03</v>
      </c>
      <c r="I26" s="201" t="n">
        <f aca="false">90%/30</f>
        <v>0.03</v>
      </c>
      <c r="J26" s="201" t="n">
        <f aca="false">90%/30</f>
        <v>0.03</v>
      </c>
      <c r="K26" s="201" t="n">
        <f aca="false">90%/30</f>
        <v>0.03</v>
      </c>
      <c r="L26" s="201" t="n">
        <f aca="false">90%/30</f>
        <v>0.03</v>
      </c>
      <c r="M26" s="201" t="n">
        <f aca="false">90%/30</f>
        <v>0.03</v>
      </c>
      <c r="N26" s="201" t="n">
        <f aca="false">90%/30</f>
        <v>0.03</v>
      </c>
      <c r="O26" s="201" t="n">
        <f aca="false">90%/30</f>
        <v>0.03</v>
      </c>
      <c r="P26" s="201" t="n">
        <f aca="false">90%/30</f>
        <v>0.03</v>
      </c>
      <c r="Q26" s="201" t="n">
        <f aca="false">90%/30</f>
        <v>0.03</v>
      </c>
      <c r="R26" s="201" t="n">
        <f aca="false">90%/30</f>
        <v>0.03</v>
      </c>
      <c r="S26" s="201" t="n">
        <f aca="false">90%/30</f>
        <v>0.03</v>
      </c>
      <c r="T26" s="201" t="n">
        <f aca="false">90%/30</f>
        <v>0.03</v>
      </c>
      <c r="U26" s="201" t="n">
        <f aca="false">90%/30</f>
        <v>0.03</v>
      </c>
      <c r="V26" s="201" t="n">
        <f aca="false">90%/30</f>
        <v>0.03</v>
      </c>
      <c r="X26" s="278" t="n">
        <v>5</v>
      </c>
      <c r="Y26" s="279" t="n">
        <v>0.0693</v>
      </c>
    </row>
    <row r="27" customFormat="false" ht="12.75" hidden="false" customHeight="false" outlineLevel="0" collapsed="false">
      <c r="B27" s="1"/>
      <c r="C27" s="1"/>
      <c r="D27" s="1"/>
      <c r="X27" s="278" t="n">
        <v>6</v>
      </c>
      <c r="Y27" s="279" t="n">
        <v>0.0623</v>
      </c>
    </row>
    <row r="28" customFormat="false" ht="12.75" hidden="false" customHeight="false" outlineLevel="0" collapsed="false">
      <c r="A28" s="1" t="s">
        <v>165</v>
      </c>
      <c r="B28" s="160" t="n">
        <f aca="false">'Summary Output'!$G$7*Allocation!$C$8</f>
        <v>343425.57448073</v>
      </c>
      <c r="C28" s="172" t="n">
        <f aca="false">B30</f>
        <v>343425.57448073</v>
      </c>
      <c r="D28" s="172" t="n">
        <f aca="false">C30</f>
        <v>333122.807246308</v>
      </c>
      <c r="E28" s="172" t="n">
        <f aca="false">D30</f>
        <v>322820.040011886</v>
      </c>
      <c r="F28" s="172" t="n">
        <f aca="false">E30</f>
        <v>312517.272777464</v>
      </c>
      <c r="G28" s="172" t="n">
        <f aca="false">F30</f>
        <v>302214.505543042</v>
      </c>
      <c r="H28" s="172" t="n">
        <f aca="false">G30</f>
        <v>291911.73830862</v>
      </c>
      <c r="I28" s="172" t="n">
        <f aca="false">H30</f>
        <v>281608.971074198</v>
      </c>
      <c r="J28" s="172" t="n">
        <f aca="false">I30</f>
        <v>271306.203839776</v>
      </c>
      <c r="K28" s="172" t="n">
        <f aca="false">J30</f>
        <v>261003.436605354</v>
      </c>
      <c r="L28" s="172" t="n">
        <f aca="false">K30</f>
        <v>250700.669370933</v>
      </c>
      <c r="M28" s="172" t="n">
        <f aca="false">L30</f>
        <v>240397.902136511</v>
      </c>
      <c r="N28" s="172" t="n">
        <f aca="false">M30</f>
        <v>230095.134902089</v>
      </c>
      <c r="O28" s="172" t="n">
        <f aca="false">N30</f>
        <v>219792.367667667</v>
      </c>
      <c r="P28" s="172" t="n">
        <f aca="false">O30</f>
        <v>209489.600433245</v>
      </c>
      <c r="Q28" s="172" t="n">
        <f aca="false">P30</f>
        <v>199186.833198823</v>
      </c>
      <c r="R28" s="172" t="n">
        <f aca="false">Q30</f>
        <v>188884.065964401</v>
      </c>
      <c r="S28" s="172" t="n">
        <f aca="false">R30</f>
        <v>178581.298729979</v>
      </c>
      <c r="T28" s="172" t="n">
        <f aca="false">S30</f>
        <v>168278.531495557</v>
      </c>
      <c r="U28" s="172" t="n">
        <f aca="false">T30</f>
        <v>157975.764261136</v>
      </c>
      <c r="V28" s="172" t="n">
        <f aca="false">U30</f>
        <v>147672.997026714</v>
      </c>
      <c r="X28" s="278" t="n">
        <v>7</v>
      </c>
      <c r="Y28" s="279" t="n">
        <v>0.059</v>
      </c>
    </row>
    <row r="29" customFormat="false" ht="12.75" hidden="false" customHeight="false" outlineLevel="0" collapsed="false">
      <c r="A29" s="1" t="s">
        <v>166</v>
      </c>
      <c r="B29" s="197" t="n">
        <f aca="false">$B$28*B26</f>
        <v>0</v>
      </c>
      <c r="C29" s="197" t="n">
        <f aca="false">$B$28*C26</f>
        <v>10302.7672344219</v>
      </c>
      <c r="D29" s="197" t="n">
        <f aca="false">$B$28*D26</f>
        <v>10302.7672344219</v>
      </c>
      <c r="E29" s="197" t="n">
        <f aca="false">$B$28*E26</f>
        <v>10302.7672344219</v>
      </c>
      <c r="F29" s="197" t="n">
        <f aca="false">$B$28*F26</f>
        <v>10302.7672344219</v>
      </c>
      <c r="G29" s="197" t="n">
        <f aca="false">$B$28*G26</f>
        <v>10302.7672344219</v>
      </c>
      <c r="H29" s="197" t="n">
        <f aca="false">$B$28*H26</f>
        <v>10302.7672344219</v>
      </c>
      <c r="I29" s="197" t="n">
        <f aca="false">$B$28*I26</f>
        <v>10302.7672344219</v>
      </c>
      <c r="J29" s="197" t="n">
        <f aca="false">$B$28*J26</f>
        <v>10302.7672344219</v>
      </c>
      <c r="K29" s="197" t="n">
        <f aca="false">$B$28*K26</f>
        <v>10302.7672344219</v>
      </c>
      <c r="L29" s="197" t="n">
        <f aca="false">$B$28*L26</f>
        <v>10302.7672344219</v>
      </c>
      <c r="M29" s="197" t="n">
        <f aca="false">$B$28*M26</f>
        <v>10302.7672344219</v>
      </c>
      <c r="N29" s="197" t="n">
        <f aca="false">$B$28*N26</f>
        <v>10302.7672344219</v>
      </c>
      <c r="O29" s="197" t="n">
        <f aca="false">$B$28*O26</f>
        <v>10302.7672344219</v>
      </c>
      <c r="P29" s="197" t="n">
        <f aca="false">$B$28*P26</f>
        <v>10302.7672344219</v>
      </c>
      <c r="Q29" s="197" t="n">
        <f aca="false">$B$28*Q26</f>
        <v>10302.7672344219</v>
      </c>
      <c r="R29" s="197" t="n">
        <f aca="false">$B$28*R26</f>
        <v>10302.7672344219</v>
      </c>
      <c r="S29" s="197" t="n">
        <f aca="false">$B$28*S26</f>
        <v>10302.7672344219</v>
      </c>
      <c r="T29" s="197" t="n">
        <f aca="false">$B$28*T26</f>
        <v>10302.7672344219</v>
      </c>
      <c r="U29" s="197" t="n">
        <f aca="false">$B$28*U26</f>
        <v>10302.7672344219</v>
      </c>
      <c r="V29" s="197" t="n">
        <f aca="false">$B$28*V26</f>
        <v>10302.7672344219</v>
      </c>
      <c r="X29" s="278" t="n">
        <v>8</v>
      </c>
      <c r="Y29" s="279" t="n">
        <v>0.0591</v>
      </c>
    </row>
    <row r="30" customFormat="false" ht="12.75" hidden="false" customHeight="false" outlineLevel="0" collapsed="false">
      <c r="A30" s="1" t="s">
        <v>167</v>
      </c>
      <c r="B30" s="172" t="n">
        <f aca="false">B28-B29</f>
        <v>343425.57448073</v>
      </c>
      <c r="C30" s="172" t="n">
        <f aca="false">C28-C29</f>
        <v>333122.807246308</v>
      </c>
      <c r="D30" s="172" t="n">
        <f aca="false">D28-D29</f>
        <v>322820.040011886</v>
      </c>
      <c r="E30" s="172" t="n">
        <f aca="false">E28-E29</f>
        <v>312517.272777464</v>
      </c>
      <c r="F30" s="172" t="n">
        <f aca="false">F28-F29</f>
        <v>302214.505543042</v>
      </c>
      <c r="G30" s="172" t="n">
        <f aca="false">G28-G29</f>
        <v>291911.73830862</v>
      </c>
      <c r="H30" s="172" t="n">
        <f aca="false">H28-H29</f>
        <v>281608.971074198</v>
      </c>
      <c r="I30" s="172" t="n">
        <f aca="false">I28-I29</f>
        <v>271306.203839776</v>
      </c>
      <c r="J30" s="172" t="n">
        <f aca="false">J28-J29</f>
        <v>261003.436605354</v>
      </c>
      <c r="K30" s="172" t="n">
        <f aca="false">K28-K29</f>
        <v>250700.669370933</v>
      </c>
      <c r="L30" s="172" t="n">
        <f aca="false">L28-L29</f>
        <v>240397.902136511</v>
      </c>
      <c r="M30" s="172" t="n">
        <f aca="false">M28-M29</f>
        <v>230095.134902089</v>
      </c>
      <c r="N30" s="172" t="n">
        <f aca="false">N28-N29</f>
        <v>219792.367667667</v>
      </c>
      <c r="O30" s="172" t="n">
        <f aca="false">O28-O29</f>
        <v>209489.600433245</v>
      </c>
      <c r="P30" s="172" t="n">
        <f aca="false">P28-P29</f>
        <v>199186.833198823</v>
      </c>
      <c r="Q30" s="172" t="n">
        <f aca="false">Q28-Q29</f>
        <v>188884.065964401</v>
      </c>
      <c r="R30" s="172" t="n">
        <f aca="false">R28-R29</f>
        <v>178581.298729979</v>
      </c>
      <c r="S30" s="172" t="n">
        <f aca="false">S28-S29</f>
        <v>168278.531495557</v>
      </c>
      <c r="T30" s="172" t="n">
        <f aca="false">T28-T29</f>
        <v>157975.764261136</v>
      </c>
      <c r="U30" s="172" t="n">
        <f aca="false">U28-U29</f>
        <v>147672.997026714</v>
      </c>
      <c r="V30" s="172" t="n">
        <f aca="false">V28-V29</f>
        <v>137370.229792292</v>
      </c>
      <c r="X30" s="278" t="n">
        <v>9</v>
      </c>
      <c r="Y30" s="279" t="n">
        <v>0.059</v>
      </c>
    </row>
    <row r="31" customFormat="false" ht="12.75" hidden="false" customHeight="false" outlineLevel="0" collapsed="false">
      <c r="B31" s="1"/>
      <c r="C31" s="1"/>
      <c r="D31" s="1"/>
      <c r="X31" s="278" t="n">
        <v>10</v>
      </c>
      <c r="Y31" s="279" t="n">
        <v>0.0591</v>
      </c>
    </row>
    <row r="32" customFormat="false" ht="12.75" hidden="false" customHeight="false" outlineLevel="0" collapsed="false">
      <c r="A32" s="192" t="s">
        <v>169</v>
      </c>
      <c r="B32" s="1"/>
      <c r="C32" s="1"/>
      <c r="D32" s="1"/>
      <c r="X32" s="278" t="n">
        <v>11</v>
      </c>
      <c r="Y32" s="279" t="n">
        <v>0.059</v>
      </c>
    </row>
    <row r="33" customFormat="false" ht="12.75" hidden="false" customHeight="false" outlineLevel="0" collapsed="false">
      <c r="A33" s="1" t="s">
        <v>165</v>
      </c>
      <c r="B33" s="280" t="n">
        <f aca="false">SUM(B20,B28,B12)</f>
        <v>789921.811903581</v>
      </c>
      <c r="C33" s="280" t="n">
        <f aca="false">B35</f>
        <v>789921.811903581</v>
      </c>
      <c r="D33" s="280" t="n">
        <f aca="false">C35</f>
        <v>766224.157546473</v>
      </c>
      <c r="E33" s="280" t="n">
        <f aca="false">D35</f>
        <v>742526.503189366</v>
      </c>
      <c r="F33" s="280" t="n">
        <f aca="false">E35</f>
        <v>718828.848832258</v>
      </c>
      <c r="G33" s="280" t="n">
        <f aca="false">F35</f>
        <v>695131.194475151</v>
      </c>
      <c r="H33" s="280" t="n">
        <f aca="false">G35</f>
        <v>671433.540118043</v>
      </c>
      <c r="I33" s="280" t="n">
        <f aca="false">H35</f>
        <v>647735.885760936</v>
      </c>
      <c r="J33" s="280" t="n">
        <f aca="false">I35</f>
        <v>624038.231403828</v>
      </c>
      <c r="K33" s="280" t="n">
        <f aca="false">J35</f>
        <v>600340.577046721</v>
      </c>
      <c r="L33" s="280" t="n">
        <f aca="false">K35</f>
        <v>576642.922689613</v>
      </c>
      <c r="M33" s="280" t="n">
        <f aca="false">L35</f>
        <v>552945.268332506</v>
      </c>
      <c r="N33" s="280" t="n">
        <f aca="false">M35</f>
        <v>529247.613975399</v>
      </c>
      <c r="O33" s="280" t="n">
        <f aca="false">N35</f>
        <v>505549.959618291</v>
      </c>
      <c r="P33" s="280" t="n">
        <f aca="false">O35</f>
        <v>481852.305261184</v>
      </c>
      <c r="Q33" s="280" t="n">
        <f aca="false">P35</f>
        <v>458154.650904076</v>
      </c>
      <c r="R33" s="280" t="n">
        <f aca="false">Q35</f>
        <v>434456.996546969</v>
      </c>
      <c r="S33" s="280" t="n">
        <f aca="false">R35</f>
        <v>410759.342189861</v>
      </c>
      <c r="T33" s="280" t="n">
        <f aca="false">S35</f>
        <v>387061.687832754</v>
      </c>
      <c r="U33" s="280" t="n">
        <f aca="false">T35</f>
        <v>363364.033475647</v>
      </c>
      <c r="V33" s="280" t="n">
        <f aca="false">U35</f>
        <v>339666.379118539</v>
      </c>
      <c r="X33" s="278" t="n">
        <v>12</v>
      </c>
      <c r="Y33" s="279" t="n">
        <v>0.0591</v>
      </c>
    </row>
    <row r="34" customFormat="false" ht="12.75" hidden="false" customHeight="false" outlineLevel="0" collapsed="false">
      <c r="A34" s="1" t="s">
        <v>166</v>
      </c>
      <c r="B34" s="281" t="n">
        <f aca="false">SUM(B21,B29,B13)</f>
        <v>0</v>
      </c>
      <c r="C34" s="281" t="n">
        <f aca="false">SUM(C21,C29,C13)</f>
        <v>23697.6543571074</v>
      </c>
      <c r="D34" s="281" t="n">
        <f aca="false">SUM(D21,D29,D13)</f>
        <v>23697.6543571074</v>
      </c>
      <c r="E34" s="281" t="n">
        <f aca="false">SUM(E21,E29,E13)</f>
        <v>23697.6543571074</v>
      </c>
      <c r="F34" s="281" t="n">
        <f aca="false">SUM(F21,F29,F13)</f>
        <v>23697.6543571074</v>
      </c>
      <c r="G34" s="281" t="n">
        <f aca="false">SUM(G21,G29,G13)</f>
        <v>23697.6543571074</v>
      </c>
      <c r="H34" s="281" t="n">
        <f aca="false">SUM(H21,H29,H13)</f>
        <v>23697.6543571074</v>
      </c>
      <c r="I34" s="281" t="n">
        <f aca="false">SUM(I21,I29,I13)</f>
        <v>23697.6543571074</v>
      </c>
      <c r="J34" s="281" t="n">
        <f aca="false">SUM(J21,J29,J13)</f>
        <v>23697.6543571074</v>
      </c>
      <c r="K34" s="281" t="n">
        <f aca="false">SUM(K21,K29,K13)</f>
        <v>23697.6543571074</v>
      </c>
      <c r="L34" s="281" t="n">
        <f aca="false">SUM(L21,L29,L13)</f>
        <v>23697.6543571074</v>
      </c>
      <c r="M34" s="281" t="n">
        <f aca="false">SUM(M21,M29,M13)</f>
        <v>23697.6543571074</v>
      </c>
      <c r="N34" s="281" t="n">
        <f aca="false">SUM(N21,N29,N13)</f>
        <v>23697.6543571074</v>
      </c>
      <c r="O34" s="281" t="n">
        <f aca="false">SUM(O21,O29,O13)</f>
        <v>23697.6543571074</v>
      </c>
      <c r="P34" s="281" t="n">
        <f aca="false">SUM(P21,P29,P13)</f>
        <v>23697.6543571074</v>
      </c>
      <c r="Q34" s="281" t="n">
        <f aca="false">SUM(Q21,Q29,Q13)</f>
        <v>23697.6543571074</v>
      </c>
      <c r="R34" s="281" t="n">
        <f aca="false">SUM(R21,R29,R13)</f>
        <v>23697.6543571074</v>
      </c>
      <c r="S34" s="281" t="n">
        <f aca="false">SUM(S21,S29,S13)</f>
        <v>23697.6543571074</v>
      </c>
      <c r="T34" s="281" t="n">
        <f aca="false">SUM(T21,T29,T13)</f>
        <v>23697.6543571074</v>
      </c>
      <c r="U34" s="281" t="n">
        <f aca="false">SUM(U21,U29,U13)</f>
        <v>23697.6543571074</v>
      </c>
      <c r="V34" s="281" t="n">
        <f aca="false">SUM(V21,V29,V13)</f>
        <v>23697.6543571074</v>
      </c>
      <c r="X34" s="278" t="n">
        <v>13</v>
      </c>
      <c r="Y34" s="279" t="n">
        <v>0.059</v>
      </c>
    </row>
    <row r="35" customFormat="false" ht="12.75" hidden="false" customHeight="false" outlineLevel="0" collapsed="false">
      <c r="A35" s="1" t="s">
        <v>167</v>
      </c>
      <c r="B35" s="280" t="n">
        <f aca="false">B33-B34</f>
        <v>789921.811903581</v>
      </c>
      <c r="C35" s="280" t="n">
        <f aca="false">C33-C34</f>
        <v>766224.157546473</v>
      </c>
      <c r="D35" s="280" t="n">
        <f aca="false">D33-D34</f>
        <v>742526.503189366</v>
      </c>
      <c r="E35" s="280" t="n">
        <f aca="false">E33-E34</f>
        <v>718828.848832258</v>
      </c>
      <c r="F35" s="280" t="n">
        <f aca="false">F33-F34</f>
        <v>695131.194475151</v>
      </c>
      <c r="G35" s="280" t="n">
        <f aca="false">G33-G34</f>
        <v>671433.540118043</v>
      </c>
      <c r="H35" s="280" t="n">
        <f aca="false">H33-H34</f>
        <v>647735.885760936</v>
      </c>
      <c r="I35" s="280" t="n">
        <f aca="false">I33-I34</f>
        <v>624038.231403828</v>
      </c>
      <c r="J35" s="280" t="n">
        <f aca="false">J33-J34</f>
        <v>600340.577046721</v>
      </c>
      <c r="K35" s="280" t="n">
        <f aca="false">K33-K34</f>
        <v>576642.922689613</v>
      </c>
      <c r="L35" s="280" t="n">
        <f aca="false">L33-L34</f>
        <v>552945.268332506</v>
      </c>
      <c r="M35" s="280" t="n">
        <f aca="false">M33-M34</f>
        <v>529247.613975399</v>
      </c>
      <c r="N35" s="280" t="n">
        <f aca="false">N33-N34</f>
        <v>505549.959618291</v>
      </c>
      <c r="O35" s="280" t="n">
        <f aca="false">O33-O34</f>
        <v>481852.305261184</v>
      </c>
      <c r="P35" s="280" t="n">
        <f aca="false">P33-P34</f>
        <v>458154.650904076</v>
      </c>
      <c r="Q35" s="280" t="n">
        <f aca="false">Q33-Q34</f>
        <v>434456.996546969</v>
      </c>
      <c r="R35" s="280" t="n">
        <f aca="false">R33-R34</f>
        <v>410759.342189861</v>
      </c>
      <c r="S35" s="280" t="n">
        <f aca="false">S33-S34</f>
        <v>387061.687832754</v>
      </c>
      <c r="T35" s="280" t="n">
        <f aca="false">T33-T34</f>
        <v>363364.033475647</v>
      </c>
      <c r="U35" s="280" t="n">
        <f aca="false">U33-U34</f>
        <v>339666.379118539</v>
      </c>
      <c r="V35" s="280" t="n">
        <f aca="false">V33-V34</f>
        <v>315968.724761432</v>
      </c>
      <c r="X35" s="278" t="n">
        <v>14</v>
      </c>
      <c r="Y35" s="279" t="n">
        <v>0.0591</v>
      </c>
    </row>
    <row r="36" customFormat="false" ht="12.75" hidden="false" customHeight="false" outlineLevel="0" collapsed="false">
      <c r="B36" s="282"/>
      <c r="C36" s="1"/>
      <c r="D36" s="1"/>
      <c r="V36" s="283"/>
      <c r="X36" s="278" t="n">
        <v>15</v>
      </c>
      <c r="Y36" s="279" t="n">
        <v>0.059</v>
      </c>
    </row>
    <row r="37" customFormat="false" ht="12.75" hidden="false" customHeight="false" outlineLevel="0" collapsed="false">
      <c r="B37" s="1"/>
      <c r="C37" s="1"/>
      <c r="D37" s="1"/>
      <c r="X37" s="278" t="n">
        <v>16</v>
      </c>
      <c r="Y37" s="284" t="n">
        <v>0.0295</v>
      </c>
    </row>
    <row r="38" customFormat="false" ht="12.75" hidden="false" customHeight="false" outlineLevel="0" collapsed="false">
      <c r="A38" s="271" t="s">
        <v>170</v>
      </c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72"/>
      <c r="X38" s="285"/>
      <c r="Y38" s="286" t="n">
        <f aca="false">SUM(Y22:Y37)</f>
        <v>1</v>
      </c>
    </row>
    <row r="39" customFormat="false" ht="12.75" hidden="false" customHeight="false" outlineLevel="0" collapsed="false">
      <c r="A39" s="272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72"/>
    </row>
    <row r="40" customFormat="false" ht="12.75" hidden="false" customHeight="false" outlineLevel="0" collapsed="false">
      <c r="A40" s="192" t="s">
        <v>171</v>
      </c>
      <c r="B40" s="1"/>
      <c r="C40" s="1"/>
      <c r="D40" s="1"/>
    </row>
    <row r="41" customFormat="false" ht="12.75" hidden="false" customHeight="false" outlineLevel="0" collapsed="false">
      <c r="A41" s="192"/>
      <c r="B41" s="1"/>
      <c r="C41" s="1"/>
      <c r="D41" s="1"/>
    </row>
    <row r="42" customFormat="false" ht="12.75" hidden="false" customHeight="false" outlineLevel="0" collapsed="false">
      <c r="A42" s="287" t="s">
        <v>55</v>
      </c>
    </row>
    <row r="43" customFormat="false" ht="12.75" hidden="false" customHeight="false" outlineLevel="0" collapsed="false">
      <c r="A43" s="1" t="s">
        <v>172</v>
      </c>
      <c r="B43" s="288" t="n">
        <f aca="false">'Summary Output'!$G$7*Allocation!$C$6</f>
        <v>233188.816118416</v>
      </c>
      <c r="C43" s="288" t="n">
        <f aca="false">B46</f>
        <v>233188.816118416</v>
      </c>
      <c r="D43" s="288" t="n">
        <f aca="false">C46</f>
        <v>221529.375312496</v>
      </c>
      <c r="E43" s="288" t="n">
        <f aca="false">D46</f>
        <v>199376.437781246</v>
      </c>
      <c r="F43" s="288" t="n">
        <f aca="false">E46</f>
        <v>179438.794003121</v>
      </c>
      <c r="G43" s="288" t="n">
        <f aca="false">F46</f>
        <v>161483.255162003</v>
      </c>
      <c r="H43" s="288" t="n">
        <f aca="false">G46</f>
        <v>145323.270204997</v>
      </c>
      <c r="I43" s="288" t="n">
        <f aca="false">H46</f>
        <v>130795.60696082</v>
      </c>
      <c r="J43" s="288" t="n">
        <f aca="false">I46</f>
        <v>117037.466809833</v>
      </c>
      <c r="K43" s="288" t="n">
        <f aca="false">J46</f>
        <v>103256.007777235</v>
      </c>
      <c r="L43" s="288" t="n">
        <f aca="false">K46</f>
        <v>89497.8676262482</v>
      </c>
      <c r="M43" s="288" t="n">
        <f aca="false">L46</f>
        <v>75716.4085936497</v>
      </c>
      <c r="N43" s="288" t="n">
        <f aca="false">M46</f>
        <v>61958.2684426632</v>
      </c>
      <c r="O43" s="288" t="n">
        <f aca="false">N46</f>
        <v>48176.8094100648</v>
      </c>
      <c r="P43" s="288" t="n">
        <f aca="false">O46</f>
        <v>34418.6692590782</v>
      </c>
      <c r="Q43" s="288" t="n">
        <f aca="false">P46</f>
        <v>20637.2102264798</v>
      </c>
      <c r="R43" s="288" t="n">
        <f aca="false">Q46</f>
        <v>6879.07007549322</v>
      </c>
      <c r="S43" s="288" t="n">
        <f aca="false">R46</f>
        <v>-6.27551344223321E-011</v>
      </c>
      <c r="T43" s="288" t="n">
        <f aca="false">S46</f>
        <v>-6.27551344223321E-011</v>
      </c>
      <c r="U43" s="288" t="n">
        <f aca="false">T46</f>
        <v>-6.27551344223321E-011</v>
      </c>
      <c r="V43" s="288" t="n">
        <f aca="false">U46</f>
        <v>-6.27551344223321E-011</v>
      </c>
    </row>
    <row r="44" customFormat="false" ht="12.75" hidden="false" customHeight="false" outlineLevel="0" collapsed="false">
      <c r="A44" s="1" t="s">
        <v>164</v>
      </c>
      <c r="B44" s="289" t="n">
        <f aca="false">VLOOKUP(B6,$X$21:$Y$37,2)</f>
        <v>0</v>
      </c>
      <c r="C44" s="289" t="n">
        <f aca="false">VLOOKUP(C6,$X$21:$Y$37,2)</f>
        <v>0.05</v>
      </c>
      <c r="D44" s="289" t="n">
        <f aca="false">VLOOKUP(D6,$X$21:$Y$37,2)</f>
        <v>0.095</v>
      </c>
      <c r="E44" s="289" t="n">
        <f aca="false">VLOOKUP(E6,$X$21:$Y$37,2)</f>
        <v>0.0855</v>
      </c>
      <c r="F44" s="289" t="n">
        <f aca="false">VLOOKUP(F6,$X$21:$Y$37,2)</f>
        <v>0.077</v>
      </c>
      <c r="G44" s="289" t="n">
        <f aca="false">VLOOKUP(G6,$X$21:$Y$37,2)</f>
        <v>0.0693</v>
      </c>
      <c r="H44" s="289" t="n">
        <f aca="false">VLOOKUP(H6,$X$21:$Y$37,2)</f>
        <v>0.0623</v>
      </c>
      <c r="I44" s="289" t="n">
        <f aca="false">VLOOKUP(I6,$X$21:$Y$37,2)</f>
        <v>0.059</v>
      </c>
      <c r="J44" s="289" t="n">
        <f aca="false">VLOOKUP(J6,$X$21:$Y$37,2)</f>
        <v>0.0591</v>
      </c>
      <c r="K44" s="289" t="n">
        <f aca="false">VLOOKUP(K6,$X$21:$Y$37,2)</f>
        <v>0.059</v>
      </c>
      <c r="L44" s="289" t="n">
        <f aca="false">VLOOKUP(L6,$X$21:$Y$37,2)</f>
        <v>0.0591</v>
      </c>
      <c r="M44" s="289" t="n">
        <f aca="false">VLOOKUP(M6,$X$21:$Y$37,2)</f>
        <v>0.059</v>
      </c>
      <c r="N44" s="289" t="n">
        <f aca="false">VLOOKUP(N6,$X$21:$Y$37,2)</f>
        <v>0.0591</v>
      </c>
      <c r="O44" s="289" t="n">
        <f aca="false">VLOOKUP(O6,$X$21:$Y$37,2)</f>
        <v>0.059</v>
      </c>
      <c r="P44" s="289" t="n">
        <f aca="false">VLOOKUP(P6,$X$21:$Y$37,2)</f>
        <v>0.0591</v>
      </c>
      <c r="Q44" s="289" t="n">
        <f aca="false">VLOOKUP(Q6,$X$21:$Y$37,2)</f>
        <v>0.059</v>
      </c>
      <c r="R44" s="289" t="n">
        <f aca="false">VLOOKUP(R6,$X$21:$Y$37,2)</f>
        <v>0.0295</v>
      </c>
      <c r="S44" s="289" t="n">
        <v>0</v>
      </c>
      <c r="T44" s="289" t="n">
        <v>0</v>
      </c>
      <c r="U44" s="289" t="n">
        <v>0</v>
      </c>
      <c r="V44" s="289" t="n">
        <v>0</v>
      </c>
    </row>
    <row r="45" customFormat="false" ht="12.75" hidden="false" customHeight="false" outlineLevel="0" collapsed="false">
      <c r="A45" s="1" t="s">
        <v>166</v>
      </c>
      <c r="B45" s="260" t="n">
        <f aca="false">$B$43*B44</f>
        <v>0</v>
      </c>
      <c r="C45" s="260" t="n">
        <f aca="false">$B$43*C44</f>
        <v>11659.4408059208</v>
      </c>
      <c r="D45" s="260" t="n">
        <f aca="false">$B$43*D44</f>
        <v>22152.9375312496</v>
      </c>
      <c r="E45" s="260" t="n">
        <f aca="false">$B$43*E44</f>
        <v>19937.6437781246</v>
      </c>
      <c r="F45" s="260" t="n">
        <f aca="false">$B$43*F44</f>
        <v>17955.5388411181</v>
      </c>
      <c r="G45" s="260" t="n">
        <f aca="false">$B$43*G44</f>
        <v>16159.9849570063</v>
      </c>
      <c r="H45" s="260" t="n">
        <f aca="false">$B$43*H44</f>
        <v>14527.6632441773</v>
      </c>
      <c r="I45" s="260" t="n">
        <f aca="false">$B$43*I44</f>
        <v>13758.1401509866</v>
      </c>
      <c r="J45" s="260" t="n">
        <f aca="false">$B$43*J44</f>
        <v>13781.4590325984</v>
      </c>
      <c r="K45" s="260" t="n">
        <f aca="false">$B$43*K44</f>
        <v>13758.1401509866</v>
      </c>
      <c r="L45" s="260" t="n">
        <f aca="false">$B$43*L44</f>
        <v>13781.4590325984</v>
      </c>
      <c r="M45" s="260" t="n">
        <f aca="false">$B$43*M44</f>
        <v>13758.1401509866</v>
      </c>
      <c r="N45" s="260" t="n">
        <f aca="false">$B$43*N44</f>
        <v>13781.4590325984</v>
      </c>
      <c r="O45" s="260" t="n">
        <f aca="false">$B$43*O44</f>
        <v>13758.1401509866</v>
      </c>
      <c r="P45" s="260" t="n">
        <f aca="false">$B$43*P44</f>
        <v>13781.4590325984</v>
      </c>
      <c r="Q45" s="260" t="n">
        <f aca="false">$B$43*Q44</f>
        <v>13758.1401509866</v>
      </c>
      <c r="R45" s="260" t="n">
        <f aca="false">$B$43*R44</f>
        <v>6879.07007549328</v>
      </c>
      <c r="S45" s="260" t="n">
        <f aca="false">$B$43*S44</f>
        <v>0</v>
      </c>
      <c r="T45" s="260" t="n">
        <f aca="false">$B$43*T44</f>
        <v>0</v>
      </c>
      <c r="U45" s="260" t="n">
        <f aca="false">$B$43*U44</f>
        <v>0</v>
      </c>
      <c r="V45" s="260" t="n">
        <f aca="false">$B$43*V44</f>
        <v>0</v>
      </c>
    </row>
    <row r="46" customFormat="false" ht="12.75" hidden="false" customHeight="false" outlineLevel="0" collapsed="false">
      <c r="A46" s="1" t="s">
        <v>173</v>
      </c>
      <c r="B46" s="172" t="n">
        <f aca="false">B43-B45</f>
        <v>233188.816118416</v>
      </c>
      <c r="C46" s="172" t="n">
        <f aca="false">C43-C45</f>
        <v>221529.375312496</v>
      </c>
      <c r="D46" s="172" t="n">
        <f aca="false">D43-D45</f>
        <v>199376.437781246</v>
      </c>
      <c r="E46" s="172" t="n">
        <f aca="false">E43-E45</f>
        <v>179438.794003121</v>
      </c>
      <c r="F46" s="172" t="n">
        <f aca="false">F43-F45</f>
        <v>161483.255162003</v>
      </c>
      <c r="G46" s="172" t="n">
        <f aca="false">G43-G45</f>
        <v>145323.270204997</v>
      </c>
      <c r="H46" s="172" t="n">
        <f aca="false">H43-H45</f>
        <v>130795.60696082</v>
      </c>
      <c r="I46" s="172" t="n">
        <f aca="false">I43-I45</f>
        <v>117037.466809833</v>
      </c>
      <c r="J46" s="172" t="n">
        <f aca="false">J43-J45</f>
        <v>103256.007777235</v>
      </c>
      <c r="K46" s="172" t="n">
        <f aca="false">K43-K45</f>
        <v>89497.8676262482</v>
      </c>
      <c r="L46" s="172" t="n">
        <f aca="false">L43-L45</f>
        <v>75716.4085936497</v>
      </c>
      <c r="M46" s="172" t="n">
        <f aca="false">M43-M45</f>
        <v>61958.2684426632</v>
      </c>
      <c r="N46" s="172" t="n">
        <f aca="false">N43-N45</f>
        <v>48176.8094100648</v>
      </c>
      <c r="O46" s="172" t="n">
        <f aca="false">O43-O45</f>
        <v>34418.6692590782</v>
      </c>
      <c r="P46" s="172" t="n">
        <f aca="false">P43-P45</f>
        <v>20637.2102264798</v>
      </c>
      <c r="Q46" s="172" t="n">
        <f aca="false">Q43-Q45</f>
        <v>6879.07007549322</v>
      </c>
      <c r="R46" s="172" t="n">
        <f aca="false">R43-R45</f>
        <v>-6.27551344223321E-011</v>
      </c>
      <c r="S46" s="172" t="n">
        <f aca="false">S43-S45</f>
        <v>-6.27551344223321E-011</v>
      </c>
      <c r="T46" s="172" t="n">
        <f aca="false">T43-T45</f>
        <v>-6.27551344223321E-011</v>
      </c>
      <c r="U46" s="172" t="n">
        <f aca="false">U43-U45</f>
        <v>-6.27551344223321E-011</v>
      </c>
      <c r="V46" s="172" t="n">
        <f aca="false">V43-V45</f>
        <v>-6.27551344223321E-011</v>
      </c>
    </row>
    <row r="48" customFormat="false" ht="12.75" hidden="false" customHeight="false" outlineLevel="0" collapsed="false">
      <c r="A48" s="287" t="s">
        <v>56</v>
      </c>
    </row>
    <row r="49" customFormat="false" ht="12.75" hidden="false" customHeight="false" outlineLevel="0" collapsed="false">
      <c r="A49" s="1" t="s">
        <v>172</v>
      </c>
      <c r="B49" s="288" t="n">
        <f aca="false">'Summary Output'!$G$7*Allocation!$C$7</f>
        <v>213307.421304434</v>
      </c>
      <c r="C49" s="288" t="n">
        <f aca="false">B52</f>
        <v>213307.421304434</v>
      </c>
      <c r="D49" s="288" t="n">
        <f aca="false">C52</f>
        <v>202642.050239213</v>
      </c>
      <c r="E49" s="288" t="n">
        <f aca="false">D52</f>
        <v>182377.845215291</v>
      </c>
      <c r="F49" s="288" t="n">
        <f aca="false">E52</f>
        <v>164140.060693762</v>
      </c>
      <c r="G49" s="288" t="n">
        <f aca="false">F52</f>
        <v>147715.389253321</v>
      </c>
      <c r="H49" s="288" t="n">
        <f aca="false">G52</f>
        <v>132933.184956924</v>
      </c>
      <c r="I49" s="288" t="n">
        <f aca="false">H52</f>
        <v>119644.132609657</v>
      </c>
      <c r="J49" s="288" t="n">
        <f aca="false">I52</f>
        <v>107058.994752696</v>
      </c>
      <c r="K49" s="288" t="n">
        <f aca="false">J52</f>
        <v>94452.5261536036</v>
      </c>
      <c r="L49" s="288" t="n">
        <f aca="false">K52</f>
        <v>81867.388296642</v>
      </c>
      <c r="M49" s="288" t="n">
        <f aca="false">L52</f>
        <v>69260.9196975499</v>
      </c>
      <c r="N49" s="288" t="n">
        <f aca="false">M52</f>
        <v>56675.7818405883</v>
      </c>
      <c r="O49" s="288" t="n">
        <f aca="false">N52</f>
        <v>44069.3132414962</v>
      </c>
      <c r="P49" s="288" t="n">
        <f aca="false">O52</f>
        <v>31484.1753845345</v>
      </c>
      <c r="Q49" s="288" t="n">
        <f aca="false">P52</f>
        <v>18877.7067854425</v>
      </c>
      <c r="R49" s="288" t="n">
        <f aca="false">Q52</f>
        <v>6292.56892848083</v>
      </c>
      <c r="S49" s="288" t="n">
        <f aca="false">R52</f>
        <v>0</v>
      </c>
      <c r="T49" s="288" t="n">
        <f aca="false">S52</f>
        <v>0</v>
      </c>
      <c r="U49" s="288" t="n">
        <f aca="false">T52</f>
        <v>0</v>
      </c>
      <c r="V49" s="288" t="n">
        <f aca="false">U52</f>
        <v>0</v>
      </c>
    </row>
    <row r="50" customFormat="false" ht="12.75" hidden="false" customHeight="false" outlineLevel="0" collapsed="false">
      <c r="A50" s="1" t="s">
        <v>164</v>
      </c>
      <c r="B50" s="289" t="n">
        <f aca="false">VLOOKUP(B6,$X$21:$Y$37,2)</f>
        <v>0</v>
      </c>
      <c r="C50" s="289" t="n">
        <f aca="false">VLOOKUP(C6,$X$21:$Y$37,2)</f>
        <v>0.05</v>
      </c>
      <c r="D50" s="289" t="n">
        <f aca="false">VLOOKUP(D6,$X$21:$Y$37,2)</f>
        <v>0.095</v>
      </c>
      <c r="E50" s="289" t="n">
        <f aca="false">VLOOKUP(E6,$X$21:$Y$37,2)</f>
        <v>0.0855</v>
      </c>
      <c r="F50" s="289" t="n">
        <f aca="false">VLOOKUP(F6,$X$21:$Y$37,2)</f>
        <v>0.077</v>
      </c>
      <c r="G50" s="289" t="n">
        <f aca="false">VLOOKUP(G6,$X$21:$Y$37,2)</f>
        <v>0.0693</v>
      </c>
      <c r="H50" s="289" t="n">
        <f aca="false">VLOOKUP(H6,$X$21:$Y$37,2)</f>
        <v>0.0623</v>
      </c>
      <c r="I50" s="289" t="n">
        <f aca="false">VLOOKUP(I6,$X$21:$Y$37,2)</f>
        <v>0.059</v>
      </c>
      <c r="J50" s="289" t="n">
        <f aca="false">VLOOKUP(J6,$X$21:$Y$37,2)</f>
        <v>0.0591</v>
      </c>
      <c r="K50" s="289" t="n">
        <f aca="false">VLOOKUP(K6,$X$21:$Y$37,2)</f>
        <v>0.059</v>
      </c>
      <c r="L50" s="289" t="n">
        <f aca="false">VLOOKUP(L6,$X$21:$Y$37,2)</f>
        <v>0.0591</v>
      </c>
      <c r="M50" s="289" t="n">
        <f aca="false">VLOOKUP(M6,$X$21:$Y$37,2)</f>
        <v>0.059</v>
      </c>
      <c r="N50" s="289" t="n">
        <f aca="false">VLOOKUP(N6,$X$21:$Y$37,2)</f>
        <v>0.0591</v>
      </c>
      <c r="O50" s="289" t="n">
        <f aca="false">VLOOKUP(O6,$X$21:$Y$37,2)</f>
        <v>0.059</v>
      </c>
      <c r="P50" s="289" t="n">
        <f aca="false">VLOOKUP(P6,$X$21:$Y$37,2)</f>
        <v>0.0591</v>
      </c>
      <c r="Q50" s="289" t="n">
        <f aca="false">VLOOKUP(Q6,$X$21:$Y$37,2)</f>
        <v>0.059</v>
      </c>
      <c r="R50" s="289" t="n">
        <f aca="false">VLOOKUP(R6,$X$21:$Y$37,2)</f>
        <v>0.0295</v>
      </c>
      <c r="S50" s="289" t="n">
        <v>0</v>
      </c>
      <c r="T50" s="289" t="n">
        <v>0</v>
      </c>
      <c r="U50" s="289" t="n">
        <v>0</v>
      </c>
      <c r="V50" s="289" t="n">
        <v>0</v>
      </c>
    </row>
    <row r="51" customFormat="false" ht="12.75" hidden="false" customHeight="false" outlineLevel="0" collapsed="false">
      <c r="A51" s="1" t="s">
        <v>166</v>
      </c>
      <c r="B51" s="260" t="n">
        <f aca="false">$B$49*B50</f>
        <v>0</v>
      </c>
      <c r="C51" s="260" t="n">
        <f aca="false">$B$49*C50</f>
        <v>10665.3710652217</v>
      </c>
      <c r="D51" s="260" t="n">
        <f aca="false">$B$49*D50</f>
        <v>20264.2050239213</v>
      </c>
      <c r="E51" s="260" t="n">
        <f aca="false">$B$49*E50</f>
        <v>18237.7845215292</v>
      </c>
      <c r="F51" s="260" t="n">
        <f aca="false">$B$49*F50</f>
        <v>16424.6714404415</v>
      </c>
      <c r="G51" s="260" t="n">
        <f aca="false">$B$49*G50</f>
        <v>14782.2042963973</v>
      </c>
      <c r="H51" s="260" t="n">
        <f aca="false">$B$49*H50</f>
        <v>13289.0523472663</v>
      </c>
      <c r="I51" s="260" t="n">
        <f aca="false">$B$49*I50</f>
        <v>12585.1378569616</v>
      </c>
      <c r="J51" s="260" t="n">
        <f aca="false">$B$49*J50</f>
        <v>12606.4685990921</v>
      </c>
      <c r="K51" s="260" t="n">
        <f aca="false">$B$49*K50</f>
        <v>12585.1378569616</v>
      </c>
      <c r="L51" s="260" t="n">
        <f aca="false">$B$49*L50</f>
        <v>12606.4685990921</v>
      </c>
      <c r="M51" s="260" t="n">
        <f aca="false">$B$49*M50</f>
        <v>12585.1378569616</v>
      </c>
      <c r="N51" s="260" t="n">
        <f aca="false">$B$49*N50</f>
        <v>12606.4685990921</v>
      </c>
      <c r="O51" s="260" t="n">
        <f aca="false">$B$49*O50</f>
        <v>12585.1378569616</v>
      </c>
      <c r="P51" s="260" t="n">
        <f aca="false">$B$49*P50</f>
        <v>12606.4685990921</v>
      </c>
      <c r="Q51" s="260" t="n">
        <f aca="false">$B$49*Q50</f>
        <v>12585.1378569616</v>
      </c>
      <c r="R51" s="260" t="n">
        <f aca="false">$B$49*R50</f>
        <v>6292.56892848082</v>
      </c>
      <c r="S51" s="260" t="n">
        <f aca="false">$B$49*S50</f>
        <v>0</v>
      </c>
      <c r="T51" s="260" t="n">
        <f aca="false">$B$49*T50</f>
        <v>0</v>
      </c>
      <c r="U51" s="260" t="n">
        <f aca="false">$B$49*U50</f>
        <v>0</v>
      </c>
      <c r="V51" s="260" t="n">
        <f aca="false">$B$49*V50</f>
        <v>0</v>
      </c>
    </row>
    <row r="52" customFormat="false" ht="12.75" hidden="false" customHeight="false" outlineLevel="0" collapsed="false">
      <c r="A52" s="1" t="s">
        <v>173</v>
      </c>
      <c r="B52" s="172" t="n">
        <f aca="false">B49-B51</f>
        <v>213307.421304434</v>
      </c>
      <c r="C52" s="172" t="n">
        <f aca="false">C49-C51</f>
        <v>202642.050239213</v>
      </c>
      <c r="D52" s="172" t="n">
        <f aca="false">D49-D51</f>
        <v>182377.845215291</v>
      </c>
      <c r="E52" s="172" t="n">
        <f aca="false">E49-E51</f>
        <v>164140.060693762</v>
      </c>
      <c r="F52" s="172" t="n">
        <f aca="false">F49-F51</f>
        <v>147715.389253321</v>
      </c>
      <c r="G52" s="172" t="n">
        <f aca="false">G49-G51</f>
        <v>132933.184956924</v>
      </c>
      <c r="H52" s="172" t="n">
        <f aca="false">H49-H51</f>
        <v>119644.132609657</v>
      </c>
      <c r="I52" s="172" t="n">
        <f aca="false">I49-I51</f>
        <v>107058.994752696</v>
      </c>
      <c r="J52" s="172" t="n">
        <f aca="false">J49-J51</f>
        <v>94452.5261536036</v>
      </c>
      <c r="K52" s="172" t="n">
        <f aca="false">K49-K51</f>
        <v>81867.388296642</v>
      </c>
      <c r="L52" s="172" t="n">
        <f aca="false">L49-L51</f>
        <v>69260.9196975499</v>
      </c>
      <c r="M52" s="172" t="n">
        <f aca="false">M49-M51</f>
        <v>56675.7818405883</v>
      </c>
      <c r="N52" s="172" t="n">
        <f aca="false">N49-N51</f>
        <v>44069.3132414962</v>
      </c>
      <c r="O52" s="172" t="n">
        <f aca="false">O49-O51</f>
        <v>31484.1753845345</v>
      </c>
      <c r="P52" s="172" t="n">
        <f aca="false">P49-P51</f>
        <v>18877.7067854425</v>
      </c>
      <c r="Q52" s="172" t="n">
        <f aca="false">Q49-Q51</f>
        <v>6292.56892848083</v>
      </c>
      <c r="R52" s="172" t="n">
        <f aca="false">R49-R51</f>
        <v>0</v>
      </c>
      <c r="S52" s="172" t="n">
        <f aca="false">S49-S51</f>
        <v>0</v>
      </c>
      <c r="T52" s="172" t="n">
        <f aca="false">T49-T51</f>
        <v>0</v>
      </c>
      <c r="U52" s="172" t="n">
        <f aca="false">U49-U51</f>
        <v>0</v>
      </c>
      <c r="V52" s="172" t="n">
        <f aca="false">V49-V51</f>
        <v>0</v>
      </c>
    </row>
    <row r="54" customFormat="false" ht="12.75" hidden="false" customHeight="false" outlineLevel="0" collapsed="false">
      <c r="A54" s="287" t="s">
        <v>57</v>
      </c>
    </row>
    <row r="55" customFormat="false" ht="12.75" hidden="false" customHeight="false" outlineLevel="0" collapsed="false">
      <c r="A55" s="1" t="s">
        <v>172</v>
      </c>
      <c r="B55" s="288" t="n">
        <f aca="false">'Summary Output'!$G$7*Allocation!$C$8</f>
        <v>343425.57448073</v>
      </c>
      <c r="C55" s="172" t="n">
        <f aca="false">B58</f>
        <v>343425.57448073</v>
      </c>
      <c r="D55" s="172" t="n">
        <f aca="false">C58</f>
        <v>326254.295756693</v>
      </c>
      <c r="E55" s="172" t="n">
        <f aca="false">D58</f>
        <v>293628.866181024</v>
      </c>
      <c r="F55" s="172" t="n">
        <f aca="false">E58</f>
        <v>264265.979562922</v>
      </c>
      <c r="G55" s="172" t="n">
        <f aca="false">F58</f>
        <v>237822.210327905</v>
      </c>
      <c r="H55" s="172" t="n">
        <f aca="false">G58</f>
        <v>214022.818016391</v>
      </c>
      <c r="I55" s="172" t="n">
        <f aca="false">H58</f>
        <v>192627.404726241</v>
      </c>
      <c r="J55" s="172" t="n">
        <f aca="false">I58</f>
        <v>172365.295831878</v>
      </c>
      <c r="K55" s="172" t="n">
        <f aca="false">J58</f>
        <v>152068.844380067</v>
      </c>
      <c r="L55" s="172" t="n">
        <f aca="false">K58</f>
        <v>131806.735485704</v>
      </c>
      <c r="M55" s="172" t="n">
        <f aca="false">L58</f>
        <v>111510.284033893</v>
      </c>
      <c r="N55" s="172" t="n">
        <f aca="false">M58</f>
        <v>91248.1751395299</v>
      </c>
      <c r="O55" s="172" t="n">
        <f aca="false">N58</f>
        <v>70951.7236877188</v>
      </c>
      <c r="P55" s="172" t="n">
        <f aca="false">O58</f>
        <v>50689.6147933557</v>
      </c>
      <c r="Q55" s="172" t="n">
        <f aca="false">P58</f>
        <v>30393.1633415446</v>
      </c>
      <c r="R55" s="172" t="n">
        <f aca="false">Q58</f>
        <v>10131.0544471816</v>
      </c>
      <c r="S55" s="172" t="n">
        <f aca="false">R58</f>
        <v>3.63797880709171E-011</v>
      </c>
      <c r="T55" s="172" t="n">
        <f aca="false">S58</f>
        <v>3.63797880709171E-011</v>
      </c>
      <c r="U55" s="172" t="n">
        <f aca="false">T58</f>
        <v>3.63797880709171E-011</v>
      </c>
      <c r="V55" s="172" t="n">
        <f aca="false">U58</f>
        <v>3.63797880709171E-011</v>
      </c>
    </row>
    <row r="56" customFormat="false" ht="12.75" hidden="false" customHeight="false" outlineLevel="0" collapsed="false">
      <c r="A56" s="1" t="s">
        <v>164</v>
      </c>
      <c r="B56" s="289" t="n">
        <f aca="false">VLOOKUP(B6,$X$21:$Y$37,2)</f>
        <v>0</v>
      </c>
      <c r="C56" s="289" t="n">
        <f aca="false">VLOOKUP(C6,$X$21:$Y$37,2)</f>
        <v>0.05</v>
      </c>
      <c r="D56" s="289" t="n">
        <f aca="false">VLOOKUP(D6,$X$21:$Y$37,2)</f>
        <v>0.095</v>
      </c>
      <c r="E56" s="289" t="n">
        <f aca="false">VLOOKUP(E6,$X$21:$Y$37,2)</f>
        <v>0.0855</v>
      </c>
      <c r="F56" s="289" t="n">
        <f aca="false">VLOOKUP(F6,$X$21:$Y$37,2)</f>
        <v>0.077</v>
      </c>
      <c r="G56" s="289" t="n">
        <f aca="false">VLOOKUP(G6,$X$21:$Y$37,2)</f>
        <v>0.0693</v>
      </c>
      <c r="H56" s="289" t="n">
        <f aca="false">VLOOKUP(H6,$X$21:$Y$37,2)</f>
        <v>0.0623</v>
      </c>
      <c r="I56" s="289" t="n">
        <f aca="false">VLOOKUP(I6,$X$21:$Y$37,2)</f>
        <v>0.059</v>
      </c>
      <c r="J56" s="289" t="n">
        <f aca="false">VLOOKUP(J6,$X$21:$Y$37,2)</f>
        <v>0.0591</v>
      </c>
      <c r="K56" s="289" t="n">
        <f aca="false">VLOOKUP(K6,$X$21:$Y$37,2)</f>
        <v>0.059</v>
      </c>
      <c r="L56" s="289" t="n">
        <f aca="false">VLOOKUP(L6,$X$21:$Y$37,2)</f>
        <v>0.0591</v>
      </c>
      <c r="M56" s="289" t="n">
        <f aca="false">VLOOKUP(M6,$X$21:$Y$37,2)</f>
        <v>0.059</v>
      </c>
      <c r="N56" s="289" t="n">
        <f aca="false">VLOOKUP(N6,$X$21:$Y$37,2)</f>
        <v>0.0591</v>
      </c>
      <c r="O56" s="289" t="n">
        <f aca="false">VLOOKUP(O6,$X$21:$Y$37,2)</f>
        <v>0.059</v>
      </c>
      <c r="P56" s="289" t="n">
        <f aca="false">VLOOKUP(P6,$X$21:$Y$37,2)</f>
        <v>0.0591</v>
      </c>
      <c r="Q56" s="289" t="n">
        <f aca="false">VLOOKUP(Q6,$X$21:$Y$37,2)</f>
        <v>0.059</v>
      </c>
      <c r="R56" s="289" t="n">
        <f aca="false">VLOOKUP(R6,$X$21:$Y$37,2)</f>
        <v>0.0295</v>
      </c>
      <c r="S56" s="289" t="n">
        <v>0</v>
      </c>
      <c r="T56" s="289" t="n">
        <v>0</v>
      </c>
      <c r="U56" s="289" t="n">
        <v>0</v>
      </c>
      <c r="V56" s="289" t="n">
        <v>0</v>
      </c>
    </row>
    <row r="57" customFormat="false" ht="12.75" hidden="false" customHeight="false" outlineLevel="0" collapsed="false">
      <c r="A57" s="1" t="s">
        <v>166</v>
      </c>
      <c r="B57" s="260" t="n">
        <f aca="false">$B$55*B56</f>
        <v>0</v>
      </c>
      <c r="C57" s="260" t="n">
        <f aca="false">$B$55*C56</f>
        <v>17171.2787240365</v>
      </c>
      <c r="D57" s="260" t="n">
        <f aca="false">$B$55*D56</f>
        <v>32625.4295756693</v>
      </c>
      <c r="E57" s="260" t="n">
        <f aca="false">$B$55*E56</f>
        <v>29362.8866181024</v>
      </c>
      <c r="F57" s="260" t="n">
        <f aca="false">$B$55*F56</f>
        <v>26443.7692350162</v>
      </c>
      <c r="G57" s="260" t="n">
        <f aca="false">$B$55*G56</f>
        <v>23799.3923115146</v>
      </c>
      <c r="H57" s="260" t="n">
        <f aca="false">$B$55*H56</f>
        <v>21395.4132901495</v>
      </c>
      <c r="I57" s="260" t="n">
        <f aca="false">$B$55*I56</f>
        <v>20262.1088943631</v>
      </c>
      <c r="J57" s="260" t="n">
        <f aca="false">$B$55*J56</f>
        <v>20296.4514518111</v>
      </c>
      <c r="K57" s="260" t="n">
        <f aca="false">$B$55*K56</f>
        <v>20262.1088943631</v>
      </c>
      <c r="L57" s="260" t="n">
        <f aca="false">$B$55*L56</f>
        <v>20296.4514518111</v>
      </c>
      <c r="M57" s="260" t="n">
        <f aca="false">$B$55*M56</f>
        <v>20262.1088943631</v>
      </c>
      <c r="N57" s="260" t="n">
        <f aca="false">$B$55*N56</f>
        <v>20296.4514518111</v>
      </c>
      <c r="O57" s="260" t="n">
        <f aca="false">$B$55*O56</f>
        <v>20262.1088943631</v>
      </c>
      <c r="P57" s="260" t="n">
        <f aca="false">$B$55*P56</f>
        <v>20296.4514518111</v>
      </c>
      <c r="Q57" s="260" t="n">
        <f aca="false">$B$55*Q56</f>
        <v>20262.1088943631</v>
      </c>
      <c r="R57" s="260" t="n">
        <f aca="false">$B$55*R56</f>
        <v>10131.0544471815</v>
      </c>
      <c r="S57" s="260" t="n">
        <f aca="false">$B$55*S56</f>
        <v>0</v>
      </c>
      <c r="T57" s="260" t="n">
        <f aca="false">$B$55*T56</f>
        <v>0</v>
      </c>
      <c r="U57" s="260" t="n">
        <f aca="false">$B$55*U56</f>
        <v>0</v>
      </c>
      <c r="V57" s="260" t="n">
        <f aca="false">$B$55*V56</f>
        <v>0</v>
      </c>
    </row>
    <row r="58" customFormat="false" ht="12.75" hidden="false" customHeight="false" outlineLevel="0" collapsed="false">
      <c r="A58" s="1" t="s">
        <v>173</v>
      </c>
      <c r="B58" s="172" t="n">
        <f aca="false">B55-B57</f>
        <v>343425.57448073</v>
      </c>
      <c r="C58" s="172" t="n">
        <f aca="false">C55-C57</f>
        <v>326254.295756693</v>
      </c>
      <c r="D58" s="172" t="n">
        <f aca="false">D55-D57</f>
        <v>293628.866181024</v>
      </c>
      <c r="E58" s="172" t="n">
        <f aca="false">E55-E57</f>
        <v>264265.979562922</v>
      </c>
      <c r="F58" s="172" t="n">
        <f aca="false">F55-F57</f>
        <v>237822.210327905</v>
      </c>
      <c r="G58" s="172" t="n">
        <f aca="false">G55-G57</f>
        <v>214022.818016391</v>
      </c>
      <c r="H58" s="172" t="n">
        <f aca="false">H55-H57</f>
        <v>192627.404726241</v>
      </c>
      <c r="I58" s="172" t="n">
        <f aca="false">I55-I57</f>
        <v>172365.295831878</v>
      </c>
      <c r="J58" s="172" t="n">
        <f aca="false">J55-J57</f>
        <v>152068.844380067</v>
      </c>
      <c r="K58" s="172" t="n">
        <f aca="false">K55-K57</f>
        <v>131806.735485704</v>
      </c>
      <c r="L58" s="172" t="n">
        <f aca="false">L55-L57</f>
        <v>111510.284033893</v>
      </c>
      <c r="M58" s="172" t="n">
        <f aca="false">M55-M57</f>
        <v>91248.1751395299</v>
      </c>
      <c r="N58" s="172" t="n">
        <f aca="false">N55-N57</f>
        <v>70951.7236877188</v>
      </c>
      <c r="O58" s="172" t="n">
        <f aca="false">O55-O57</f>
        <v>50689.6147933557</v>
      </c>
      <c r="P58" s="172" t="n">
        <f aca="false">P55-P57</f>
        <v>30393.1633415446</v>
      </c>
      <c r="Q58" s="172" t="n">
        <f aca="false">Q55-Q57</f>
        <v>10131.0544471816</v>
      </c>
      <c r="R58" s="172" t="n">
        <f aca="false">R55-R57</f>
        <v>3.63797880709171E-011</v>
      </c>
      <c r="S58" s="172" t="n">
        <f aca="false">S55-S57</f>
        <v>3.63797880709171E-011</v>
      </c>
      <c r="T58" s="172" t="n">
        <f aca="false">T55-T57</f>
        <v>3.63797880709171E-011</v>
      </c>
      <c r="U58" s="172" t="n">
        <f aca="false">U55-U57</f>
        <v>3.63797880709171E-011</v>
      </c>
      <c r="V58" s="172" t="n">
        <f aca="false">V55-V57</f>
        <v>3.63797880709171E-011</v>
      </c>
    </row>
    <row r="60" customFormat="false" ht="12.75" hidden="false" customHeight="false" outlineLevel="0" collapsed="false">
      <c r="A60" s="287" t="s">
        <v>169</v>
      </c>
    </row>
    <row r="61" customFormat="false" ht="12.75" hidden="false" customHeight="false" outlineLevel="0" collapsed="false">
      <c r="A61" s="1" t="s">
        <v>172</v>
      </c>
      <c r="B61" s="172" t="n">
        <f aca="false">SUM(B43,B49,B55)</f>
        <v>789921.811903581</v>
      </c>
      <c r="C61" s="172" t="n">
        <f aca="false">B63</f>
        <v>789921.811903581</v>
      </c>
      <c r="D61" s="172" t="n">
        <f aca="false">C63</f>
        <v>750425.721308402</v>
      </c>
      <c r="E61" s="172" t="n">
        <f aca="false">D63</f>
        <v>675383.149177562</v>
      </c>
      <c r="F61" s="172" t="n">
        <f aca="false">E63</f>
        <v>607844.834259805</v>
      </c>
      <c r="G61" s="172" t="n">
        <f aca="false">F63</f>
        <v>547020.85474323</v>
      </c>
      <c r="H61" s="172" t="n">
        <f aca="false">G63</f>
        <v>492279.273178312</v>
      </c>
      <c r="I61" s="172" t="n">
        <f aca="false">H63</f>
        <v>443067.144296718</v>
      </c>
      <c r="J61" s="172" t="n">
        <f aca="false">I63</f>
        <v>396461.757394407</v>
      </c>
      <c r="K61" s="172" t="n">
        <f aca="false">J63</f>
        <v>349777.378310906</v>
      </c>
      <c r="L61" s="172" t="n">
        <f aca="false">K63</f>
        <v>303171.991408594</v>
      </c>
      <c r="M61" s="172" t="n">
        <f aca="false">L63</f>
        <v>256487.612325093</v>
      </c>
      <c r="N61" s="172" t="n">
        <f aca="false">M63</f>
        <v>209882.225422782</v>
      </c>
      <c r="O61" s="172" t="n">
        <f aca="false">N63</f>
        <v>163197.84633928</v>
      </c>
      <c r="P61" s="172" t="n">
        <f aca="false">O63</f>
        <v>116592.459436969</v>
      </c>
      <c r="Q61" s="172" t="n">
        <f aca="false">P63</f>
        <v>69908.0803534671</v>
      </c>
      <c r="R61" s="172" t="n">
        <f aca="false">Q63</f>
        <v>23302.6934511558</v>
      </c>
      <c r="S61" s="172" t="n">
        <f aca="false">R63</f>
        <v>1.96450855582953E-010</v>
      </c>
      <c r="T61" s="172" t="n">
        <f aca="false">S63</f>
        <v>1.96450855582953E-010</v>
      </c>
      <c r="U61" s="172" t="n">
        <f aca="false">T63</f>
        <v>1.96450855582953E-010</v>
      </c>
      <c r="V61" s="172" t="n">
        <f aca="false">U63</f>
        <v>1.96450855582953E-010</v>
      </c>
    </row>
    <row r="62" customFormat="false" ht="12.75" hidden="false" customHeight="false" outlineLevel="0" collapsed="false">
      <c r="A62" s="1" t="s">
        <v>166</v>
      </c>
      <c r="B62" s="260" t="n">
        <f aca="false">SUM(B45,B51,B57)</f>
        <v>0</v>
      </c>
      <c r="C62" s="260" t="n">
        <f aca="false">SUM(C45,C51,C57)</f>
        <v>39496.090595179</v>
      </c>
      <c r="D62" s="260" t="n">
        <f aca="false">SUM(D45,D51,D57)</f>
        <v>75042.5721308402</v>
      </c>
      <c r="E62" s="260" t="n">
        <f aca="false">SUM(E45,E51,E57)</f>
        <v>67538.3149177562</v>
      </c>
      <c r="F62" s="260" t="n">
        <f aca="false">SUM(F45,F51,F57)</f>
        <v>60823.9795165757</v>
      </c>
      <c r="G62" s="260" t="n">
        <f aca="false">SUM(G45,G51,G57)</f>
        <v>54741.5815649181</v>
      </c>
      <c r="H62" s="260" t="n">
        <f aca="false">SUM(H45,H51,H57)</f>
        <v>49212.1288815931</v>
      </c>
      <c r="I62" s="260" t="n">
        <f aca="false">SUM(I45,I51,I57)</f>
        <v>46605.3869023113</v>
      </c>
      <c r="J62" s="260" t="n">
        <f aca="false">SUM(J45,J51,J57)</f>
        <v>46684.3790835016</v>
      </c>
      <c r="K62" s="260" t="n">
        <f aca="false">SUM(K45,K51,K57)</f>
        <v>46605.3869023113</v>
      </c>
      <c r="L62" s="260" t="n">
        <f aca="false">SUM(L45,L51,L57)</f>
        <v>46684.3790835016</v>
      </c>
      <c r="M62" s="260" t="n">
        <f aca="false">SUM(M45,M51,M57)</f>
        <v>46605.3869023113</v>
      </c>
      <c r="N62" s="260" t="n">
        <f aca="false">SUM(N45,N51,N57)</f>
        <v>46684.3790835016</v>
      </c>
      <c r="O62" s="260" t="n">
        <f aca="false">SUM(O45,O51,O57)</f>
        <v>46605.3869023113</v>
      </c>
      <c r="P62" s="260" t="n">
        <f aca="false">SUM(P45,P51,P57)</f>
        <v>46684.3790835016</v>
      </c>
      <c r="Q62" s="260" t="n">
        <f aca="false">SUM(Q45,Q51,Q57)</f>
        <v>46605.3869023113</v>
      </c>
      <c r="R62" s="260" t="n">
        <f aca="false">SUM(R45,R51,R57)</f>
        <v>23302.6934511556</v>
      </c>
      <c r="S62" s="260" t="n">
        <f aca="false">SUM(S45,S51,S57)</f>
        <v>0</v>
      </c>
      <c r="T62" s="260" t="n">
        <f aca="false">SUM(T45,T51,T57)</f>
        <v>0</v>
      </c>
      <c r="U62" s="260" t="n">
        <f aca="false">SUM(U45,U51,U57)</f>
        <v>0</v>
      </c>
      <c r="V62" s="260" t="n">
        <f aca="false">SUM(V45,V51,V57)</f>
        <v>0</v>
      </c>
    </row>
    <row r="63" customFormat="false" ht="12.75" hidden="false" customHeight="false" outlineLevel="0" collapsed="false">
      <c r="A63" s="1" t="s">
        <v>173</v>
      </c>
      <c r="B63" s="172" t="n">
        <f aca="false">B61-B62</f>
        <v>789921.811903581</v>
      </c>
      <c r="C63" s="172" t="n">
        <f aca="false">C61-C62</f>
        <v>750425.721308402</v>
      </c>
      <c r="D63" s="172" t="n">
        <f aca="false">D61-D62</f>
        <v>675383.149177562</v>
      </c>
      <c r="E63" s="172" t="n">
        <f aca="false">E61-E62</f>
        <v>607844.834259805</v>
      </c>
      <c r="F63" s="172" t="n">
        <f aca="false">F61-F62</f>
        <v>547020.85474323</v>
      </c>
      <c r="G63" s="172" t="n">
        <f aca="false">G61-G62</f>
        <v>492279.273178312</v>
      </c>
      <c r="H63" s="172" t="n">
        <f aca="false">H61-H62</f>
        <v>443067.144296718</v>
      </c>
      <c r="I63" s="172" t="n">
        <f aca="false">I61-I62</f>
        <v>396461.757394407</v>
      </c>
      <c r="J63" s="172" t="n">
        <f aca="false">J61-J62</f>
        <v>349777.378310906</v>
      </c>
      <c r="K63" s="172" t="n">
        <f aca="false">K61-K62</f>
        <v>303171.991408594</v>
      </c>
      <c r="L63" s="172" t="n">
        <f aca="false">L61-L62</f>
        <v>256487.612325093</v>
      </c>
      <c r="M63" s="172" t="n">
        <f aca="false">M61-M62</f>
        <v>209882.225422782</v>
      </c>
      <c r="N63" s="172" t="n">
        <f aca="false">N61-N62</f>
        <v>163197.84633928</v>
      </c>
      <c r="O63" s="172" t="n">
        <f aca="false">O61-O62</f>
        <v>116592.459436969</v>
      </c>
      <c r="P63" s="172" t="n">
        <f aca="false">P61-P62</f>
        <v>69908.0803534671</v>
      </c>
      <c r="Q63" s="172" t="n">
        <f aca="false">Q61-Q62</f>
        <v>23302.6934511558</v>
      </c>
      <c r="R63" s="172" t="n">
        <f aca="false">R61-R62</f>
        <v>1.96450855582953E-010</v>
      </c>
      <c r="S63" s="172" t="n">
        <f aca="false">S61-S62</f>
        <v>1.96450855582953E-010</v>
      </c>
      <c r="T63" s="172" t="n">
        <f aca="false">T61-T62</f>
        <v>1.96450855582953E-010</v>
      </c>
      <c r="U63" s="172" t="n">
        <f aca="false">U61-U62</f>
        <v>1.96450855582953E-010</v>
      </c>
      <c r="V63" s="172" t="n">
        <f aca="false">V61-V62</f>
        <v>1.96450855582953E-010</v>
      </c>
    </row>
    <row r="67" customFormat="false" ht="12.75" hidden="false" customHeight="false" outlineLevel="0" collapsed="false">
      <c r="A67" s="168" t="s">
        <v>174</v>
      </c>
      <c r="B67" s="256" t="n">
        <f aca="false">B62</f>
        <v>0</v>
      </c>
      <c r="C67" s="256" t="n">
        <f aca="false">C62</f>
        <v>39496.090595179</v>
      </c>
      <c r="D67" s="256" t="n">
        <f aca="false">D62</f>
        <v>75042.5721308402</v>
      </c>
      <c r="E67" s="256" t="n">
        <f aca="false">E62</f>
        <v>67538.3149177562</v>
      </c>
      <c r="F67" s="256" t="n">
        <f aca="false">F62</f>
        <v>60823.9795165757</v>
      </c>
      <c r="G67" s="256" t="n">
        <f aca="false">G62</f>
        <v>54741.5815649181</v>
      </c>
      <c r="H67" s="256" t="n">
        <f aca="false">H62</f>
        <v>49212.1288815931</v>
      </c>
      <c r="I67" s="256" t="n">
        <f aca="false">I62</f>
        <v>46605.3869023113</v>
      </c>
      <c r="J67" s="256" t="n">
        <f aca="false">J62</f>
        <v>46684.3790835016</v>
      </c>
      <c r="K67" s="256" t="n">
        <f aca="false">K62</f>
        <v>46605.3869023113</v>
      </c>
      <c r="L67" s="256" t="n">
        <f aca="false">L62</f>
        <v>46684.3790835016</v>
      </c>
      <c r="M67" s="256" t="n">
        <f aca="false">M62</f>
        <v>46605.3869023113</v>
      </c>
      <c r="N67" s="256" t="n">
        <f aca="false">N62</f>
        <v>46684.3790835016</v>
      </c>
      <c r="O67" s="256" t="n">
        <f aca="false">O62</f>
        <v>46605.3869023113</v>
      </c>
      <c r="P67" s="256" t="n">
        <f aca="false">P62</f>
        <v>46684.3790835016</v>
      </c>
      <c r="Q67" s="256" t="n">
        <f aca="false">Q62</f>
        <v>46605.3869023113</v>
      </c>
      <c r="R67" s="256" t="n">
        <f aca="false">R62</f>
        <v>23302.6934511556</v>
      </c>
      <c r="S67" s="256" t="n">
        <f aca="false">S62</f>
        <v>0</v>
      </c>
      <c r="T67" s="256" t="n">
        <f aca="false">T62</f>
        <v>0</v>
      </c>
      <c r="U67" s="256" t="n">
        <f aca="false">U62</f>
        <v>0</v>
      </c>
      <c r="V67" s="256" t="n">
        <f aca="false">V62</f>
        <v>0</v>
      </c>
    </row>
    <row r="68" customFormat="false" ht="12.75" hidden="false" customHeight="false" outlineLevel="0" collapsed="false">
      <c r="A68" s="290" t="s">
        <v>175</v>
      </c>
      <c r="B68" s="262" t="n">
        <v>0</v>
      </c>
      <c r="C68" s="262" t="n">
        <f aca="false">SUM(Gleason!B85,Wheatland!B86,Wilton!B79)</f>
        <v>-39496.090595179</v>
      </c>
      <c r="D68" s="262" t="n">
        <f aca="false">SUM(Gleason!C85,Wheatland!C86,Wilton!C79)</f>
        <v>-75042.5721308402</v>
      </c>
      <c r="E68" s="262" t="n">
        <f aca="false">SUM(Gleason!D85,Wheatland!D86,Wilton!D79)</f>
        <v>-67538.3149177562</v>
      </c>
      <c r="F68" s="262" t="n">
        <f aca="false">SUM(Gleason!E85,Wheatland!E86,Wilton!E79)</f>
        <v>-60823.9795165757</v>
      </c>
      <c r="G68" s="262" t="n">
        <f aca="false">SUM(Gleason!F85,Wheatland!F86,Wilton!F79)</f>
        <v>-54741.5815649181</v>
      </c>
      <c r="H68" s="262" t="n">
        <f aca="false">SUM(Gleason!G85,Wheatland!G86,Wilton!G79)</f>
        <v>-49212.1288815931</v>
      </c>
      <c r="I68" s="262" t="n">
        <f aca="false">SUM(Gleason!H85,Wheatland!H86,Wilton!H79)</f>
        <v>-46605.3869023113</v>
      </c>
      <c r="J68" s="262" t="n">
        <f aca="false">SUM(Gleason!I85,Wheatland!I86,Wilton!I79)</f>
        <v>-46684.3790835016</v>
      </c>
      <c r="K68" s="262" t="n">
        <f aca="false">SUM(Gleason!J85,Wheatland!J86,Wilton!J79)</f>
        <v>-46605.3869023113</v>
      </c>
      <c r="L68" s="262" t="n">
        <f aca="false">SUM(Gleason!K85,Wheatland!K86,Wilton!K79)</f>
        <v>-46684.3790835016</v>
      </c>
      <c r="M68" s="262" t="n">
        <f aca="false">SUM(Gleason!L85,Wheatland!L86,Wilton!L79)</f>
        <v>-46605.3869023113</v>
      </c>
      <c r="N68" s="262" t="n">
        <f aca="false">SUM(Gleason!M85,Wheatland!M86,Wilton!M79)</f>
        <v>-46684.3790835016</v>
      </c>
      <c r="O68" s="262" t="n">
        <f aca="false">SUM(Gleason!N85,Wheatland!N86,Wilton!N79)</f>
        <v>-46605.3869023113</v>
      </c>
      <c r="P68" s="262" t="n">
        <f aca="false">SUM(Gleason!O85,Wheatland!O86,Wilton!O79)</f>
        <v>-46684.3790835016</v>
      </c>
      <c r="Q68" s="262" t="n">
        <f aca="false">SUM(Gleason!P85,Wheatland!P86,Wilton!P79)</f>
        <v>-46605.3869023113</v>
      </c>
      <c r="R68" s="262" t="n">
        <f aca="false">SUM(Gleason!Q85,Wheatland!Q86,Wilton!Q79)</f>
        <v>-23302.6934511556</v>
      </c>
      <c r="S68" s="262" t="n">
        <f aca="false">SUM(Gleason!R85,Wheatland!R86,Wilton!R79)</f>
        <v>0</v>
      </c>
      <c r="T68" s="262" t="n">
        <f aca="false">SUM(Gleason!S85,Wheatland!S86,Wilton!S79)</f>
        <v>0</v>
      </c>
      <c r="U68" s="262" t="n">
        <f aca="false">SUM(Gleason!T85,Wheatland!T86,Wilton!T79)</f>
        <v>0</v>
      </c>
      <c r="V68" s="262" t="n">
        <f aca="false">SUM(Gleason!U85,Wheatland!U86,Wilton!U79)</f>
        <v>0</v>
      </c>
    </row>
    <row r="69" customFormat="false" ht="12.75" hidden="false" customHeight="false" outlineLevel="0" collapsed="false">
      <c r="A69" s="168" t="s">
        <v>176</v>
      </c>
      <c r="B69" s="256" t="n">
        <f aca="false">B67+B68</f>
        <v>0</v>
      </c>
      <c r="C69" s="256" t="n">
        <f aca="false">C67+C68</f>
        <v>0</v>
      </c>
      <c r="D69" s="256" t="n">
        <f aca="false">D67+D68</f>
        <v>0</v>
      </c>
      <c r="E69" s="256" t="n">
        <f aca="false">E67+E68</f>
        <v>0</v>
      </c>
      <c r="F69" s="256" t="n">
        <f aca="false">F67+F68</f>
        <v>0</v>
      </c>
      <c r="G69" s="256" t="n">
        <f aca="false">G67+G68</f>
        <v>0</v>
      </c>
      <c r="H69" s="256" t="n">
        <f aca="false">H67+H68</f>
        <v>0</v>
      </c>
      <c r="I69" s="256" t="n">
        <f aca="false">I67+I68</f>
        <v>0</v>
      </c>
      <c r="J69" s="256" t="n">
        <f aca="false">J67+J68</f>
        <v>0</v>
      </c>
      <c r="K69" s="256" t="n">
        <f aca="false">K67+K68</f>
        <v>0</v>
      </c>
      <c r="L69" s="256" t="n">
        <f aca="false">L67+L68</f>
        <v>0</v>
      </c>
      <c r="M69" s="256" t="n">
        <f aca="false">M67+M68</f>
        <v>0</v>
      </c>
      <c r="N69" s="256" t="n">
        <f aca="false">N67+N68</f>
        <v>0</v>
      </c>
      <c r="O69" s="256" t="n">
        <f aca="false">O67+O68</f>
        <v>0</v>
      </c>
      <c r="P69" s="256" t="n">
        <f aca="false">P67+P68</f>
        <v>0</v>
      </c>
      <c r="Q69" s="256" t="n">
        <f aca="false">Q67+Q68</f>
        <v>0</v>
      </c>
      <c r="R69" s="256" t="n">
        <f aca="false">R67+R68</f>
        <v>0</v>
      </c>
      <c r="S69" s="256" t="n">
        <f aca="false">S67+S68</f>
        <v>0</v>
      </c>
      <c r="T69" s="256" t="n">
        <f aca="false">T67+T68</f>
        <v>0</v>
      </c>
      <c r="U69" s="256" t="n">
        <f aca="false">U67+U68</f>
        <v>0</v>
      </c>
      <c r="V69" s="256" t="n">
        <f aca="false">V67+V68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rowBreaks count="1" manualBreakCount="1">
    <brk id="3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42"/>
    <col collapsed="false" customWidth="true" hidden="false" outlineLevel="0" max="2" min="2" style="1" width="8.28"/>
    <col collapsed="false" customWidth="true" hidden="false" outlineLevel="0" max="5" min="3" style="1" width="9.28"/>
    <col collapsed="false" customWidth="true" hidden="false" outlineLevel="0" max="21" min="6" style="1" width="8.7"/>
    <col collapsed="false" customWidth="false" hidden="false" outlineLevel="0" max="22" min="22" style="4" width="9.14"/>
    <col collapsed="false" customWidth="true" hidden="false" outlineLevel="0" max="24" min="23" style="4" width="10.85"/>
    <col collapsed="false" customWidth="true" hidden="false" outlineLevel="0" max="25" min="25" style="4" width="4.7"/>
    <col collapsed="false" customWidth="false" hidden="false" outlineLevel="0" max="257" min="26" style="4" width="9.14"/>
  </cols>
  <sheetData>
    <row r="2" customFormat="false" ht="18" hidden="false" customHeight="false" outlineLevel="0" collapsed="false">
      <c r="A2" s="291" t="s">
        <v>177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92"/>
      <c r="W2" s="292"/>
    </row>
    <row r="3" customFormat="false" ht="12.75" hidden="false" customHeight="false" outlineLevel="0" collapsed="false">
      <c r="A3" s="293"/>
      <c r="B3" s="294"/>
      <c r="C3" s="294"/>
      <c r="D3" s="294"/>
      <c r="E3" s="294"/>
      <c r="F3" s="294"/>
      <c r="G3" s="295"/>
      <c r="H3" s="294"/>
      <c r="I3" s="294"/>
      <c r="J3" s="294"/>
      <c r="K3" s="294"/>
      <c r="L3" s="294"/>
      <c r="M3" s="295"/>
      <c r="N3" s="294"/>
      <c r="O3" s="294"/>
      <c r="P3" s="294"/>
      <c r="Q3" s="294"/>
      <c r="R3" s="294"/>
      <c r="S3" s="295"/>
      <c r="T3" s="294"/>
      <c r="U3" s="294"/>
      <c r="V3" s="296"/>
      <c r="W3" s="296"/>
    </row>
    <row r="4" customFormat="false" ht="12.75" hidden="false" customHeight="false" outlineLevel="0" collapsed="false">
      <c r="A4" s="248"/>
      <c r="B4" s="297" t="n">
        <v>3</v>
      </c>
      <c r="C4" s="297" t="n">
        <v>4</v>
      </c>
      <c r="D4" s="297" t="n">
        <v>5</v>
      </c>
      <c r="E4" s="298" t="n">
        <v>6</v>
      </c>
      <c r="F4" s="297" t="n">
        <v>7</v>
      </c>
      <c r="G4" s="297" t="n">
        <v>8</v>
      </c>
      <c r="H4" s="297" t="n">
        <v>9</v>
      </c>
      <c r="I4" s="297" t="n">
        <v>10</v>
      </c>
      <c r="J4" s="297" t="n">
        <v>11</v>
      </c>
      <c r="K4" s="298" t="n">
        <v>12</v>
      </c>
      <c r="L4" s="297" t="n">
        <v>13</v>
      </c>
      <c r="M4" s="297" t="n">
        <v>14</v>
      </c>
      <c r="N4" s="297" t="n">
        <v>15</v>
      </c>
      <c r="O4" s="297" t="n">
        <v>16</v>
      </c>
      <c r="P4" s="297" t="n">
        <v>17</v>
      </c>
      <c r="Q4" s="298" t="n">
        <v>18</v>
      </c>
      <c r="R4" s="297" t="n">
        <v>19</v>
      </c>
      <c r="S4" s="297" t="n">
        <v>20</v>
      </c>
      <c r="T4" s="297" t="n">
        <v>21</v>
      </c>
      <c r="U4" s="297" t="n">
        <v>22</v>
      </c>
      <c r="V4" s="299"/>
      <c r="W4" s="296"/>
    </row>
    <row r="5" customFormat="false" ht="13.5" hidden="false" customHeight="false" outlineLevel="0" collapsed="false">
      <c r="A5" s="154" t="s">
        <v>101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</row>
    <row r="6" customFormat="false" ht="12.75" hidden="false" customHeight="false" outlineLevel="0" collapsed="false">
      <c r="A6" s="248"/>
      <c r="B6" s="300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</row>
    <row r="7" customFormat="false" ht="12.75" hidden="false" customHeight="false" outlineLevel="0" collapsed="false">
      <c r="A7" s="301" t="s">
        <v>178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02"/>
      <c r="W7" s="302"/>
    </row>
    <row r="8" customFormat="false" ht="13.5" hidden="false" customHeight="false" outlineLevel="0" collapsed="false">
      <c r="A8" s="40" t="s">
        <v>179</v>
      </c>
      <c r="B8" s="303" t="n">
        <f aca="false">SUM(Wheatland!B100,Wilton!B91,Gleason!B97)</f>
        <v>1871.44969172303</v>
      </c>
      <c r="C8" s="303" t="n">
        <f aca="false">SUM(Wheatland!C100,Wilton!C91,Gleason!C97)</f>
        <v>534.013032389125</v>
      </c>
      <c r="D8" s="303" t="n">
        <f aca="false">SUM(Wheatland!D100,Wilton!D91,Gleason!D97)</f>
        <v>967.579234039856</v>
      </c>
      <c r="E8" s="303" t="n">
        <f aca="false">SUM(Wheatland!E100,Wilton!E91,Gleason!E97)</f>
        <v>1501.91849704118</v>
      </c>
      <c r="F8" s="303" t="n">
        <f aca="false">SUM(Wheatland!F100,Wilton!F91,Gleason!F97)</f>
        <v>2777.54133568052</v>
      </c>
      <c r="G8" s="303" t="n">
        <f aca="false">SUM(Wheatland!G100,Wilton!G91,Gleason!G97)</f>
        <v>3350.50058609227</v>
      </c>
      <c r="H8" s="303" t="n">
        <f aca="false">SUM(Wheatland!H100,Wilton!H91,Gleason!H97)</f>
        <v>3752.33646743763</v>
      </c>
      <c r="I8" s="303" t="n">
        <f aca="false">SUM(Wheatland!I100,Wilton!I91,Gleason!I97)</f>
        <v>3995.33720864021</v>
      </c>
      <c r="J8" s="303" t="n">
        <f aca="false">SUM(Wheatland!J100,Wilton!J91,Gleason!J97)</f>
        <v>4275.44128873011</v>
      </c>
      <c r="K8" s="303" t="n">
        <f aca="false">SUM(Wheatland!K100,Wilton!K91,Gleason!K97)</f>
        <v>4555.12380848361</v>
      </c>
      <c r="L8" s="303" t="n">
        <f aca="false">SUM(Wheatland!L100,Wilton!L91,Gleason!L97)</f>
        <v>4824.96071855632</v>
      </c>
      <c r="M8" s="303" t="n">
        <f aca="false">SUM(Wheatland!M100,Wilton!M91,Gleason!M97)</f>
        <v>5105.11802113696</v>
      </c>
      <c r="N8" s="303" t="n">
        <f aca="false">SUM(Wheatland!N100,Wilton!N91,Gleason!N97)</f>
        <v>5395.45038792625</v>
      </c>
      <c r="O8" s="303" t="n">
        <f aca="false">SUM(Wheatland!O100,Wilton!O91,Gleason!O97)</f>
        <v>5706.13739200577</v>
      </c>
      <c r="P8" s="303" t="n">
        <f aca="false">SUM(Wheatland!P100,Wilton!P91,Gleason!P97)</f>
        <v>6015.25371515397</v>
      </c>
      <c r="Q8" s="303" t="n">
        <f aca="false">SUM(Wheatland!Q100,Wilton!Q91,Gleason!Q97)</f>
        <v>7793.13170853154</v>
      </c>
      <c r="R8" s="303" t="n">
        <f aca="false">SUM(Wheatland!R100,Wilton!R91,Gleason!R97)</f>
        <v>9560.56943062575</v>
      </c>
      <c r="S8" s="303" t="n">
        <f aca="false">SUM(Wheatland!S100,Wilton!S91,Gleason!S97)</f>
        <v>9921.55320687978</v>
      </c>
      <c r="T8" s="303" t="n">
        <f aca="false">SUM(Wheatland!T100,Wilton!T91,Gleason!T97)</f>
        <v>10304.844397419</v>
      </c>
      <c r="U8" s="303" t="n">
        <f aca="false">SUM(Wheatland!U100,Wilton!U91,Gleason!U97)</f>
        <v>10712.324086249</v>
      </c>
      <c r="V8" s="304"/>
      <c r="W8" s="160" t="n">
        <f aca="false">SUM(B8:U8)</f>
        <v>102920.584214742</v>
      </c>
      <c r="X8" s="256" t="n">
        <f aca="false">SUM(Gleason!W97,Wheatland!W100,Wilton!W91)</f>
        <v>102920.584214742</v>
      </c>
      <c r="Y8" s="152" t="n">
        <f aca="false">W8-X8</f>
        <v>0</v>
      </c>
    </row>
    <row r="9" customFormat="false" ht="12.75" hidden="false" customHeight="false" outlineLevel="0" collapsed="false">
      <c r="A9" s="4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304"/>
      <c r="W9" s="304"/>
    </row>
    <row r="10" customFormat="false" ht="12.75" hidden="false" customHeight="false" outlineLevel="0" collapsed="false">
      <c r="A10" s="24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305"/>
      <c r="W10" s="305"/>
    </row>
    <row r="11" customFormat="false" ht="12.75" hidden="false" customHeight="false" outlineLevel="0" collapsed="false">
      <c r="A11" s="301" t="s">
        <v>180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305"/>
      <c r="W11" s="305"/>
    </row>
    <row r="12" customFormat="false" ht="12.75" hidden="false" customHeight="false" outlineLevel="0" collapsed="false">
      <c r="A12" s="24" t="s">
        <v>181</v>
      </c>
      <c r="B12" s="172" t="n">
        <f aca="false">IS!B35</f>
        <v>40340.2174503917</v>
      </c>
      <c r="C12" s="172" t="n">
        <f aca="false">IS!C35</f>
        <v>46122.4187666213</v>
      </c>
      <c r="D12" s="172" t="n">
        <f aca="false">IS!D35</f>
        <v>52389.9547541787</v>
      </c>
      <c r="E12" s="172" t="n">
        <f aca="false">IS!E35</f>
        <v>59076.1809088205</v>
      </c>
      <c r="F12" s="172" t="n">
        <f aca="false">IS!F35</f>
        <v>66444.4620736315</v>
      </c>
      <c r="G12" s="172" t="n">
        <f aca="false">IS!G35</f>
        <v>69750.3756005109</v>
      </c>
      <c r="H12" s="172" t="n">
        <f aca="false">IS!H35</f>
        <v>73178.920626048</v>
      </c>
      <c r="I12" s="172" t="n">
        <f aca="false">IS!I35</f>
        <v>76672.5228716082</v>
      </c>
      <c r="J12" s="172" t="n">
        <f aca="false">IS!J35</f>
        <v>80542.4064362682</v>
      </c>
      <c r="K12" s="172" t="n">
        <f aca="false">IS!K35</f>
        <v>84532.1853958354</v>
      </c>
      <c r="L12" s="172" t="n">
        <f aca="false">IS!L35</f>
        <v>88352.7459933048</v>
      </c>
      <c r="M12" s="172" t="n">
        <f aca="false">IS!M35</f>
        <v>92438.8992492087</v>
      </c>
      <c r="N12" s="172" t="n">
        <f aca="false">IS!N35</f>
        <v>96481.624443245</v>
      </c>
      <c r="O12" s="172" t="n">
        <f aca="false">IS!O35</f>
        <v>101003.913030052</v>
      </c>
      <c r="P12" s="172" t="n">
        <f aca="false">IS!P35</f>
        <v>105302.86046163</v>
      </c>
      <c r="Q12" s="172" t="n">
        <f aca="false">IS!Q35</f>
        <v>110425.090330667</v>
      </c>
      <c r="R12" s="172" t="n">
        <f aca="false">IS!R35</f>
        <v>115312.498445916</v>
      </c>
      <c r="S12" s="172" t="n">
        <f aca="false">IS!S35</f>
        <v>120439.481024026</v>
      </c>
      <c r="T12" s="172" t="n">
        <f aca="false">IS!T35</f>
        <v>125883.393588831</v>
      </c>
      <c r="U12" s="172" t="n">
        <f aca="false">IS!U35</f>
        <v>131670.973440366</v>
      </c>
      <c r="V12" s="305"/>
      <c r="W12" s="160" t="n">
        <f aca="false">SUM(B12:U12)</f>
        <v>1736361.12489116</v>
      </c>
      <c r="X12" s="256" t="n">
        <f aca="false">SUM(Wheatland!W84,Wilton!W77,Gleason!W83)</f>
        <v>1736361.12489116</v>
      </c>
      <c r="Y12" s="152" t="n">
        <f aca="false">W12-X12</f>
        <v>0</v>
      </c>
    </row>
    <row r="13" customFormat="false" ht="12.75" hidden="false" customHeight="false" outlineLevel="0" collapsed="false">
      <c r="A13" s="24" t="s">
        <v>182</v>
      </c>
      <c r="B13" s="172" t="n">
        <f aca="false">IS!B29</f>
        <v>23697.6543571074</v>
      </c>
      <c r="C13" s="172" t="n">
        <f aca="false">IS!C29</f>
        <v>23697.6543571074</v>
      </c>
      <c r="D13" s="172" t="n">
        <f aca="false">IS!D29</f>
        <v>23697.6543571074</v>
      </c>
      <c r="E13" s="172" t="n">
        <f aca="false">IS!E29</f>
        <v>23697.6543571074</v>
      </c>
      <c r="F13" s="172" t="n">
        <f aca="false">IS!F29</f>
        <v>23697.6543571074</v>
      </c>
      <c r="G13" s="172" t="n">
        <f aca="false">IS!G29</f>
        <v>23697.6543571074</v>
      </c>
      <c r="H13" s="172" t="n">
        <f aca="false">IS!H29</f>
        <v>23697.6543571074</v>
      </c>
      <c r="I13" s="172" t="n">
        <f aca="false">IS!I29</f>
        <v>23697.6543571074</v>
      </c>
      <c r="J13" s="172" t="n">
        <f aca="false">IS!J29</f>
        <v>23697.6543571074</v>
      </c>
      <c r="K13" s="172" t="n">
        <f aca="false">IS!K29</f>
        <v>23697.6543571074</v>
      </c>
      <c r="L13" s="172" t="n">
        <f aca="false">IS!L29</f>
        <v>23697.6543571074</v>
      </c>
      <c r="M13" s="172" t="n">
        <f aca="false">IS!M29</f>
        <v>23697.6543571074</v>
      </c>
      <c r="N13" s="172" t="n">
        <f aca="false">IS!N29</f>
        <v>23697.6543571074</v>
      </c>
      <c r="O13" s="172" t="n">
        <f aca="false">IS!O29</f>
        <v>23697.6543571074</v>
      </c>
      <c r="P13" s="172" t="n">
        <f aca="false">IS!P29</f>
        <v>23697.6543571074</v>
      </c>
      <c r="Q13" s="172" t="n">
        <f aca="false">IS!Q29</f>
        <v>23697.6543571074</v>
      </c>
      <c r="R13" s="172" t="n">
        <f aca="false">IS!R29</f>
        <v>23697.6543571074</v>
      </c>
      <c r="S13" s="172" t="n">
        <f aca="false">IS!S29</f>
        <v>23697.6543571074</v>
      </c>
      <c r="T13" s="172" t="n">
        <f aca="false">IS!T29</f>
        <v>23697.6543571074</v>
      </c>
      <c r="U13" s="172" t="n">
        <f aca="false">IS!U29</f>
        <v>23697.6543571074</v>
      </c>
      <c r="V13" s="305"/>
      <c r="W13" s="160" t="n">
        <f aca="false">SUM(B13:U13)</f>
        <v>473953.087142148</v>
      </c>
      <c r="X13" s="256" t="n">
        <f aca="false">SUM(Wheatland!W85,Wilton!W78,Gleason!W84)</f>
        <v>473953.087142148</v>
      </c>
      <c r="Y13" s="152" t="n">
        <f aca="false">W13-X13</f>
        <v>0</v>
      </c>
    </row>
    <row r="14" customFormat="false" ht="12.75" hidden="false" customHeight="false" outlineLevel="0" collapsed="false">
      <c r="A14" s="24" t="s">
        <v>183</v>
      </c>
      <c r="B14" s="172" t="n">
        <f aca="false">-Depreciation!C62</f>
        <v>-39496.090595179</v>
      </c>
      <c r="C14" s="172" t="n">
        <f aca="false">-Depreciation!D62</f>
        <v>-75042.5721308402</v>
      </c>
      <c r="D14" s="172" t="n">
        <f aca="false">-Depreciation!E62</f>
        <v>-67538.3149177562</v>
      </c>
      <c r="E14" s="172" t="n">
        <f aca="false">-Depreciation!F62</f>
        <v>-60823.9795165757</v>
      </c>
      <c r="F14" s="172" t="n">
        <f aca="false">-Depreciation!G62</f>
        <v>-54741.5815649181</v>
      </c>
      <c r="G14" s="172" t="n">
        <f aca="false">-Depreciation!H62</f>
        <v>-49212.1288815931</v>
      </c>
      <c r="H14" s="172" t="n">
        <f aca="false">-Depreciation!I62</f>
        <v>-46605.3869023113</v>
      </c>
      <c r="I14" s="172" t="n">
        <f aca="false">-Depreciation!J62</f>
        <v>-46684.3790835016</v>
      </c>
      <c r="J14" s="172" t="n">
        <f aca="false">-Depreciation!K62</f>
        <v>-46605.3869023113</v>
      </c>
      <c r="K14" s="172" t="n">
        <f aca="false">-Depreciation!L62</f>
        <v>-46684.3790835016</v>
      </c>
      <c r="L14" s="172" t="n">
        <f aca="false">-Depreciation!M62</f>
        <v>-46605.3869023113</v>
      </c>
      <c r="M14" s="172" t="n">
        <f aca="false">-Depreciation!N62</f>
        <v>-46684.3790835016</v>
      </c>
      <c r="N14" s="172" t="n">
        <f aca="false">-Depreciation!O62</f>
        <v>-46605.3869023113</v>
      </c>
      <c r="O14" s="172" t="n">
        <f aca="false">-Depreciation!P62</f>
        <v>-46684.3790835016</v>
      </c>
      <c r="P14" s="172" t="n">
        <f aca="false">-Depreciation!Q62</f>
        <v>-46605.3869023113</v>
      </c>
      <c r="Q14" s="172" t="n">
        <f aca="false">-Depreciation!R62</f>
        <v>-23302.6934511556</v>
      </c>
      <c r="R14" s="172" t="n">
        <f aca="false">-Depreciation!S62</f>
        <v>-0</v>
      </c>
      <c r="S14" s="172" t="n">
        <f aca="false">-Depreciation!T62</f>
        <v>-0</v>
      </c>
      <c r="T14" s="172" t="n">
        <f aca="false">-Depreciation!U62</f>
        <v>-0</v>
      </c>
      <c r="U14" s="172" t="n">
        <f aca="false">-Depreciation!V62</f>
        <v>-0</v>
      </c>
      <c r="V14" s="305"/>
      <c r="W14" s="160" t="n">
        <f aca="false">SUM(B14:U14)</f>
        <v>-789921.811903581</v>
      </c>
      <c r="X14" s="256" t="n">
        <f aca="false">SUM(Wheatland!W86,Wilton!W79,Gleason!W85)</f>
        <v>-789921.811903581</v>
      </c>
      <c r="Y14" s="152" t="n">
        <f aca="false">W14-X14</f>
        <v>0</v>
      </c>
    </row>
    <row r="15" customFormat="false" ht="15" hidden="false" customHeight="false" outlineLevel="0" collapsed="false">
      <c r="A15" s="24" t="s">
        <v>184</v>
      </c>
      <c r="B15" s="197" t="n">
        <f aca="false">-B8</f>
        <v>-1871.44969172303</v>
      </c>
      <c r="C15" s="197" t="n">
        <f aca="false">-C8</f>
        <v>-534.013032389125</v>
      </c>
      <c r="D15" s="197" t="n">
        <f aca="false">-D8</f>
        <v>-967.579234039856</v>
      </c>
      <c r="E15" s="197" t="n">
        <f aca="false">-E8</f>
        <v>-1501.91849704118</v>
      </c>
      <c r="F15" s="197" t="n">
        <f aca="false">-F8</f>
        <v>-2777.54133568052</v>
      </c>
      <c r="G15" s="197" t="n">
        <f aca="false">-G8</f>
        <v>-3350.50058609227</v>
      </c>
      <c r="H15" s="197" t="n">
        <f aca="false">-H8</f>
        <v>-3752.33646743763</v>
      </c>
      <c r="I15" s="197" t="n">
        <f aca="false">-I8</f>
        <v>-3995.33720864021</v>
      </c>
      <c r="J15" s="197" t="n">
        <f aca="false">-J8</f>
        <v>-4275.44128873011</v>
      </c>
      <c r="K15" s="197" t="n">
        <f aca="false">-K8</f>
        <v>-4555.12380848361</v>
      </c>
      <c r="L15" s="197" t="n">
        <f aca="false">-L8</f>
        <v>-4824.96071855632</v>
      </c>
      <c r="M15" s="197" t="n">
        <f aca="false">-M8</f>
        <v>-5105.11802113696</v>
      </c>
      <c r="N15" s="197" t="n">
        <f aca="false">-N8</f>
        <v>-5395.45038792625</v>
      </c>
      <c r="O15" s="197" t="n">
        <f aca="false">-O8</f>
        <v>-5706.13739200577</v>
      </c>
      <c r="P15" s="197" t="n">
        <f aca="false">-P8</f>
        <v>-6015.25371515397</v>
      </c>
      <c r="Q15" s="197" t="n">
        <f aca="false">-Q8</f>
        <v>-7793.13170853154</v>
      </c>
      <c r="R15" s="197" t="n">
        <f aca="false">-R8</f>
        <v>-9560.56943062575</v>
      </c>
      <c r="S15" s="197" t="n">
        <f aca="false">-S8</f>
        <v>-9921.55320687978</v>
      </c>
      <c r="T15" s="197" t="n">
        <f aca="false">-T8</f>
        <v>-10304.844397419</v>
      </c>
      <c r="U15" s="197" t="n">
        <f aca="false">-U8</f>
        <v>-10712.324086249</v>
      </c>
      <c r="V15" s="306"/>
      <c r="W15" s="160" t="n">
        <f aca="false">SUM(B15:U15)</f>
        <v>-102920.584214742</v>
      </c>
      <c r="X15" s="256" t="n">
        <f aca="false">SUM(Gleason!W97,Wheatland!W100,Wilton!W91)</f>
        <v>102920.584214742</v>
      </c>
      <c r="Y15" s="152" t="n">
        <f aca="false">X15+W15</f>
        <v>0</v>
      </c>
    </row>
    <row r="16" customFormat="false" ht="12.75" hidden="false" customHeight="false" outlineLevel="0" collapsed="false">
      <c r="A16" s="307" t="s">
        <v>185</v>
      </c>
      <c r="B16" s="160" t="n">
        <f aca="false">SUM(B12:B15)</f>
        <v>22670.331520597</v>
      </c>
      <c r="C16" s="160" t="n">
        <f aca="false">SUM(C12:C15)</f>
        <v>-5756.51203950052</v>
      </c>
      <c r="D16" s="160" t="n">
        <f aca="false">SUM(D12:D15)</f>
        <v>7581.71495949013</v>
      </c>
      <c r="E16" s="160" t="n">
        <f aca="false">SUM(E12:E15)</f>
        <v>20447.937252311</v>
      </c>
      <c r="F16" s="160" t="n">
        <f aca="false">SUM(F12:F15)</f>
        <v>32622.9935301403</v>
      </c>
      <c r="G16" s="160" t="n">
        <f aca="false">SUM(G12:G15)</f>
        <v>40885.4004899329</v>
      </c>
      <c r="H16" s="160" t="n">
        <f aca="false">SUM(H12:H15)</f>
        <v>46518.8516134065</v>
      </c>
      <c r="I16" s="160" t="n">
        <f aca="false">SUM(I12:I15)</f>
        <v>49690.4609365738</v>
      </c>
      <c r="J16" s="160" t="n">
        <f aca="false">SUM(J12:J15)</f>
        <v>53359.2326023343</v>
      </c>
      <c r="K16" s="160" t="n">
        <f aca="false">SUM(K12:K15)</f>
        <v>56990.3368609576</v>
      </c>
      <c r="L16" s="160" t="n">
        <f aca="false">SUM(L12:L15)</f>
        <v>60620.0527295447</v>
      </c>
      <c r="M16" s="160" t="n">
        <f aca="false">SUM(M12:M15)</f>
        <v>64347.0565016776</v>
      </c>
      <c r="N16" s="160" t="n">
        <f aca="false">SUM(N12:N15)</f>
        <v>68178.4415101149</v>
      </c>
      <c r="O16" s="160" t="n">
        <f aca="false">SUM(O12:O15)</f>
        <v>72311.0509116525</v>
      </c>
      <c r="P16" s="160" t="n">
        <f aca="false">SUM(P12:P15)</f>
        <v>76379.8742012726</v>
      </c>
      <c r="Q16" s="160" t="n">
        <f aca="false">SUM(Q12:Q15)</f>
        <v>103026.919528087</v>
      </c>
      <c r="R16" s="160" t="n">
        <f aca="false">SUM(R12:R15)</f>
        <v>129449.583372398</v>
      </c>
      <c r="S16" s="160" t="n">
        <f aca="false">SUM(S12:S15)</f>
        <v>134215.582174253</v>
      </c>
      <c r="T16" s="160" t="n">
        <f aca="false">SUM(T12:T15)</f>
        <v>139276.203548519</v>
      </c>
      <c r="U16" s="160" t="n">
        <f aca="false">SUM(U12:U15)</f>
        <v>144656.303711225</v>
      </c>
      <c r="V16" s="304"/>
      <c r="W16" s="160"/>
      <c r="X16" s="256"/>
      <c r="Y16" s="152"/>
    </row>
    <row r="17" customFormat="false" ht="12.75" hidden="false" customHeight="false" outlineLevel="0" collapsed="false">
      <c r="A17" s="307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304"/>
      <c r="W17" s="304"/>
    </row>
    <row r="18" customFormat="false" ht="12.75" hidden="false" customHeight="false" outlineLevel="0" collapsed="false">
      <c r="A18" s="24" t="s">
        <v>186</v>
      </c>
      <c r="B18" s="308" t="n">
        <f aca="false">Assumptions!$G$37</f>
        <v>0.35</v>
      </c>
      <c r="C18" s="308" t="n">
        <f aca="false">Assumptions!$G$37</f>
        <v>0.35</v>
      </c>
      <c r="D18" s="308" t="n">
        <f aca="false">Assumptions!$G$37</f>
        <v>0.35</v>
      </c>
      <c r="E18" s="308" t="n">
        <f aca="false">Assumptions!$G$37</f>
        <v>0.35</v>
      </c>
      <c r="F18" s="308" t="n">
        <f aca="false">Assumptions!$G$37</f>
        <v>0.35</v>
      </c>
      <c r="G18" s="308" t="n">
        <f aca="false">Assumptions!$G$37</f>
        <v>0.35</v>
      </c>
      <c r="H18" s="308" t="n">
        <f aca="false">Assumptions!$G$37</f>
        <v>0.35</v>
      </c>
      <c r="I18" s="308" t="n">
        <f aca="false">Assumptions!$G$37</f>
        <v>0.35</v>
      </c>
      <c r="J18" s="308" t="n">
        <f aca="false">Assumptions!$G$37</f>
        <v>0.35</v>
      </c>
      <c r="K18" s="308" t="n">
        <f aca="false">Assumptions!$G$37</f>
        <v>0.35</v>
      </c>
      <c r="L18" s="308" t="n">
        <f aca="false">Assumptions!$G$37</f>
        <v>0.35</v>
      </c>
      <c r="M18" s="308" t="n">
        <f aca="false">Assumptions!$G$37</f>
        <v>0.35</v>
      </c>
      <c r="N18" s="308" t="n">
        <f aca="false">Assumptions!$G$37</f>
        <v>0.35</v>
      </c>
      <c r="O18" s="308" t="n">
        <f aca="false">Assumptions!$G$37</f>
        <v>0.35</v>
      </c>
      <c r="P18" s="308" t="n">
        <f aca="false">Assumptions!$G$37</f>
        <v>0.35</v>
      </c>
      <c r="Q18" s="308" t="n">
        <f aca="false">Assumptions!$G$37</f>
        <v>0.35</v>
      </c>
      <c r="R18" s="308" t="n">
        <f aca="false">Assumptions!$G$37</f>
        <v>0.35</v>
      </c>
      <c r="S18" s="308" t="n">
        <f aca="false">Assumptions!$G$37</f>
        <v>0.35</v>
      </c>
      <c r="T18" s="308" t="n">
        <f aca="false">Assumptions!$G$37</f>
        <v>0.35</v>
      </c>
      <c r="U18" s="308" t="n">
        <f aca="false">Assumptions!$G$37</f>
        <v>0.35</v>
      </c>
      <c r="V18" s="309"/>
      <c r="W18" s="309"/>
    </row>
    <row r="19" customFormat="false" ht="12.75" hidden="false" customHeight="false" outlineLevel="0" collapsed="false">
      <c r="A19" s="307" t="s">
        <v>187</v>
      </c>
      <c r="B19" s="160" t="n">
        <f aca="false">B16*B18</f>
        <v>7934.61603220895</v>
      </c>
      <c r="C19" s="160" t="n">
        <f aca="false">C16*C18</f>
        <v>-2014.77921382518</v>
      </c>
      <c r="D19" s="160" t="n">
        <f aca="false">D16*D18</f>
        <v>2653.60023582155</v>
      </c>
      <c r="E19" s="160" t="n">
        <f aca="false">E16*E18</f>
        <v>7156.77803830886</v>
      </c>
      <c r="F19" s="160" t="n">
        <f aca="false">F16*F18</f>
        <v>11418.0477355491</v>
      </c>
      <c r="G19" s="160" t="n">
        <f aca="false">G16*G18</f>
        <v>14309.8901714765</v>
      </c>
      <c r="H19" s="160" t="n">
        <f aca="false">H16*H18</f>
        <v>16281.5980646923</v>
      </c>
      <c r="I19" s="160" t="n">
        <f aca="false">I16*I18</f>
        <v>17391.6613278008</v>
      </c>
      <c r="J19" s="160" t="n">
        <f aca="false">J16*J18</f>
        <v>18675.731410817</v>
      </c>
      <c r="K19" s="160" t="n">
        <f aca="false">K16*K18</f>
        <v>19946.6179013352</v>
      </c>
      <c r="L19" s="160" t="n">
        <f aca="false">L16*L18</f>
        <v>21217.0184553406</v>
      </c>
      <c r="M19" s="160" t="n">
        <f aca="false">M16*M18</f>
        <v>22521.4697755872</v>
      </c>
      <c r="N19" s="160" t="n">
        <f aca="false">N16*N18</f>
        <v>23862.4545285402</v>
      </c>
      <c r="O19" s="160" t="n">
        <f aca="false">O16*O18</f>
        <v>25308.8678190784</v>
      </c>
      <c r="P19" s="160" t="n">
        <f aca="false">P16*P18</f>
        <v>26732.9559704454</v>
      </c>
      <c r="Q19" s="160" t="n">
        <f aca="false">Q16*Q18</f>
        <v>36059.4218348306</v>
      </c>
      <c r="R19" s="160" t="n">
        <f aca="false">R16*R18</f>
        <v>45307.3541803392</v>
      </c>
      <c r="S19" s="160" t="n">
        <f aca="false">S16*S18</f>
        <v>46975.4537609887</v>
      </c>
      <c r="T19" s="160" t="n">
        <f aca="false">T16*T18</f>
        <v>48746.6712419818</v>
      </c>
      <c r="U19" s="160" t="n">
        <f aca="false">U16*U18</f>
        <v>50629.7062989287</v>
      </c>
      <c r="V19" s="305"/>
      <c r="W19" s="305"/>
    </row>
    <row r="20" customFormat="false" ht="12.75" hidden="false" customHeight="false" outlineLevel="0" collapsed="false">
      <c r="A20" s="1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305"/>
      <c r="W20" s="305"/>
    </row>
    <row r="21" customFormat="false" ht="12.75" hidden="false" customHeight="false" outlineLevel="0" collapsed="false">
      <c r="A21" s="12" t="s">
        <v>188</v>
      </c>
      <c r="B21" s="172" t="n">
        <f aca="false">IF(B19&lt;0,-B19,0)</f>
        <v>0</v>
      </c>
      <c r="C21" s="172" t="n">
        <f aca="false">IF(C19&lt;0,-C19+B21-B22,B21-B22)</f>
        <v>2014.77921382518</v>
      </c>
      <c r="D21" s="172" t="n">
        <f aca="false">IF(D19&lt;0,-D19+C21-C22,C21-C22)</f>
        <v>2014.77921382518</v>
      </c>
      <c r="E21" s="172" t="n">
        <f aca="false">IF(E19&lt;0,-E19+D21-D22,D21-D22)</f>
        <v>0</v>
      </c>
      <c r="F21" s="172" t="n">
        <f aca="false">IF(F19&lt;0,-F19+E21-E22,E21-E22)</f>
        <v>0</v>
      </c>
      <c r="G21" s="172" t="n">
        <f aca="false">IF(G19&lt;0,-G19+F21-F22,F21-F22)</f>
        <v>0</v>
      </c>
      <c r="H21" s="172" t="n">
        <f aca="false">IF(H19&lt;0,-H19+G21-G22,G21-G22)</f>
        <v>0</v>
      </c>
      <c r="I21" s="172" t="n">
        <f aca="false">IF(I19&lt;0,-I19+H21-H22,H21-H22)</f>
        <v>0</v>
      </c>
      <c r="J21" s="172" t="n">
        <f aca="false">IF(J19&lt;0,-J19+I21-I22,I21-I22)</f>
        <v>0</v>
      </c>
      <c r="K21" s="172" t="n">
        <f aca="false">IF(K19&lt;0,-K19+J21-J22,J21-J22)</f>
        <v>0</v>
      </c>
      <c r="L21" s="172" t="n">
        <f aca="false">IF(L19&lt;0,-L19+K21-K22,K21-K22)</f>
        <v>0</v>
      </c>
      <c r="M21" s="172" t="n">
        <f aca="false">IF(M19&lt;0,-M19+L21-L22,L21-L22)</f>
        <v>0</v>
      </c>
      <c r="N21" s="172" t="n">
        <f aca="false">IF(N19&lt;0,-N19+M21-M22,M21-M22)</f>
        <v>0</v>
      </c>
      <c r="O21" s="172" t="n">
        <f aca="false">IF(O19&lt;0,-O19+N21-N22,N21-N22)</f>
        <v>0</v>
      </c>
      <c r="P21" s="172" t="n">
        <f aca="false">IF(P19&lt;0,-P19+O21-O22,O21-O22)</f>
        <v>0</v>
      </c>
      <c r="Q21" s="172" t="n">
        <f aca="false">IF(Q19&lt;0,-Q19+P21-P22,P21-P22)</f>
        <v>0</v>
      </c>
      <c r="R21" s="172" t="n">
        <f aca="false">IF(R19&lt;0,-R19+Q21-Q22,Q21-Q22)</f>
        <v>0</v>
      </c>
      <c r="S21" s="172" t="n">
        <f aca="false">IF(S19&lt;0,-S19+R21-R22,R21-R22)</f>
        <v>0</v>
      </c>
      <c r="T21" s="172" t="n">
        <f aca="false">IF(T19&lt;0,-T19+S21-S22,S21-S22)</f>
        <v>0</v>
      </c>
      <c r="U21" s="172" t="n">
        <f aca="false">IF(U19&lt;0,-U19+T21-T22,T21-T22)</f>
        <v>0</v>
      </c>
      <c r="V21" s="305"/>
      <c r="W21" s="305"/>
    </row>
    <row r="22" customFormat="false" ht="12.75" hidden="false" customHeight="false" outlineLevel="0" collapsed="false">
      <c r="A22" s="12" t="s">
        <v>189</v>
      </c>
      <c r="B22" s="172" t="n">
        <f aca="false">IF(B19&lt;0,0,IF(B21&gt;B19,B19,B21))</f>
        <v>0</v>
      </c>
      <c r="C22" s="172" t="n">
        <f aca="false">IF(C19&lt;0,0,IF(C21&gt;C19,C19,C21))</f>
        <v>0</v>
      </c>
      <c r="D22" s="172" t="n">
        <f aca="false">IF(D19&lt;0,0,IF(D21&gt;D19,D19,D21))</f>
        <v>2014.77921382518</v>
      </c>
      <c r="E22" s="172" t="n">
        <f aca="false">IF(E19&lt;0,0,IF(E21&gt;E19,E19,E21))</f>
        <v>0</v>
      </c>
      <c r="F22" s="172" t="n">
        <f aca="false">IF(F19&lt;0,0,IF(F21&gt;F19,F19,F21))</f>
        <v>0</v>
      </c>
      <c r="G22" s="172" t="n">
        <f aca="false">IF(G19&lt;0,0,IF(G21&gt;G19,G19,G21))</f>
        <v>0</v>
      </c>
      <c r="H22" s="172" t="n">
        <f aca="false">IF(H19&lt;0,0,IF(H21&gt;H19,H19,H21))</f>
        <v>0</v>
      </c>
      <c r="I22" s="172" t="n">
        <f aca="false">IF(I19&lt;0,0,IF(I21&gt;I19,I19,I21))</f>
        <v>0</v>
      </c>
      <c r="J22" s="172" t="n">
        <f aca="false">IF(J19&lt;0,0,IF(J21&gt;J19,J19,J21))</f>
        <v>0</v>
      </c>
      <c r="K22" s="172" t="n">
        <f aca="false">IF(K19&lt;0,0,IF(K21&gt;K19,K19,K21))</f>
        <v>0</v>
      </c>
      <c r="L22" s="172" t="n">
        <f aca="false">IF(L19&lt;0,0,IF(L21&gt;L19,L19,L21))</f>
        <v>0</v>
      </c>
      <c r="M22" s="172" t="n">
        <f aca="false">IF(M19&lt;0,0,IF(M21&gt;M19,M19,M21))</f>
        <v>0</v>
      </c>
      <c r="N22" s="172" t="n">
        <f aca="false">IF(N19&lt;0,0,IF(N21&gt;N19,N19,N21))</f>
        <v>0</v>
      </c>
      <c r="O22" s="172" t="n">
        <f aca="false">IF(O19&lt;0,0,IF(O21&gt;O19,O19,O21))</f>
        <v>0</v>
      </c>
      <c r="P22" s="172" t="n">
        <f aca="false">IF(P19&lt;0,0,IF(P21&gt;P19,P19,P21))</f>
        <v>0</v>
      </c>
      <c r="Q22" s="172" t="n">
        <f aca="false">IF(Q19&lt;0,0,IF(Q21&gt;Q19,Q19,Q21))</f>
        <v>0</v>
      </c>
      <c r="R22" s="172" t="n">
        <f aca="false">IF(R19&lt;0,0,IF(R21&gt;R19,R19,R21))</f>
        <v>0</v>
      </c>
      <c r="S22" s="172" t="n">
        <f aca="false">IF(S19&lt;0,0,IF(S21&gt;S19,S19,S21))</f>
        <v>0</v>
      </c>
      <c r="T22" s="172" t="n">
        <f aca="false">IF(T19&lt;0,0,IF(T21&gt;T19,T19,T21))</f>
        <v>0</v>
      </c>
      <c r="U22" s="172" t="n">
        <f aca="false">IF(U19&lt;0,0,IF(U21&gt;U19,U19,U21))</f>
        <v>0</v>
      </c>
      <c r="V22" s="310"/>
      <c r="W22" s="310"/>
    </row>
    <row r="23" customFormat="false" ht="12.75" hidden="false" customHeight="false" outlineLevel="0" collapsed="false">
      <c r="A23" s="1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305"/>
      <c r="W23" s="305"/>
    </row>
    <row r="24" customFormat="false" ht="13.5" hidden="false" customHeight="false" outlineLevel="0" collapsed="false">
      <c r="A24" s="40" t="s">
        <v>190</v>
      </c>
      <c r="B24" s="311" t="n">
        <f aca="false">IF(B19&lt;0,0,(B19-B22))</f>
        <v>7934.61603220895</v>
      </c>
      <c r="C24" s="311" t="n">
        <f aca="false">IF(C19&lt;0,0,(C19-C22))</f>
        <v>0</v>
      </c>
      <c r="D24" s="311" t="n">
        <f aca="false">IF(D19&lt;0,0,(D19-D22))</f>
        <v>638.821021996365</v>
      </c>
      <c r="E24" s="311" t="n">
        <f aca="false">IF(E19&lt;0,0,(E19-E22))</f>
        <v>7156.77803830886</v>
      </c>
      <c r="F24" s="311" t="n">
        <f aca="false">IF(F19&lt;0,0,(F19-F22))</f>
        <v>11418.0477355491</v>
      </c>
      <c r="G24" s="311" t="n">
        <f aca="false">IF(G19&lt;0,0,(G19-G22))</f>
        <v>14309.8901714765</v>
      </c>
      <c r="H24" s="311" t="n">
        <f aca="false">IF(H19&lt;0,0,(H19-H22))</f>
        <v>16281.5980646923</v>
      </c>
      <c r="I24" s="311" t="n">
        <f aca="false">IF(I19&lt;0,0,(I19-I22))</f>
        <v>17391.6613278008</v>
      </c>
      <c r="J24" s="311" t="n">
        <f aca="false">IF(J19&lt;0,0,(J19-J22))</f>
        <v>18675.731410817</v>
      </c>
      <c r="K24" s="311" t="n">
        <f aca="false">IF(K19&lt;0,0,(K19-K22))</f>
        <v>19946.6179013352</v>
      </c>
      <c r="L24" s="311" t="n">
        <f aca="false">IF(L19&lt;0,0,(L19-L22))</f>
        <v>21217.0184553406</v>
      </c>
      <c r="M24" s="311" t="n">
        <f aca="false">IF(M19&lt;0,0,(M19-M22))</f>
        <v>22521.4697755872</v>
      </c>
      <c r="N24" s="311" t="n">
        <f aca="false">IF(N19&lt;0,0,(N19-N22))</f>
        <v>23862.4545285402</v>
      </c>
      <c r="O24" s="311" t="n">
        <f aca="false">IF(O19&lt;0,0,(O19-O22))</f>
        <v>25308.8678190784</v>
      </c>
      <c r="P24" s="311" t="n">
        <f aca="false">IF(P19&lt;0,0,(P19-P22))</f>
        <v>26732.9559704454</v>
      </c>
      <c r="Q24" s="311" t="n">
        <f aca="false">IF(Q19&lt;0,0,(Q19-Q22))</f>
        <v>36059.4218348306</v>
      </c>
      <c r="R24" s="311" t="n">
        <f aca="false">IF(R19&lt;0,0,(R19-R22))</f>
        <v>45307.3541803392</v>
      </c>
      <c r="S24" s="311" t="n">
        <f aca="false">IF(S19&lt;0,0,(S19-S22))</f>
        <v>46975.4537609887</v>
      </c>
      <c r="T24" s="311" t="n">
        <f aca="false">IF(T19&lt;0,0,(T19-T22))</f>
        <v>48746.6712419818</v>
      </c>
      <c r="U24" s="311" t="n">
        <f aca="false">IF(U19&lt;0,0,(U19-U22))</f>
        <v>50629.7062989287</v>
      </c>
      <c r="V24" s="304"/>
      <c r="W24" s="160" t="n">
        <f aca="false">SUM(B24:U24)</f>
        <v>461115.135570246</v>
      </c>
      <c r="X24" s="256" t="n">
        <f aca="false">SUM(Gleason!W56,Wheatland!W56,Wilton!W56)</f>
        <v>-461115.135570246</v>
      </c>
      <c r="Y24" s="152" t="n">
        <f aca="false">X24+W24</f>
        <v>0</v>
      </c>
    </row>
    <row r="2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colBreaks count="1" manualBreakCount="1">
    <brk id="11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48.7"/>
    <col collapsed="false" customWidth="true" hidden="false" outlineLevel="0" max="21" min="2" style="4" width="10.71"/>
    <col collapsed="false" customWidth="false" hidden="false" outlineLevel="0" max="22" min="22" style="93" width="9.14"/>
    <col collapsed="false" customWidth="true" hidden="false" outlineLevel="0" max="23" min="23" style="93" width="12.28"/>
    <col collapsed="false" customWidth="false" hidden="false" outlineLevel="0" max="257" min="24" style="93" width="9.14"/>
  </cols>
  <sheetData>
    <row r="1" customFormat="false" ht="12.75" hidden="false" customHeight="false" outlineLevel="0" collapsed="false"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customFormat="false" ht="18" hidden="false" customHeight="false" outlineLevel="0" collapsed="false">
      <c r="A2" s="149" t="s">
        <v>191</v>
      </c>
      <c r="B2" s="312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5" customFormat="false" ht="13.5" hidden="false" customHeight="false" outlineLevel="0" collapsed="false">
      <c r="A5" s="154" t="s">
        <v>101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</row>
    <row r="6" customFormat="false" ht="12.75" hidden="false" customHeight="false" outlineLevel="0" collapsed="false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customFormat="false" ht="12.75" hidden="false" customHeight="false" outlineLevel="0" collapsed="false">
      <c r="A7" s="163" t="s">
        <v>102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313"/>
      <c r="W7" s="313"/>
      <c r="X7" s="313"/>
      <c r="Y7" s="157" t="n">
        <f aca="false">SUM(Z7:AS7)-SUM(Z8:AS8)</f>
        <v>0</v>
      </c>
      <c r="Z7" s="158" t="n">
        <f aca="false">B10</f>
        <v>939.347052568736</v>
      </c>
      <c r="AA7" s="158" t="n">
        <f aca="false">C10</f>
        <v>967.527464145798</v>
      </c>
      <c r="AB7" s="158" t="n">
        <f aca="false">D10</f>
        <v>996.553288070172</v>
      </c>
      <c r="AC7" s="158" t="n">
        <f aca="false">E10</f>
        <v>1026.44988671228</v>
      </c>
      <c r="AD7" s="158" t="n">
        <f aca="false">F10</f>
        <v>1057.24338331365</v>
      </c>
      <c r="AE7" s="158" t="n">
        <f aca="false">G10</f>
        <v>1088.96068481306</v>
      </c>
      <c r="AF7" s="158" t="n">
        <f aca="false">H10</f>
        <v>1121.62950535745</v>
      </c>
      <c r="AG7" s="158" t="n">
        <f aca="false">I10</f>
        <v>1155.27839051817</v>
      </c>
      <c r="AH7" s="158" t="n">
        <f aca="false">J10</f>
        <v>1189.93674223372</v>
      </c>
      <c r="AI7" s="158" t="n">
        <f aca="false">K10</f>
        <v>1225.63484450073</v>
      </c>
      <c r="AJ7" s="158" t="n">
        <f aca="false">L10</f>
        <v>1262.40388983575</v>
      </c>
      <c r="AK7" s="158" t="n">
        <f aca="false">M10</f>
        <v>1300.27600653082</v>
      </c>
      <c r="AL7" s="158" t="n">
        <f aca="false">N10</f>
        <v>1339.28428672675</v>
      </c>
      <c r="AM7" s="158" t="n">
        <f aca="false">O10</f>
        <v>1379.46281532855</v>
      </c>
      <c r="AN7" s="158" t="n">
        <f aca="false">P10</f>
        <v>1420.8466997884</v>
      </c>
      <c r="AO7" s="158" t="n">
        <f aca="false">Q10</f>
        <v>1463.47210078206</v>
      </c>
      <c r="AP7" s="158" t="n">
        <f aca="false">R10</f>
        <v>1507.37626380552</v>
      </c>
      <c r="AQ7" s="158" t="n">
        <f aca="false">S10</f>
        <v>1552.59755171968</v>
      </c>
      <c r="AR7" s="158" t="n">
        <f aca="false">T10</f>
        <v>1599.17547827127</v>
      </c>
      <c r="AS7" s="158" t="n">
        <f aca="false">U10</f>
        <v>1647.15074261941</v>
      </c>
    </row>
    <row r="8" customFormat="false" ht="12.75" hidden="false" customHeight="false" outlineLevel="0" collapsed="false">
      <c r="A8" s="165" t="s">
        <v>103</v>
      </c>
      <c r="W8" s="164"/>
      <c r="X8" s="1"/>
      <c r="Y8" s="314" t="n">
        <v>0</v>
      </c>
      <c r="Z8" s="315" t="n">
        <f aca="false">B17+1/3*B18</f>
        <v>939.347052568736</v>
      </c>
      <c r="AA8" s="315" t="n">
        <f aca="false">C17+1/3*C18</f>
        <v>967.527464145798</v>
      </c>
      <c r="AB8" s="315" t="n">
        <f aca="false">D17+1/3*D18</f>
        <v>996.553288070172</v>
      </c>
      <c r="AC8" s="315" t="n">
        <f aca="false">E17+1/3*E18</f>
        <v>1026.44988671228</v>
      </c>
      <c r="AD8" s="315" t="n">
        <f aca="false">F17+1/3*F18</f>
        <v>1057.24338331365</v>
      </c>
      <c r="AE8" s="315" t="n">
        <f aca="false">G17+1/3*G18</f>
        <v>1088.96068481306</v>
      </c>
      <c r="AF8" s="315" t="n">
        <f aca="false">H17+1/3*H18</f>
        <v>1121.62950535745</v>
      </c>
      <c r="AG8" s="315" t="n">
        <f aca="false">I17+1/3*I18</f>
        <v>1155.27839051817</v>
      </c>
      <c r="AH8" s="315" t="n">
        <f aca="false">J17+1/3*J18</f>
        <v>1189.93674223372</v>
      </c>
      <c r="AI8" s="315" t="n">
        <f aca="false">K17+1/3*K18</f>
        <v>1225.63484450073</v>
      </c>
      <c r="AJ8" s="315" t="n">
        <f aca="false">L17+1/3*L18</f>
        <v>1262.40388983575</v>
      </c>
      <c r="AK8" s="315" t="n">
        <f aca="false">M17+1/3*M18</f>
        <v>1300.27600653082</v>
      </c>
      <c r="AL8" s="315" t="n">
        <f aca="false">N17+1/3*N18</f>
        <v>1339.28428672675</v>
      </c>
      <c r="AM8" s="315" t="n">
        <f aca="false">O17+1/3*O18</f>
        <v>1379.46281532855</v>
      </c>
      <c r="AN8" s="315" t="n">
        <f aca="false">P17+1/3*P18</f>
        <v>1420.8466997884</v>
      </c>
      <c r="AO8" s="315" t="n">
        <f aca="false">Q17+1/3*Q18</f>
        <v>1463.47210078206</v>
      </c>
      <c r="AP8" s="315" t="n">
        <f aca="false">R17+1/3*R18</f>
        <v>1507.37626380552</v>
      </c>
      <c r="AQ8" s="315" t="n">
        <f aca="false">S17+1/3*S18</f>
        <v>1552.59755171968</v>
      </c>
      <c r="AR8" s="315" t="n">
        <f aca="false">T17+1/3*T18</f>
        <v>1599.17547827127</v>
      </c>
      <c r="AS8" s="315" t="n">
        <f aca="false">U17+1/3*U18</f>
        <v>1647.15074261941</v>
      </c>
    </row>
    <row r="9" customFormat="false" ht="12.75" hidden="false" customHeight="false" outlineLevel="0" collapsed="false">
      <c r="A9" s="169" t="s">
        <v>104</v>
      </c>
      <c r="B9" s="172" t="n">
        <f aca="false">'Power Price Assumption'!C20*Assumptions!$C$9*12</f>
        <v>33979.2995525485</v>
      </c>
      <c r="C9" s="172" t="n">
        <f aca="false">'Power Price Assumption'!D20*Assumptions!$C$9*12</f>
        <v>35664.2099695139</v>
      </c>
      <c r="D9" s="172" t="n">
        <f aca="false">'Power Price Assumption'!E20*Assumptions!$C$9*12</f>
        <v>37432.6689925596</v>
      </c>
      <c r="E9" s="172" t="n">
        <f aca="false">'Power Price Assumption'!F20*Assumptions!$C$9*12</f>
        <v>39288.8194945099</v>
      </c>
      <c r="F9" s="172" t="n">
        <f aca="false">'Power Price Assumption'!G20*Assumptions!$C$9*12</f>
        <v>41237.0097782502</v>
      </c>
      <c r="G9" s="172" t="n">
        <f aca="false">'Power Price Assumption'!H20*Assumptions!$C$9*12</f>
        <v>41765.8210791373</v>
      </c>
      <c r="H9" s="172" t="n">
        <f aca="false">'Power Price Assumption'!I20*Assumptions!$C$9*12</f>
        <v>42301.4137008196</v>
      </c>
      <c r="I9" s="172" t="n">
        <f aca="false">'Power Price Assumption'!J20*Assumptions!$C$9*12</f>
        <v>42843.8746049633</v>
      </c>
      <c r="J9" s="172" t="n">
        <f aca="false">'Power Price Assumption'!K20*Assumptions!$C$9*12</f>
        <v>43393.2918684051</v>
      </c>
      <c r="K9" s="172" t="n">
        <f aca="false">'Power Price Assumption'!L20*Assumptions!$C$9*12</f>
        <v>43949.7546974536</v>
      </c>
      <c r="L9" s="172" t="n">
        <f aca="false">'Power Price Assumption'!M20*Assumptions!$C$9*12</f>
        <v>44781.378776474</v>
      </c>
      <c r="M9" s="172" t="n">
        <f aca="false">'Power Price Assumption'!N20*Assumptions!$C$9*12</f>
        <v>45628.7389753788</v>
      </c>
      <c r="N9" s="172" t="n">
        <f aca="false">'Power Price Assumption'!O20*Assumptions!$C$9*12</f>
        <v>46492.1330554705</v>
      </c>
      <c r="O9" s="172" t="n">
        <f aca="false">'Power Price Assumption'!P20*Assumptions!$C$9*12</f>
        <v>47371.8644123372</v>
      </c>
      <c r="P9" s="172" t="n">
        <f aca="false">'Power Price Assumption'!Q20*Assumptions!$C$9*12</f>
        <v>48268.2421824656</v>
      </c>
      <c r="Q9" s="172" t="n">
        <f aca="false">'Power Price Assumption'!R20*Assumptions!$C$9*12</f>
        <v>48956.9052609577</v>
      </c>
      <c r="R9" s="172" t="n">
        <f aca="false">'Power Price Assumption'!S20*Assumptions!$C$9*12</f>
        <v>49655.3937818988</v>
      </c>
      <c r="S9" s="172" t="n">
        <f aca="false">'Power Price Assumption'!T20*Assumptions!$C$9*12</f>
        <v>50363.8479289613</v>
      </c>
      <c r="T9" s="172" t="n">
        <f aca="false">'Power Price Assumption'!U20*Assumptions!$C$9*12</f>
        <v>51082.409885876</v>
      </c>
      <c r="U9" s="172" t="n">
        <f aca="false">'Power Price Assumption'!V20*Assumptions!$C$9*12</f>
        <v>51811.2238649685</v>
      </c>
      <c r="V9" s="316"/>
      <c r="W9" s="164" t="n">
        <f aca="false">SUM(B9:U9)</f>
        <v>886268.301862949</v>
      </c>
      <c r="X9" s="1"/>
      <c r="Y9" s="157"/>
      <c r="Z9" s="161" t="n">
        <f aca="false">Z7-Z8</f>
        <v>0</v>
      </c>
      <c r="AA9" s="161" t="n">
        <f aca="false">AA7-AA8</f>
        <v>0</v>
      </c>
      <c r="AB9" s="161" t="n">
        <f aca="false">AB7-AB8</f>
        <v>0</v>
      </c>
      <c r="AC9" s="161" t="n">
        <f aca="false">AC7-AC8</f>
        <v>0</v>
      </c>
      <c r="AD9" s="161" t="n">
        <f aca="false">AD7-AD8</f>
        <v>0</v>
      </c>
      <c r="AE9" s="161" t="n">
        <f aca="false">AE7-AE8</f>
        <v>0</v>
      </c>
      <c r="AF9" s="161" t="n">
        <f aca="false">AF7-AF8</f>
        <v>0</v>
      </c>
      <c r="AG9" s="161" t="n">
        <f aca="false">AG7-AG8</f>
        <v>0</v>
      </c>
      <c r="AH9" s="161" t="n">
        <f aca="false">AH7-AH8</f>
        <v>0</v>
      </c>
      <c r="AI9" s="161" t="n">
        <f aca="false">AI7-AI8</f>
        <v>0</v>
      </c>
      <c r="AJ9" s="161" t="n">
        <f aca="false">AJ7-AJ8</f>
        <v>0</v>
      </c>
      <c r="AK9" s="161" t="n">
        <f aca="false">AK7-AK8</f>
        <v>0</v>
      </c>
      <c r="AL9" s="161" t="n">
        <f aca="false">AL7-AL8</f>
        <v>0</v>
      </c>
      <c r="AM9" s="161" t="n">
        <f aca="false">AM7-AM8</f>
        <v>0</v>
      </c>
      <c r="AN9" s="161" t="n">
        <f aca="false">AN7-AN8</f>
        <v>0</v>
      </c>
      <c r="AO9" s="161" t="n">
        <f aca="false">AO7-AO8</f>
        <v>0</v>
      </c>
      <c r="AP9" s="161" t="n">
        <f aca="false">AP7-AP8</f>
        <v>0</v>
      </c>
      <c r="AQ9" s="161" t="n">
        <f aca="false">AQ7-AQ8</f>
        <v>0</v>
      </c>
      <c r="AR9" s="161" t="n">
        <f aca="false">AR7-AR8</f>
        <v>0</v>
      </c>
      <c r="AS9" s="161" t="n">
        <f aca="false">AS7-AS8</f>
        <v>0</v>
      </c>
    </row>
    <row r="10" customFormat="false" ht="12.75" hidden="false" customHeight="false" outlineLevel="0" collapsed="false">
      <c r="A10" s="169" t="s">
        <v>105</v>
      </c>
      <c r="B10" s="153" t="n">
        <f aca="false">1/3*Assumptions!$C$18*Assumptions!$C$11*Assumptions!$C$8/1000*(1+Assumptions!$C$25)^(B5-2000)+Assumptions!$C$19*Assumptions!$C$17*(1+Assumptions!$C$25)^(B5-2000)/1000</f>
        <v>939.347052568736</v>
      </c>
      <c r="C10" s="153" t="n">
        <f aca="false">1/3*Assumptions!$C$18*Assumptions!$C$11*Assumptions!$C$8/1000*(1+Assumptions!$C$25)^(C5-2000)+Assumptions!$C$19*Assumptions!$C$17*(1+Assumptions!$C$25)^(C5-2000)/1000</f>
        <v>967.527464145798</v>
      </c>
      <c r="D10" s="153" t="n">
        <f aca="false">1/3*Assumptions!$C$18*Assumptions!$C$11*Assumptions!$C$8/1000*(1+Assumptions!$C$25)^(D5-2000)+Assumptions!$C$19*Assumptions!$C$17*(1+Assumptions!$C$25)^(D5-2000)/1000</f>
        <v>996.553288070172</v>
      </c>
      <c r="E10" s="153" t="n">
        <f aca="false">1/3*Assumptions!$C$18*Assumptions!$C$11*Assumptions!$C$8/1000*(1+Assumptions!$C$25)^(E5-2000)+Assumptions!$C$19*Assumptions!$C$17*(1+Assumptions!$C$25)^(E5-2000)/1000</f>
        <v>1026.44988671228</v>
      </c>
      <c r="F10" s="153" t="n">
        <f aca="false">1/3*Assumptions!$C$18*Assumptions!$C$11*Assumptions!$C$8/1000*(1+Assumptions!$C$25)^(F5-2000)+Assumptions!$C$19*Assumptions!$C$17*(1+Assumptions!$C$25)^(F5-2000)/1000</f>
        <v>1057.24338331365</v>
      </c>
      <c r="G10" s="153" t="n">
        <f aca="false">1/3*Assumptions!$C$18*Assumptions!$C$11*Assumptions!$C$8/1000*(1+Assumptions!$C$25)^(G5-2000)+Assumptions!$C$19*Assumptions!$C$17*(1+Assumptions!$C$25)^(G5-2000)/1000</f>
        <v>1088.96068481306</v>
      </c>
      <c r="H10" s="153" t="n">
        <f aca="false">1/3*Assumptions!$C$18*Assumptions!$C$11*Assumptions!$C$8/1000*(1+Assumptions!$C$25)^(H5-2000)+Assumptions!$C$19*Assumptions!$C$17*(1+Assumptions!$C$25)^(H5-2000)/1000</f>
        <v>1121.62950535745</v>
      </c>
      <c r="I10" s="153" t="n">
        <f aca="false">1/3*Assumptions!$C$18*Assumptions!$C$11*Assumptions!$C$8/1000*(1+Assumptions!$C$25)^(I5-2000)+Assumptions!$C$19*Assumptions!$C$17*(1+Assumptions!$C$25)^(I5-2000)/1000</f>
        <v>1155.27839051817</v>
      </c>
      <c r="J10" s="153" t="n">
        <f aca="false">1/3*Assumptions!$C$18*Assumptions!$C$11*Assumptions!$C$8/1000*(1+Assumptions!$C$25)^(J5-2000)+Assumptions!$C$19*Assumptions!$C$17*(1+Assumptions!$C$25)^(J5-2000)/1000</f>
        <v>1189.93674223372</v>
      </c>
      <c r="K10" s="153" t="n">
        <f aca="false">1/3*Assumptions!$C$18*Assumptions!$C$11*Assumptions!$C$8/1000*(1+Assumptions!$C$25)^(K5-2000)+Assumptions!$C$19*Assumptions!$C$17*(1+Assumptions!$C$25)^(K5-2000)/1000</f>
        <v>1225.63484450073</v>
      </c>
      <c r="L10" s="153" t="n">
        <f aca="false">1/3*Assumptions!$C$18*Assumptions!$C$11*Assumptions!$C$8/1000*(1+Assumptions!$C$25)^(L5-2000)+Assumptions!$C$19*Assumptions!$C$17*(1+Assumptions!$C$25)^(L5-2000)/1000</f>
        <v>1262.40388983575</v>
      </c>
      <c r="M10" s="153" t="n">
        <f aca="false">1/3*Assumptions!$C$18*Assumptions!$C$11*Assumptions!$C$8/1000*(1+Assumptions!$C$25)^(M5-2000)+Assumptions!$C$19*Assumptions!$C$17*(1+Assumptions!$C$25)^(M5-2000)/1000</f>
        <v>1300.27600653082</v>
      </c>
      <c r="N10" s="153" t="n">
        <f aca="false">1/3*Assumptions!$C$18*Assumptions!$C$11*Assumptions!$C$8/1000*(1+Assumptions!$C$25)^(N5-2000)+Assumptions!$C$19*Assumptions!$C$17*(1+Assumptions!$C$25)^(N5-2000)/1000</f>
        <v>1339.28428672675</v>
      </c>
      <c r="O10" s="153" t="n">
        <f aca="false">1/3*Assumptions!$C$18*Assumptions!$C$11*Assumptions!$C$8/1000*(1+Assumptions!$C$25)^(O5-2000)+Assumptions!$C$19*Assumptions!$C$17*(1+Assumptions!$C$25)^(O5-2000)/1000</f>
        <v>1379.46281532855</v>
      </c>
      <c r="P10" s="153" t="n">
        <f aca="false">1/3*Assumptions!$C$18*Assumptions!$C$11*Assumptions!$C$8/1000*(1+Assumptions!$C$25)^(P5-2000)+Assumptions!$C$19*Assumptions!$C$17*(1+Assumptions!$C$25)^(P5-2000)/1000</f>
        <v>1420.8466997884</v>
      </c>
      <c r="Q10" s="153" t="n">
        <f aca="false">1/3*Assumptions!$C$18*Assumptions!$C$11*Assumptions!$C$8/1000*(1+Assumptions!$C$25)^(Q5-2000)+Assumptions!$C$19*Assumptions!$C$17*(1+Assumptions!$C$25)^(Q5-2000)/1000</f>
        <v>1463.47210078206</v>
      </c>
      <c r="R10" s="153" t="n">
        <f aca="false">1/3*Assumptions!$C$18*Assumptions!$C$11*Assumptions!$C$8/1000*(1+Assumptions!$C$25)^(R5-2000)+Assumptions!$C$19*Assumptions!$C$17*(1+Assumptions!$C$25)^(R5-2000)/1000</f>
        <v>1507.37626380552</v>
      </c>
      <c r="S10" s="153" t="n">
        <f aca="false">1/3*Assumptions!$C$18*Assumptions!$C$11*Assumptions!$C$8/1000*(1+Assumptions!$C$25)^(S5-2000)+Assumptions!$C$19*Assumptions!$C$17*(1+Assumptions!$C$25)^(S5-2000)/1000</f>
        <v>1552.59755171968</v>
      </c>
      <c r="T10" s="153" t="n">
        <f aca="false">1/3*Assumptions!$C$18*Assumptions!$C$11*Assumptions!$C$8/1000*(1+Assumptions!$C$25)^(T5-2000)+Assumptions!$C$19*Assumptions!$C$17*(1+Assumptions!$C$25)^(T5-2000)/1000</f>
        <v>1599.17547827127</v>
      </c>
      <c r="U10" s="153" t="n">
        <f aca="false">1/3*Assumptions!$C$18*Assumptions!$C$11*Assumptions!$C$8/1000*(1+Assumptions!$C$25)^(U5-2000)+Assumptions!$C$19*Assumptions!$C$17*(1+Assumptions!$C$25)^(U5-2000)/1000</f>
        <v>1647.15074261941</v>
      </c>
      <c r="V10" s="316"/>
      <c r="W10" s="164" t="n">
        <f aca="false">SUM(B10:U10)</f>
        <v>25240.607077642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customFormat="false" ht="12.75" hidden="false" customHeight="false" outlineLevel="0" collapsed="false">
      <c r="A11" s="169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164" t="n">
        <f aca="false">SUM(B11:U11)</f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customFormat="false" ht="12.75" hidden="false" customHeight="false" outlineLevel="0" collapsed="false">
      <c r="A12" s="169" t="s">
        <v>106</v>
      </c>
      <c r="B12" s="260" t="n">
        <f aca="false">(SUM(B8:B10)-SUM(B16:B21))*'Summary Output'!$B$24/4</f>
        <v>392.388271887399</v>
      </c>
      <c r="C12" s="260" t="n">
        <f aca="false">(SUM(C8:C10)-SUM(C16:C21))*'Summary Output'!$B$24/4</f>
        <v>410.858122876116</v>
      </c>
      <c r="D12" s="260" t="n">
        <f aca="false">(SUM(D8:D10)-SUM(D16:D21))*'Summary Output'!$B$24/4</f>
        <v>431.380044953454</v>
      </c>
      <c r="E12" s="260" t="n">
        <f aca="false">(SUM(E8:E10)-SUM(E16:E21))*'Summary Output'!$B$24/4</f>
        <v>454.067124831732</v>
      </c>
      <c r="F12" s="260" t="n">
        <f aca="false">(SUM(F8:F10)-SUM(F16:F21))*'Summary Output'!$B$24/4</f>
        <v>477.882700476458</v>
      </c>
      <c r="G12" s="260" t="n">
        <f aca="false">(SUM(G8:G10)-SUM(G16:G21))*'Summary Output'!$B$24/4</f>
        <v>482.843002284413</v>
      </c>
      <c r="H12" s="260" t="n">
        <f aca="false">(SUM(H8:H10)-SUM(H16:H21))*'Summary Output'!$B$24/4</f>
        <v>488.95510420467</v>
      </c>
      <c r="I12" s="260" t="n">
        <f aca="false">(SUM(I8:I10)-SUM(I16:I21))*'Summary Output'!$B$24/4</f>
        <v>495.129018016126</v>
      </c>
      <c r="J12" s="260" t="n">
        <f aca="false">(SUM(J8:J10)-SUM(J16:J21))*'Summary Output'!$B$24/4</f>
        <v>501.365123430055</v>
      </c>
      <c r="K12" s="260" t="n">
        <f aca="false">(SUM(K8:K10)-SUM(K16:K21))*'Summary Output'!$B$24/4</f>
        <v>507.663792638648</v>
      </c>
      <c r="L12" s="260" t="n">
        <f aca="false">(SUM(L8:L10)-SUM(L16:L21))*'Summary Output'!$B$24/4</f>
        <v>517.375706523212</v>
      </c>
      <c r="M12" s="260" t="n">
        <f aca="false">(SUM(M8:M10)-SUM(M16:M21))*'Summary Output'!$B$24/4</f>
        <v>527.25726282919</v>
      </c>
      <c r="N12" s="260" t="n">
        <f aca="false">(SUM(N8:N10)-SUM(N16:N21))*'Summary Output'!$B$24/4</f>
        <v>532.949871800549</v>
      </c>
      <c r="O12" s="260" t="n">
        <f aca="false">(SUM(O8:O10)-SUM(O16:O21))*'Summary Output'!$B$24/4</f>
        <v>543.179489756658</v>
      </c>
      <c r="P12" s="260" t="n">
        <f aca="false">(SUM(P8:P10)-SUM(P16:P21))*'Summary Output'!$B$24/4</f>
        <v>548.135744694352</v>
      </c>
      <c r="Q12" s="260" t="n">
        <f aca="false">(SUM(Q8:Q10)-SUM(Q16:Q21))*'Summary Output'!$B$24/4</f>
        <v>562.97347269438</v>
      </c>
      <c r="R12" s="260" t="n">
        <f aca="false">(SUM(R8:R10)-SUM(R16:R21))*'Summary Output'!$B$24/4</f>
        <v>570.660180139667</v>
      </c>
      <c r="S12" s="260" t="n">
        <f aca="false">(SUM(S8:S10)-SUM(S16:S21))*'Summary Output'!$B$24/4</f>
        <v>578.435428303045</v>
      </c>
      <c r="T12" s="260" t="n">
        <f aca="false">(SUM(T8:T10)-SUM(T16:T21))*'Summary Output'!$B$24/4</f>
        <v>586.299950789449</v>
      </c>
      <c r="U12" s="260" t="n">
        <f aca="false">(SUM(U8:U10)-SUM(U16:U21))*'Summary Output'!$B$24/4</f>
        <v>594.254475994428</v>
      </c>
      <c r="V12" s="316"/>
      <c r="W12" s="164" t="n">
        <f aca="false">SUM(B12:U12)</f>
        <v>10204.053889124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customFormat="false" ht="12.75" hidden="false" customHeight="false" outlineLevel="0" collapsed="false">
      <c r="A13" s="169" t="s">
        <v>107</v>
      </c>
      <c r="B13" s="172" t="n">
        <f aca="false">SUM(B8:B12)</f>
        <v>35311.0348770046</v>
      </c>
      <c r="C13" s="172" t="n">
        <f aca="false">SUM(C8:C12)</f>
        <v>37042.5955565358</v>
      </c>
      <c r="D13" s="172" t="n">
        <f aca="false">SUM(D8:D12)</f>
        <v>38860.6023255832</v>
      </c>
      <c r="E13" s="172" t="n">
        <f aca="false">SUM(E8:E12)</f>
        <v>40769.3365060539</v>
      </c>
      <c r="F13" s="172" t="n">
        <f aca="false">SUM(F8:F12)</f>
        <v>42772.1358620403</v>
      </c>
      <c r="G13" s="172" t="n">
        <f aca="false">SUM(G8:G12)</f>
        <v>43337.6247662347</v>
      </c>
      <c r="H13" s="172" t="n">
        <f aca="false">SUM(H8:H12)</f>
        <v>43911.9983103817</v>
      </c>
      <c r="I13" s="172" t="n">
        <f aca="false">SUM(I8:I12)</f>
        <v>44494.2820134976</v>
      </c>
      <c r="J13" s="172" t="n">
        <f aca="false">SUM(J8:J12)</f>
        <v>45084.5937340689</v>
      </c>
      <c r="K13" s="172" t="n">
        <f aca="false">SUM(K8:K12)</f>
        <v>45683.0533345929</v>
      </c>
      <c r="L13" s="172" t="n">
        <f aca="false">SUM(L8:L12)</f>
        <v>46561.158372833</v>
      </c>
      <c r="M13" s="172" t="n">
        <f aca="false">SUM(M8:M12)</f>
        <v>47456.2722447388</v>
      </c>
      <c r="N13" s="172" t="n">
        <f aca="false">SUM(N8:N12)</f>
        <v>48364.3672139978</v>
      </c>
      <c r="O13" s="172" t="n">
        <f aca="false">SUM(O8:O12)</f>
        <v>49294.5067174224</v>
      </c>
      <c r="P13" s="172" t="n">
        <f aca="false">SUM(P8:P12)</f>
        <v>50237.2246269483</v>
      </c>
      <c r="Q13" s="172" t="n">
        <f aca="false">SUM(Q8:Q12)</f>
        <v>50983.3508344341</v>
      </c>
      <c r="R13" s="172" t="n">
        <f aca="false">SUM(R8:R12)</f>
        <v>51733.430225844</v>
      </c>
      <c r="S13" s="172" t="n">
        <f aca="false">SUM(S8:S12)</f>
        <v>52494.880908984</v>
      </c>
      <c r="T13" s="172" t="n">
        <f aca="false">SUM(T8:T12)</f>
        <v>53267.8853149367</v>
      </c>
      <c r="U13" s="172" t="n">
        <f aca="false">SUM(U8:U12)</f>
        <v>54052.6290835824</v>
      </c>
      <c r="V13" s="316"/>
      <c r="W13" s="164" t="n">
        <f aca="false">SUM(B13:U13)</f>
        <v>921712.962829716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customFormat="false" ht="12.75" hidden="false" customHeight="false" outlineLevel="0" collapsed="false">
      <c r="A14" s="3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316"/>
      <c r="W14" s="16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customFormat="false" ht="12.75" hidden="false" customHeight="false" outlineLevel="0" collapsed="false">
      <c r="A15" s="163" t="s">
        <v>108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W15" s="16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</row>
    <row r="16" customFormat="false" ht="12.75" hidden="false" customHeight="false" outlineLevel="0" collapsed="false">
      <c r="A16" s="169" t="s">
        <v>71</v>
      </c>
      <c r="B16" s="153" t="n">
        <f aca="false">Assumptions!C28*(1+Assumptions!$C$25)</f>
        <v>1279.75616571429</v>
      </c>
      <c r="C16" s="164" t="n">
        <f aca="false">B16*(1+Assumptions!$C$25)</f>
        <v>1318.14885068571</v>
      </c>
      <c r="D16" s="164" t="n">
        <f aca="false">C16*(1+Assumptions!$C$25)</f>
        <v>1357.69331620629</v>
      </c>
      <c r="E16" s="164" t="n">
        <f aca="false">D16*(1+Assumptions!$C$25)</f>
        <v>1398.42411569247</v>
      </c>
      <c r="F16" s="164" t="n">
        <f aca="false">E16*(1+Assumptions!$C$25)</f>
        <v>1440.37683916325</v>
      </c>
      <c r="G16" s="164" t="n">
        <f aca="false">F16*(1+Assumptions!$C$25)</f>
        <v>1483.58814433815</v>
      </c>
      <c r="H16" s="164" t="n">
        <f aca="false">G16*(1+Assumptions!$C$25)</f>
        <v>1528.09578866829</v>
      </c>
      <c r="I16" s="164" t="n">
        <f aca="false">H16*(1+Assumptions!$C$25)</f>
        <v>1573.93866232834</v>
      </c>
      <c r="J16" s="164" t="n">
        <f aca="false">I16*(1+Assumptions!$C$25)</f>
        <v>1621.15682219819</v>
      </c>
      <c r="K16" s="164" t="n">
        <f aca="false">J16*(1+Assumptions!$C$25)</f>
        <v>1669.79152686414</v>
      </c>
      <c r="L16" s="164" t="n">
        <f aca="false">K16*(1+Assumptions!$C$25)</f>
        <v>1719.88527267006</v>
      </c>
      <c r="M16" s="164" t="n">
        <f aca="false">L16*(1+Assumptions!$C$25)</f>
        <v>1771.48183085016</v>
      </c>
      <c r="N16" s="164" t="n">
        <f aca="false">M16*(1+Assumptions!$C$25)</f>
        <v>1824.62628577567</v>
      </c>
      <c r="O16" s="164" t="n">
        <f aca="false">N16*(1+Assumptions!$C$25)</f>
        <v>1879.36507434894</v>
      </c>
      <c r="P16" s="164" t="n">
        <f aca="false">O16*(1+Assumptions!$C$25)</f>
        <v>1935.7460265794</v>
      </c>
      <c r="Q16" s="164" t="n">
        <f aca="false">P16*(1+Assumptions!$C$25)</f>
        <v>1993.81840737679</v>
      </c>
      <c r="R16" s="164" t="n">
        <f aca="false">Q16*(1+Assumptions!$C$25)</f>
        <v>2053.63295959809</v>
      </c>
      <c r="S16" s="164" t="n">
        <f aca="false">R16*(1+Assumptions!$C$25)</f>
        <v>2115.24194838603</v>
      </c>
      <c r="T16" s="164" t="n">
        <f aca="false">S16*(1+Assumptions!$C$25)</f>
        <v>2178.69920683761</v>
      </c>
      <c r="U16" s="164" t="n">
        <f aca="false">T16*(1+Assumptions!$C$25)</f>
        <v>2244.06018304274</v>
      </c>
      <c r="W16" s="164" t="n">
        <f aca="false">SUM(B16:U16)</f>
        <v>34387.5274273246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</row>
    <row r="17" customFormat="false" ht="12.75" hidden="false" customHeight="false" outlineLevel="0" collapsed="false">
      <c r="A17" s="169" t="s">
        <v>72</v>
      </c>
      <c r="B17" s="153" t="n">
        <f aca="false">Assumptions!$C$29*(1+Assumptions!$C$25)</f>
        <v>823.472052568736</v>
      </c>
      <c r="C17" s="172" t="n">
        <f aca="false">B17*(1+Assumptions!$C$25)</f>
        <v>848.176214145798</v>
      </c>
      <c r="D17" s="172" t="n">
        <f aca="false">C17*(1+Assumptions!$C$25)</f>
        <v>873.621500570172</v>
      </c>
      <c r="E17" s="153" t="n">
        <f aca="false">Assumptions!$C$19*Assumptions!$C$23*(1+Assumptions!$C$25)^(E5-2000)/1000</f>
        <v>899.830145587277</v>
      </c>
      <c r="F17" s="153" t="n">
        <f aca="false">Assumptions!$C$19*Assumptions!$C$23*(1+Assumptions!$C$25)^(F5-2000)/1000</f>
        <v>926.825049954896</v>
      </c>
      <c r="G17" s="153" t="n">
        <f aca="false">Assumptions!$C$19*Assumptions!$C$23*(1+Assumptions!$C$25)^(G5-2000)/1000</f>
        <v>954.629801453542</v>
      </c>
      <c r="H17" s="153" t="n">
        <f aca="false">Assumptions!$C$19*Assumptions!$C$23*(1+Assumptions!$C$25)^(H5-2000)/1000</f>
        <v>983.268695497149</v>
      </c>
      <c r="I17" s="153" t="n">
        <f aca="false">Assumptions!$C$19*Assumptions!$C$23*(1+Assumptions!$C$25)^(I5-2000)/1000</f>
        <v>1012.76675636206</v>
      </c>
      <c r="J17" s="153" t="n">
        <f aca="false">Assumptions!$C$19*Assumptions!$C$23*(1+Assumptions!$C$25)^(J5-2000)/1000</f>
        <v>1043.14975905293</v>
      </c>
      <c r="K17" s="153" t="n">
        <f aca="false">Assumptions!$C$19*Assumptions!$C$23*(1+Assumptions!$C$25)^(K5-2000)/1000</f>
        <v>1074.44425182451</v>
      </c>
      <c r="L17" s="153" t="n">
        <f aca="false">Assumptions!$C$19*Assumptions!$C$23*(1+Assumptions!$C$25)^(L5-2000)/1000</f>
        <v>1106.67757937925</v>
      </c>
      <c r="M17" s="153" t="n">
        <f aca="false">Assumptions!$C$19*Assumptions!$C$23*(1+Assumptions!$C$25)^(M5-2000)/1000</f>
        <v>1139.87790676063</v>
      </c>
      <c r="N17" s="153" t="n">
        <f aca="false">Assumptions!$C$19*Assumptions!$C$23*(1+Assumptions!$C$25)^(N5-2000)/1000</f>
        <v>1174.07424396344</v>
      </c>
      <c r="O17" s="153" t="n">
        <f aca="false">Assumptions!$C$19*Assumptions!$C$23*(1+Assumptions!$C$25)^(O5-2000)/1000</f>
        <v>1209.29647128235</v>
      </c>
      <c r="P17" s="153" t="n">
        <f aca="false">Assumptions!$C$19*Assumptions!$C$23*(1+Assumptions!$C$25)^(P5-2000)/1000</f>
        <v>1245.57536542082</v>
      </c>
      <c r="Q17" s="153" t="n">
        <f aca="false">Assumptions!$C$19*Assumptions!$C$23*(1+Assumptions!$C$25)^(Q5-2000)/1000</f>
        <v>1282.94262638344</v>
      </c>
      <c r="R17" s="153" t="n">
        <f aca="false">Assumptions!$C$19*Assumptions!$C$23*(1+Assumptions!$C$25)^(R5-2000)/1000</f>
        <v>1321.43090517495</v>
      </c>
      <c r="S17" s="153" t="n">
        <f aca="false">Assumptions!$C$19*Assumptions!$C$23*(1+Assumptions!$C$25)^(S5-2000)/1000</f>
        <v>1361.0738323302</v>
      </c>
      <c r="T17" s="153" t="n">
        <f aca="false">Assumptions!$C$19*Assumptions!$C$23*(1+Assumptions!$C$25)^(T5-2000)/1000</f>
        <v>1401.9060473001</v>
      </c>
      <c r="U17" s="153" t="n">
        <f aca="false">Assumptions!$C$19*Assumptions!$C$23*(1+Assumptions!$C$25)^(U5-2000)/1000</f>
        <v>1443.9632287191</v>
      </c>
      <c r="W17" s="164" t="n">
        <f aca="false">SUM(B17:U17)</f>
        <v>22127.0024337313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</row>
    <row r="18" customFormat="false" ht="12.75" hidden="false" customHeight="false" outlineLevel="0" collapsed="false">
      <c r="A18" s="169" t="s">
        <v>109</v>
      </c>
      <c r="B18" s="153" t="n">
        <f aca="false">Assumptions!$C$24*Assumptions!$C$11*Assumptions!$C$8/1000*(1+Assumptions!$C$25)</f>
        <v>347.625</v>
      </c>
      <c r="C18" s="164" t="n">
        <f aca="false">B18*(1+Assumptions!$C$25)</f>
        <v>358.05375</v>
      </c>
      <c r="D18" s="164" t="n">
        <f aca="false">C18*(1+Assumptions!$C$25)</f>
        <v>368.7953625</v>
      </c>
      <c r="E18" s="164" t="n">
        <f aca="false">D18*(1+Assumptions!$C$25)</f>
        <v>379.859223375</v>
      </c>
      <c r="F18" s="164" t="n">
        <f aca="false">E18*(1+Assumptions!$C$25)</f>
        <v>391.25500007625</v>
      </c>
      <c r="G18" s="164" t="n">
        <f aca="false">F18*(1+Assumptions!$C$25)</f>
        <v>402.992650078538</v>
      </c>
      <c r="H18" s="164" t="n">
        <f aca="false">G18*(1+Assumptions!$C$25)</f>
        <v>415.082429580894</v>
      </c>
      <c r="I18" s="164" t="n">
        <f aca="false">H18*(1+Assumptions!$C$25)</f>
        <v>427.534902468321</v>
      </c>
      <c r="J18" s="164" t="n">
        <f aca="false">I18*(1+Assumptions!$C$25)</f>
        <v>440.36094954237</v>
      </c>
      <c r="K18" s="164" t="n">
        <f aca="false">J18*(1+Assumptions!$C$25)</f>
        <v>453.571778028641</v>
      </c>
      <c r="L18" s="164" t="n">
        <f aca="false">K18*(1+Assumptions!$C$25)</f>
        <v>467.178931369501</v>
      </c>
      <c r="M18" s="164" t="n">
        <f aca="false">L18*(1+Assumptions!$C$25)</f>
        <v>481.194299310586</v>
      </c>
      <c r="N18" s="164" t="n">
        <f aca="false">M18*(1+Assumptions!$C$25)</f>
        <v>495.630128289903</v>
      </c>
      <c r="O18" s="164" t="n">
        <f aca="false">N18*(1+Assumptions!$C$25)</f>
        <v>510.4990321386</v>
      </c>
      <c r="P18" s="164" t="n">
        <f aca="false">O18*(1+Assumptions!$C$25)</f>
        <v>525.814003102758</v>
      </c>
      <c r="Q18" s="164" t="n">
        <f aca="false">P18*(1+Assumptions!$C$25)</f>
        <v>541.588423195841</v>
      </c>
      <c r="R18" s="164" t="n">
        <f aca="false">Q18*(1+Assumptions!$C$25)</f>
        <v>557.836075891716</v>
      </c>
      <c r="S18" s="164" t="n">
        <f aca="false">R18*(1+Assumptions!$C$25)</f>
        <v>574.571158168468</v>
      </c>
      <c r="T18" s="164" t="n">
        <f aca="false">S18*(1+Assumptions!$C$25)</f>
        <v>591.808292913522</v>
      </c>
      <c r="U18" s="164" t="n">
        <f aca="false">T18*(1+Assumptions!$C$25)</f>
        <v>609.562541700928</v>
      </c>
      <c r="W18" s="164" t="n">
        <f aca="false">SUM(B18:U18)</f>
        <v>9340.81393173184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  <c r="IW18" s="316"/>
    </row>
    <row r="19" customFormat="false" ht="12.75" hidden="false" customHeight="false" outlineLevel="0" collapsed="false">
      <c r="A19" s="169" t="s">
        <v>74</v>
      </c>
      <c r="B19" s="153" t="n">
        <f aca="false">Assumptions!C31*(1+Assumptions!$C$25)</f>
        <v>331.918677142857</v>
      </c>
      <c r="C19" s="164" t="n">
        <f aca="false">B19*(1+Assumptions!$C$25)</f>
        <v>341.876237457143</v>
      </c>
      <c r="D19" s="164" t="n">
        <f aca="false">C19*(1+Assumptions!$C$25)</f>
        <v>352.132524580857</v>
      </c>
      <c r="E19" s="164" t="n">
        <f aca="false">D19*(1+Assumptions!$C$25)</f>
        <v>362.696500318283</v>
      </c>
      <c r="F19" s="164" t="n">
        <f aca="false">E19*(1+Assumptions!$C$25)</f>
        <v>373.577395327831</v>
      </c>
      <c r="G19" s="164" t="n">
        <f aca="false">F19*(1+Assumptions!$C$25)</f>
        <v>384.784717187666</v>
      </c>
      <c r="H19" s="164" t="n">
        <f aca="false">G19*(1+Assumptions!$C$25)</f>
        <v>396.328258703296</v>
      </c>
      <c r="I19" s="164" t="n">
        <f aca="false">H19*(1+Assumptions!$C$25)</f>
        <v>408.218106464395</v>
      </c>
      <c r="J19" s="164" t="n">
        <f aca="false">I19*(1+Assumptions!$C$25)</f>
        <v>420.464649658327</v>
      </c>
      <c r="K19" s="164" t="n">
        <f aca="false">J19*(1+Assumptions!$C$25)</f>
        <v>433.078589148077</v>
      </c>
      <c r="L19" s="164" t="n">
        <f aca="false">K19*(1+Assumptions!$C$25)</f>
        <v>446.070946822519</v>
      </c>
      <c r="M19" s="164" t="n">
        <f aca="false">L19*(1+Assumptions!$C$25)</f>
        <v>459.453075227195</v>
      </c>
      <c r="N19" s="164" t="n">
        <f aca="false">M19*(1+Assumptions!$C$25)</f>
        <v>473.236667484011</v>
      </c>
      <c r="O19" s="164" t="n">
        <f aca="false">N19*(1+Assumptions!$C$25)</f>
        <v>487.433767508531</v>
      </c>
      <c r="P19" s="164" t="n">
        <f aca="false">O19*(1+Assumptions!$C$25)</f>
        <v>502.056780533787</v>
      </c>
      <c r="Q19" s="164" t="n">
        <f aca="false">P19*(1+Assumptions!$C$25)</f>
        <v>517.118483949801</v>
      </c>
      <c r="R19" s="164" t="n">
        <f aca="false">Q19*(1+Assumptions!$C$25)</f>
        <v>532.632038468295</v>
      </c>
      <c r="S19" s="164" t="n">
        <f aca="false">R19*(1+Assumptions!$C$25)</f>
        <v>548.610999622344</v>
      </c>
      <c r="T19" s="164" t="n">
        <f aca="false">S19*(1+Assumptions!$C$25)</f>
        <v>565.069329611014</v>
      </c>
      <c r="U19" s="164" t="n">
        <f aca="false">T19*(1+Assumptions!$C$25)</f>
        <v>582.021409499344</v>
      </c>
      <c r="W19" s="164" t="n">
        <f aca="false">SUM(B19:U19)</f>
        <v>8918.77915471557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</row>
    <row r="20" customFormat="false" ht="12.75" hidden="false" customHeight="false" outlineLevel="0" collapsed="false">
      <c r="A20" s="169" t="s">
        <v>192</v>
      </c>
      <c r="B20" s="318" t="n">
        <v>174.46</v>
      </c>
      <c r="C20" s="318" t="n">
        <v>348.92</v>
      </c>
      <c r="D20" s="318" t="n">
        <v>436.15</v>
      </c>
      <c r="E20" s="318" t="n">
        <v>436.15</v>
      </c>
      <c r="F20" s="318" t="n">
        <v>436.15</v>
      </c>
      <c r="G20" s="318" t="n">
        <v>523.38</v>
      </c>
      <c r="H20" s="318" t="n">
        <v>523.38</v>
      </c>
      <c r="I20" s="318" t="n">
        <v>523.38</v>
      </c>
      <c r="J20" s="318" t="n">
        <v>523.38</v>
      </c>
      <c r="K20" s="318" t="n">
        <v>523.38</v>
      </c>
      <c r="L20" s="318" t="n">
        <v>523.38</v>
      </c>
      <c r="M20" s="318" t="n">
        <v>523.38</v>
      </c>
      <c r="N20" s="318" t="n">
        <v>872.3</v>
      </c>
      <c r="O20" s="318" t="n">
        <v>872.3</v>
      </c>
      <c r="P20" s="318" t="n">
        <v>1308.45</v>
      </c>
      <c r="Q20" s="318" t="n">
        <v>743.931045</v>
      </c>
      <c r="R20" s="318" t="n">
        <v>758.8096659</v>
      </c>
      <c r="S20" s="318" t="n">
        <v>773.985859218</v>
      </c>
      <c r="T20" s="318" t="n">
        <v>789.46557640236</v>
      </c>
      <c r="U20" s="318" t="n">
        <v>805.254887930407</v>
      </c>
      <c r="W20" s="164" t="n">
        <f aca="false">SUM(B20:U20)</f>
        <v>12419.9870344508</v>
      </c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</row>
    <row r="21" customFormat="false" ht="12.75" hidden="false" customHeight="false" outlineLevel="0" collapsed="false">
      <c r="A21" s="169" t="s">
        <v>193</v>
      </c>
      <c r="B21" s="171" t="n">
        <f aca="false">B78</f>
        <v>570.35295869938</v>
      </c>
      <c r="C21" s="171" t="n">
        <f aca="false">C78</f>
        <v>547.912551281755</v>
      </c>
      <c r="D21" s="171" t="n">
        <f aca="false">D78</f>
        <v>530.425980496167</v>
      </c>
      <c r="E21" s="171" t="n">
        <f aca="false">E78</f>
        <v>512.93940971058</v>
      </c>
      <c r="F21" s="171" t="n">
        <f aca="false">F78</f>
        <v>495.452838924992</v>
      </c>
      <c r="G21" s="171" t="n">
        <f aca="false">G78</f>
        <v>477.966268139404</v>
      </c>
      <c r="H21" s="171" t="n">
        <f aca="false">H78</f>
        <v>460.479697353816</v>
      </c>
      <c r="I21" s="171" t="n">
        <f aca="false">I78</f>
        <v>442.993126568228</v>
      </c>
      <c r="J21" s="171" t="n">
        <f aca="false">J78</f>
        <v>425.50655578264</v>
      </c>
      <c r="K21" s="171" t="n">
        <f aca="false">K78</f>
        <v>408.019984997052</v>
      </c>
      <c r="L21" s="171" t="n">
        <f aca="false">L78</f>
        <v>390.533414211464</v>
      </c>
      <c r="M21" s="171" t="n">
        <f aca="false">M78</f>
        <v>373.046843425876</v>
      </c>
      <c r="N21" s="171" t="n">
        <f aca="false">N78</f>
        <v>355.560272640288</v>
      </c>
      <c r="O21" s="171" t="n">
        <f aca="false">O78</f>
        <v>338.073701854701</v>
      </c>
      <c r="P21" s="171" t="n">
        <f aca="false">P78</f>
        <v>320.587131069113</v>
      </c>
      <c r="Q21" s="171" t="n">
        <f aca="false">Q78</f>
        <v>303.100560283525</v>
      </c>
      <c r="R21" s="171" t="n">
        <f aca="false">R78</f>
        <v>285.613989497937</v>
      </c>
      <c r="S21" s="171" t="n">
        <f aca="false">S78</f>
        <v>268.127418712349</v>
      </c>
      <c r="T21" s="171" t="n">
        <f aca="false">T78</f>
        <v>250.640847926761</v>
      </c>
      <c r="U21" s="171" t="n">
        <f aca="false">U78</f>
        <v>233.154277141173</v>
      </c>
      <c r="V21" s="164"/>
      <c r="W21" s="164" t="n">
        <f aca="false">SUM(B21:U21)</f>
        <v>7990.4878287172</v>
      </c>
    </row>
    <row r="22" customFormat="false" ht="12.75" hidden="false" customHeight="false" outlineLevel="0" collapsed="false">
      <c r="A22" s="169" t="s">
        <v>112</v>
      </c>
      <c r="B22" s="153" t="n">
        <f aca="false">SUM(B16:B21)</f>
        <v>3527.58485412526</v>
      </c>
      <c r="C22" s="153" t="n">
        <f aca="false">SUM(C16:C21)</f>
        <v>3763.08760357041</v>
      </c>
      <c r="D22" s="153" t="n">
        <f aca="false">SUM(D16:D21)</f>
        <v>3918.81868435348</v>
      </c>
      <c r="E22" s="153" t="n">
        <f aca="false">SUM(E16:E21)</f>
        <v>3989.89939468361</v>
      </c>
      <c r="F22" s="153" t="n">
        <f aca="false">SUM(F16:F21)</f>
        <v>4063.63712344722</v>
      </c>
      <c r="G22" s="153" t="n">
        <f aca="false">SUM(G16:G21)</f>
        <v>4227.3415811973</v>
      </c>
      <c r="H22" s="153" t="n">
        <f aca="false">SUM(H16:H21)</f>
        <v>4306.63486980345</v>
      </c>
      <c r="I22" s="153" t="n">
        <f aca="false">SUM(I16:I21)</f>
        <v>4388.83155419135</v>
      </c>
      <c r="J22" s="153" t="n">
        <f aca="false">SUM(J16:J21)</f>
        <v>4474.01873623445</v>
      </c>
      <c r="K22" s="153" t="n">
        <f aca="false">SUM(K16:K21)</f>
        <v>4562.28613086242</v>
      </c>
      <c r="L22" s="153" t="n">
        <f aca="false">SUM(L16:L21)</f>
        <v>4653.72614445279</v>
      </c>
      <c r="M22" s="153" t="n">
        <f aca="false">SUM(M16:M21)</f>
        <v>4748.43395557444</v>
      </c>
      <c r="N22" s="153" t="n">
        <f aca="false">SUM(N16:N21)</f>
        <v>5195.42759815331</v>
      </c>
      <c r="O22" s="153" t="n">
        <f aca="false">SUM(O16:O21)</f>
        <v>5296.96804713312</v>
      </c>
      <c r="P22" s="153" t="n">
        <f aca="false">SUM(P16:P21)</f>
        <v>5838.22930670588</v>
      </c>
      <c r="Q22" s="153" t="n">
        <f aca="false">SUM(Q16:Q21)</f>
        <v>5382.4995461894</v>
      </c>
      <c r="R22" s="153" t="n">
        <f aca="false">SUM(R16:R21)</f>
        <v>5509.95563453099</v>
      </c>
      <c r="S22" s="153" t="n">
        <f aca="false">SUM(S16:S21)</f>
        <v>5641.61121643739</v>
      </c>
      <c r="T22" s="153" t="n">
        <f aca="false">SUM(T16:T21)</f>
        <v>5777.58930099137</v>
      </c>
      <c r="U22" s="153" t="n">
        <f aca="false">SUM(U16:U21)</f>
        <v>5918.0165280337</v>
      </c>
      <c r="W22" s="164" t="n">
        <f aca="false">SUM(B22:U22)</f>
        <v>95184.5978106713</v>
      </c>
    </row>
    <row r="23" customFormat="false" ht="12.75" hidden="false" customHeight="false" outlineLevel="0" collapsed="false">
      <c r="A23" s="175"/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6"/>
      <c r="W23" s="164"/>
    </row>
    <row r="24" customFormat="false" ht="12.75" hidden="false" customHeight="false" outlineLevel="0" collapsed="false">
      <c r="A24" s="175"/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6"/>
      <c r="W24" s="164"/>
    </row>
    <row r="25" customFormat="false" ht="12.75" hidden="false" customHeight="false" outlineLevel="0" collapsed="false">
      <c r="A25" s="163" t="s">
        <v>113</v>
      </c>
      <c r="B25" s="160" t="n">
        <f aca="false">B13-B22</f>
        <v>31783.4500228794</v>
      </c>
      <c r="C25" s="160" t="n">
        <f aca="false">C13-C22</f>
        <v>33279.5079529654</v>
      </c>
      <c r="D25" s="160" t="n">
        <f aca="false">D13-D22</f>
        <v>34941.7836412298</v>
      </c>
      <c r="E25" s="160" t="n">
        <f aca="false">E13-E22</f>
        <v>36779.4371113703</v>
      </c>
      <c r="F25" s="160" t="n">
        <f aca="false">F13-F22</f>
        <v>38708.4987385931</v>
      </c>
      <c r="G25" s="160" t="n">
        <f aca="false">G13-G22</f>
        <v>39110.2831850374</v>
      </c>
      <c r="H25" s="160" t="n">
        <f aca="false">H13-H22</f>
        <v>39605.3634405783</v>
      </c>
      <c r="I25" s="160" t="n">
        <f aca="false">I13-I22</f>
        <v>40105.4504593062</v>
      </c>
      <c r="J25" s="160" t="n">
        <f aca="false">J13-J22</f>
        <v>40610.5749978345</v>
      </c>
      <c r="K25" s="160" t="n">
        <f aca="false">K13-K22</f>
        <v>41120.7672037305</v>
      </c>
      <c r="L25" s="160" t="n">
        <f aca="false">L13-L22</f>
        <v>41907.4322283802</v>
      </c>
      <c r="M25" s="160" t="n">
        <f aca="false">M13-M22</f>
        <v>42707.8382891644</v>
      </c>
      <c r="N25" s="160" t="n">
        <f aca="false">N13-N22</f>
        <v>43168.9396158445</v>
      </c>
      <c r="O25" s="160" t="n">
        <f aca="false">O13-O22</f>
        <v>43997.5386702893</v>
      </c>
      <c r="P25" s="160" t="n">
        <f aca="false">P13-P22</f>
        <v>44398.9953202425</v>
      </c>
      <c r="Q25" s="160" t="n">
        <f aca="false">Q13-Q22</f>
        <v>45600.8512882448</v>
      </c>
      <c r="R25" s="160" t="n">
        <f aca="false">R13-R22</f>
        <v>46223.474591313</v>
      </c>
      <c r="S25" s="160" t="n">
        <f aca="false">S13-S22</f>
        <v>46853.2696925466</v>
      </c>
      <c r="T25" s="160" t="n">
        <f aca="false">T13-T22</f>
        <v>47490.2960139454</v>
      </c>
      <c r="U25" s="160" t="n">
        <f aca="false">U13-U22</f>
        <v>48134.6125555487</v>
      </c>
      <c r="V25" s="293"/>
      <c r="W25" s="164" t="n">
        <f aca="false">SUM(B25:U25)</f>
        <v>826528.365019044</v>
      </c>
    </row>
    <row r="26" customFormat="false" ht="12.75" hidden="false" customHeight="false" outlineLevel="0" collapsed="false">
      <c r="A26" s="163"/>
      <c r="B26" s="320"/>
      <c r="C26" s="321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293"/>
      <c r="W26" s="164"/>
    </row>
    <row r="27" customFormat="false" ht="12.75" hidden="false" customHeight="false" outlineLevel="0" collapsed="false">
      <c r="A27" s="169" t="s">
        <v>114</v>
      </c>
      <c r="B27" s="153" t="n">
        <f aca="false">Depreciation!C13</f>
        <v>6995.66448355249</v>
      </c>
      <c r="C27" s="153" t="n">
        <f aca="false">Depreciation!D13</f>
        <v>6995.66448355249</v>
      </c>
      <c r="D27" s="153" t="n">
        <f aca="false">Depreciation!E13</f>
        <v>6995.66448355249</v>
      </c>
      <c r="E27" s="153" t="n">
        <f aca="false">Depreciation!F13</f>
        <v>6995.66448355249</v>
      </c>
      <c r="F27" s="153" t="n">
        <f aca="false">Depreciation!G13</f>
        <v>6995.66448355249</v>
      </c>
      <c r="G27" s="153" t="n">
        <f aca="false">Depreciation!H13</f>
        <v>6995.66448355249</v>
      </c>
      <c r="H27" s="153" t="n">
        <f aca="false">Depreciation!I13</f>
        <v>6995.66448355249</v>
      </c>
      <c r="I27" s="153" t="n">
        <f aca="false">Depreciation!J13</f>
        <v>6995.66448355249</v>
      </c>
      <c r="J27" s="153" t="n">
        <f aca="false">Depreciation!K13</f>
        <v>6995.66448355249</v>
      </c>
      <c r="K27" s="153" t="n">
        <f aca="false">Depreciation!L13</f>
        <v>6995.66448355249</v>
      </c>
      <c r="L27" s="153" t="n">
        <f aca="false">Depreciation!M13</f>
        <v>6995.66448355249</v>
      </c>
      <c r="M27" s="153" t="n">
        <f aca="false">Depreciation!N13</f>
        <v>6995.66448355249</v>
      </c>
      <c r="N27" s="153" t="n">
        <f aca="false">Depreciation!O13</f>
        <v>6995.66448355249</v>
      </c>
      <c r="O27" s="153" t="n">
        <f aca="false">Depreciation!P13</f>
        <v>6995.66448355249</v>
      </c>
      <c r="P27" s="153" t="n">
        <f aca="false">Depreciation!Q13</f>
        <v>6995.66448355249</v>
      </c>
      <c r="Q27" s="153" t="n">
        <f aca="false">Depreciation!R13</f>
        <v>6995.66448355249</v>
      </c>
      <c r="R27" s="153" t="n">
        <f aca="false">Depreciation!S13</f>
        <v>6995.66448355249</v>
      </c>
      <c r="S27" s="153" t="n">
        <f aca="false">Depreciation!T13</f>
        <v>6995.66448355249</v>
      </c>
      <c r="T27" s="153" t="n">
        <f aca="false">Depreciation!U13</f>
        <v>6995.66448355249</v>
      </c>
      <c r="U27" s="153" t="n">
        <f aca="false">Depreciation!V13</f>
        <v>6995.66448355249</v>
      </c>
      <c r="W27" s="164" t="n">
        <f aca="false">SUM(B27:U27)</f>
        <v>139913.28967105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69"/>
      <c r="B28" s="153"/>
      <c r="C28" s="16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W28" s="164"/>
    </row>
    <row r="29" customFormat="false" ht="12.75" hidden="false" customHeight="false" outlineLevel="0" collapsed="false">
      <c r="A29" s="163" t="s">
        <v>115</v>
      </c>
      <c r="B29" s="320" t="n">
        <f aca="false">B25-B27</f>
        <v>24787.7855393269</v>
      </c>
      <c r="C29" s="320" t="n">
        <f aca="false">C25-C27</f>
        <v>26283.8434694129</v>
      </c>
      <c r="D29" s="320" t="n">
        <f aca="false">D25-D27</f>
        <v>27946.1191576773</v>
      </c>
      <c r="E29" s="320" t="n">
        <f aca="false">E25-E27</f>
        <v>29783.7726278178</v>
      </c>
      <c r="F29" s="320" t="n">
        <f aca="false">F25-F27</f>
        <v>31712.8342550406</v>
      </c>
      <c r="G29" s="320" t="n">
        <f aca="false">G25-G27</f>
        <v>32114.6187014849</v>
      </c>
      <c r="H29" s="320" t="n">
        <f aca="false">H25-H27</f>
        <v>32609.6989570258</v>
      </c>
      <c r="I29" s="320" t="n">
        <f aca="false">I25-I27</f>
        <v>33109.7859757537</v>
      </c>
      <c r="J29" s="320" t="n">
        <f aca="false">J25-J27</f>
        <v>33614.910514282</v>
      </c>
      <c r="K29" s="320" t="n">
        <f aca="false">K25-K27</f>
        <v>34125.102720178</v>
      </c>
      <c r="L29" s="320" t="n">
        <f aca="false">L25-L27</f>
        <v>34911.7677448277</v>
      </c>
      <c r="M29" s="320" t="n">
        <f aca="false">M25-M27</f>
        <v>35712.1738056119</v>
      </c>
      <c r="N29" s="320" t="n">
        <f aca="false">N25-N27</f>
        <v>36173.275132292</v>
      </c>
      <c r="O29" s="320" t="n">
        <f aca="false">O25-O27</f>
        <v>37001.8741867368</v>
      </c>
      <c r="P29" s="320" t="n">
        <f aca="false">P25-P27</f>
        <v>37403.33083669</v>
      </c>
      <c r="Q29" s="320" t="n">
        <f aca="false">Q25-Q27</f>
        <v>38605.1868046923</v>
      </c>
      <c r="R29" s="320" t="n">
        <f aca="false">R25-R27</f>
        <v>39227.8101077605</v>
      </c>
      <c r="S29" s="320" t="n">
        <f aca="false">S25-S27</f>
        <v>39857.6052089941</v>
      </c>
      <c r="T29" s="320" t="n">
        <f aca="false">T25-T27</f>
        <v>40494.6315303929</v>
      </c>
      <c r="U29" s="320" t="n">
        <f aca="false">U25-U27</f>
        <v>41138.9480719962</v>
      </c>
      <c r="V29" s="293"/>
      <c r="W29" s="164" t="n">
        <f aca="false">SUM(B29:U29)</f>
        <v>686615.075347994</v>
      </c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</row>
    <row r="30" customFormat="false" ht="12.75" hidden="false" customHeight="false" outlineLevel="0" collapsed="false">
      <c r="A30" s="163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293"/>
      <c r="W30" s="164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</row>
    <row r="31" customFormat="false" ht="12.75" hidden="false" customHeight="false" outlineLevel="0" collapsed="false">
      <c r="A31" s="4" t="s">
        <v>116</v>
      </c>
      <c r="B31" s="153" t="n">
        <f aca="false">IS!B33*Allocation!$E$6</f>
        <v>11840.8402076016</v>
      </c>
      <c r="C31" s="153" t="n">
        <f aca="false">IS!C33*Allocation!$E$6</f>
        <v>11632.3268003102</v>
      </c>
      <c r="D31" s="153" t="n">
        <f aca="false">IS!D33*Allocation!$E$6</f>
        <v>11358.3220248141</v>
      </c>
      <c r="E31" s="153" t="n">
        <f aca="false">IS!E33*Allocation!$E$6</f>
        <v>11074.9562192793</v>
      </c>
      <c r="F31" s="153" t="n">
        <f aca="false">IS!F33*Allocation!$E$6</f>
        <v>10681.3936270022</v>
      </c>
      <c r="G31" s="153" t="n">
        <f aca="false">IS!G33*Allocation!$E$6</f>
        <v>10274.962506245</v>
      </c>
      <c r="H31" s="153" t="n">
        <f aca="false">IS!H33*Allocation!$E$6</f>
        <v>9858.03604768613</v>
      </c>
      <c r="I31" s="153" t="n">
        <f aca="false">IS!I33*Allocation!$E$6</f>
        <v>9451.79289949617</v>
      </c>
      <c r="J31" s="153" t="n">
        <f aca="false">IS!J33*Allocation!$E$6</f>
        <v>8973.25650936384</v>
      </c>
      <c r="K31" s="153" t="n">
        <f aca="false">IS!K33*Allocation!$E$6</f>
        <v>8494.53624264887</v>
      </c>
      <c r="L31" s="153" t="n">
        <f aca="false">IS!L33*Allocation!$E$6</f>
        <v>7982.71865475716</v>
      </c>
      <c r="M31" s="153" t="n">
        <f aca="false">IS!M33*Allocation!$E$6</f>
        <v>7449.21154070398</v>
      </c>
      <c r="N31" s="153" t="n">
        <f aca="false">IS!N33*Allocation!$E$6</f>
        <v>6832.36590815085</v>
      </c>
      <c r="O31" s="153" t="n">
        <f aca="false">IS!O33*Allocation!$E$6</f>
        <v>6188.75815991903</v>
      </c>
      <c r="P31" s="153" t="n">
        <f aca="false">IS!P33*Allocation!$E$6</f>
        <v>5490.33145453395</v>
      </c>
      <c r="Q31" s="153" t="n">
        <f aca="false">IS!Q33*Allocation!$E$6</f>
        <v>4743.68844863185</v>
      </c>
      <c r="R31" s="153" t="n">
        <f aca="false">IS!R33*Allocation!$E$6</f>
        <v>3897.32041183669</v>
      </c>
      <c r="S31" s="153" t="n">
        <f aca="false">IS!S33*Allocation!$E$6</f>
        <v>2985.6910761596</v>
      </c>
      <c r="T31" s="153" t="n">
        <f aca="false">IS!T33*Allocation!$E$6</f>
        <v>1985.12609122215</v>
      </c>
      <c r="U31" s="153" t="n">
        <f aca="false">IS!U33*Allocation!$E$6</f>
        <v>887.496714656119</v>
      </c>
      <c r="W31" s="164" t="n">
        <f aca="false">SUM(B31:U31)</f>
        <v>152083.131545019</v>
      </c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  <c r="IW31" s="293"/>
    </row>
    <row r="32" customFormat="false" ht="12.75" hidden="false" customHeight="false" outlineLevel="0" collapsed="false"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W32" s="164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  <c r="IW32" s="293"/>
    </row>
    <row r="33" customFormat="false" ht="12.75" hidden="false" customHeight="false" outlineLevel="0" collapsed="false">
      <c r="A33" s="163" t="s">
        <v>117</v>
      </c>
      <c r="B33" s="320" t="n">
        <f aca="false">B29-B31</f>
        <v>12946.9453317253</v>
      </c>
      <c r="C33" s="320" t="n">
        <f aca="false">C29-C31</f>
        <v>14651.5166691027</v>
      </c>
      <c r="D33" s="320" t="n">
        <f aca="false">D29-D31</f>
        <v>16587.7971328632</v>
      </c>
      <c r="E33" s="320" t="n">
        <f aca="false">E29-E31</f>
        <v>18708.8164085385</v>
      </c>
      <c r="F33" s="320" t="n">
        <f aca="false">F29-F31</f>
        <v>21031.4406280384</v>
      </c>
      <c r="G33" s="320" t="n">
        <f aca="false">G29-G31</f>
        <v>21839.6561952399</v>
      </c>
      <c r="H33" s="320" t="n">
        <f aca="false">H29-H31</f>
        <v>22751.6629093396</v>
      </c>
      <c r="I33" s="320" t="n">
        <f aca="false">I29-I31</f>
        <v>23657.9930762575</v>
      </c>
      <c r="J33" s="320" t="n">
        <f aca="false">J29-J31</f>
        <v>24641.6540049181</v>
      </c>
      <c r="K33" s="320" t="n">
        <f aca="false">K29-K31</f>
        <v>25630.5664775292</v>
      </c>
      <c r="L33" s="320" t="n">
        <f aca="false">L29-L31</f>
        <v>26929.0490900705</v>
      </c>
      <c r="M33" s="320" t="n">
        <f aca="false">M29-M31</f>
        <v>28262.9622649079</v>
      </c>
      <c r="N33" s="320" t="n">
        <f aca="false">N29-N31</f>
        <v>29340.9092241411</v>
      </c>
      <c r="O33" s="320" t="n">
        <f aca="false">O29-O31</f>
        <v>30813.1160268178</v>
      </c>
      <c r="P33" s="320" t="n">
        <f aca="false">P29-P31</f>
        <v>31912.999382156</v>
      </c>
      <c r="Q33" s="320" t="n">
        <f aca="false">Q29-Q31</f>
        <v>33861.4983560604</v>
      </c>
      <c r="R33" s="320" t="n">
        <f aca="false">R29-R31</f>
        <v>35330.4896959239</v>
      </c>
      <c r="S33" s="320" t="n">
        <f aca="false">S29-S31</f>
        <v>36871.9141328345</v>
      </c>
      <c r="T33" s="320" t="n">
        <f aca="false">T29-T31</f>
        <v>38509.5054391707</v>
      </c>
      <c r="U33" s="320" t="n">
        <f aca="false">U29-U31</f>
        <v>40251.4513573401</v>
      </c>
      <c r="V33" s="293"/>
      <c r="W33" s="164" t="n">
        <f aca="false">SUM(B33:U33)</f>
        <v>534531.943802975</v>
      </c>
    </row>
    <row r="34" customFormat="false" ht="12.75" hidden="false" customHeight="false" outlineLevel="0" collapsed="false">
      <c r="A34" s="163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293"/>
      <c r="W34" s="164"/>
    </row>
    <row r="35" customFormat="false" ht="12.75" hidden="false" customHeight="false" outlineLevel="0" collapsed="false">
      <c r="A35" s="169" t="s">
        <v>118</v>
      </c>
      <c r="B35" s="153" t="n">
        <f aca="false">B33*-Assumptions!$C$38</f>
        <v>-776.816719903517</v>
      </c>
      <c r="C35" s="153" t="n">
        <f aca="false">C33*-Assumptions!$C$38</f>
        <v>-879.091000146164</v>
      </c>
      <c r="D35" s="153" t="n">
        <f aca="false">D33*-Assumptions!$C$38</f>
        <v>-995.26782797179</v>
      </c>
      <c r="E35" s="153" t="n">
        <f aca="false">E33*-Assumptions!$C$38</f>
        <v>-1122.52898451231</v>
      </c>
      <c r="F35" s="153" t="n">
        <f aca="false">F33*-Assumptions!$C$38</f>
        <v>-1261.88643768231</v>
      </c>
      <c r="G35" s="153" t="n">
        <f aca="false">G33*-Assumptions!$C$38</f>
        <v>-1310.37937171439</v>
      </c>
      <c r="H35" s="153" t="n">
        <f aca="false">H33*-Assumptions!$C$38</f>
        <v>-1365.09977456038</v>
      </c>
      <c r="I35" s="153" t="n">
        <f aca="false">I33*-Assumptions!$C$38</f>
        <v>-1419.47958457545</v>
      </c>
      <c r="J35" s="153" t="n">
        <f aca="false">J33*-Assumptions!$C$38</f>
        <v>-1478.49924029509</v>
      </c>
      <c r="K35" s="153" t="n">
        <f aca="false">K33*-Assumptions!$C$38</f>
        <v>-1537.83398865175</v>
      </c>
      <c r="L35" s="153" t="n">
        <f aca="false">L33*-Assumptions!$C$38</f>
        <v>-1615.74294540423</v>
      </c>
      <c r="M35" s="153" t="n">
        <f aca="false">M33*-Assumptions!$C$38</f>
        <v>-1695.77773589447</v>
      </c>
      <c r="N35" s="153" t="n">
        <f aca="false">N33*-Assumptions!$C$38</f>
        <v>-1760.45455344847</v>
      </c>
      <c r="O35" s="153" t="n">
        <f aca="false">O33*-Assumptions!$C$38</f>
        <v>-1848.78696160907</v>
      </c>
      <c r="P35" s="153" t="n">
        <f aca="false">P33*-Assumptions!$C$38</f>
        <v>-1914.77996292936</v>
      </c>
      <c r="Q35" s="153" t="n">
        <f aca="false">Q33*-Assumptions!$C$38</f>
        <v>-2031.68990136362</v>
      </c>
      <c r="R35" s="153" t="n">
        <f aca="false">R33*-Assumptions!$C$38</f>
        <v>-2119.82938175543</v>
      </c>
      <c r="S35" s="153" t="n">
        <f aca="false">S33*-Assumptions!$C$38</f>
        <v>-2212.31484797007</v>
      </c>
      <c r="T35" s="153" t="n">
        <f aca="false">T33*-Assumptions!$C$38</f>
        <v>-2310.57032635024</v>
      </c>
      <c r="U35" s="153" t="n">
        <f aca="false">U33*-Assumptions!$C$38</f>
        <v>-2415.0870814404</v>
      </c>
      <c r="W35" s="164" t="n">
        <f aca="false">SUM(B35:U35)</f>
        <v>-32071.9166281785</v>
      </c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  <c r="IW35" s="293"/>
    </row>
    <row r="36" customFormat="false" ht="12.75" hidden="false" customHeight="false" outlineLevel="0" collapsed="false">
      <c r="A36" s="169" t="s">
        <v>119</v>
      </c>
      <c r="B36" s="322" t="n">
        <f aca="false">(B33+B35)*-Assumptions!$C$37</f>
        <v>-4259.54501413762</v>
      </c>
      <c r="C36" s="322" t="n">
        <f aca="false">(C33+C35)*-Assumptions!$C$37</f>
        <v>-4820.3489841348</v>
      </c>
      <c r="D36" s="322" t="n">
        <f aca="false">(D33+D35)*-Assumptions!$C$37</f>
        <v>-5457.38525671198</v>
      </c>
      <c r="E36" s="322" t="n">
        <f aca="false">(E33+E35)*-Assumptions!$C$37</f>
        <v>-6155.20059840917</v>
      </c>
      <c r="F36" s="322" t="n">
        <f aca="false">(F33+F35)*-Assumptions!$C$37</f>
        <v>-6919.34396662464</v>
      </c>
      <c r="G36" s="322" t="n">
        <f aca="false">(G33+G35)*-Assumptions!$C$37</f>
        <v>-7185.24688823393</v>
      </c>
      <c r="H36" s="322" t="n">
        <f aca="false">(H33+H35)*-Assumptions!$C$37</f>
        <v>-7485.29709717274</v>
      </c>
      <c r="I36" s="322" t="n">
        <f aca="false">(I33+I35)*-Assumptions!$C$37</f>
        <v>-7783.47972208873</v>
      </c>
      <c r="J36" s="322" t="n">
        <f aca="false">(J33+J35)*-Assumptions!$C$37</f>
        <v>-8107.10416761806</v>
      </c>
      <c r="K36" s="322" t="n">
        <f aca="false">(K33+K35)*-Assumptions!$C$37</f>
        <v>-8432.45637110709</v>
      </c>
      <c r="L36" s="322" t="n">
        <f aca="false">(L33+L35)*-Assumptions!$C$37</f>
        <v>-8859.6571506332</v>
      </c>
      <c r="M36" s="322" t="n">
        <f aca="false">(M33+M35)*-Assumptions!$C$37</f>
        <v>-9298.5145851547</v>
      </c>
      <c r="N36" s="322" t="n">
        <f aca="false">(N33+N35)*-Assumptions!$C$37</f>
        <v>-9653.15913474243</v>
      </c>
      <c r="O36" s="322" t="n">
        <f aca="false">(O33+O35)*-Assumptions!$C$37</f>
        <v>-10137.5151728231</v>
      </c>
      <c r="P36" s="322" t="n">
        <f aca="false">(P33+P35)*-Assumptions!$C$37</f>
        <v>-10499.3767967293</v>
      </c>
      <c r="Q36" s="322" t="n">
        <f aca="false">(Q33+Q35)*-Assumptions!$C$37</f>
        <v>-11140.4329591439</v>
      </c>
      <c r="R36" s="322" t="n">
        <f aca="false">(R33+R35)*-Assumptions!$C$37</f>
        <v>-11623.7311099589</v>
      </c>
      <c r="S36" s="322" t="n">
        <f aca="false">(S33+S35)*-Assumptions!$C$37</f>
        <v>-12130.8597497026</v>
      </c>
      <c r="T36" s="322" t="n">
        <f aca="false">(T33+T35)*-Assumptions!$C$37</f>
        <v>-12669.6272894872</v>
      </c>
      <c r="U36" s="322" t="n">
        <f aca="false">(U33+U35)*-Assumptions!$C$37</f>
        <v>-13242.7274965649</v>
      </c>
      <c r="W36" s="164" t="n">
        <f aca="false">SUM(B36:U36)</f>
        <v>-175861.009511179</v>
      </c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  <c r="IW36" s="293"/>
    </row>
    <row r="37" customFormat="false" ht="12.75" hidden="false" customHeight="false" outlineLevel="0" collapsed="false"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W37" s="164"/>
    </row>
    <row r="38" customFormat="false" ht="15.75" hidden="false" customHeight="false" outlineLevel="0" collapsed="false">
      <c r="A38" s="178" t="s">
        <v>194</v>
      </c>
      <c r="B38" s="323" t="n">
        <f aca="false">SUM(B33:B36)</f>
        <v>7910.58359768415</v>
      </c>
      <c r="C38" s="323" t="n">
        <f aca="false">SUM(C33:C36)</f>
        <v>8952.07668482177</v>
      </c>
      <c r="D38" s="323" t="n">
        <f aca="false">SUM(D33:D36)</f>
        <v>10135.1440481794</v>
      </c>
      <c r="E38" s="323" t="n">
        <f aca="false">SUM(E33:E36)</f>
        <v>11431.086825617</v>
      </c>
      <c r="F38" s="323" t="n">
        <f aca="false">SUM(F33:F36)</f>
        <v>12850.2102237315</v>
      </c>
      <c r="G38" s="323" t="n">
        <f aca="false">SUM(G33:G36)</f>
        <v>13344.0299352916</v>
      </c>
      <c r="H38" s="323" t="n">
        <f aca="false">SUM(H33:H36)</f>
        <v>13901.2660376065</v>
      </c>
      <c r="I38" s="323" t="n">
        <f aca="false">SUM(I33:I36)</f>
        <v>14455.0337695934</v>
      </c>
      <c r="J38" s="323" t="n">
        <f aca="false">SUM(J33:J36)</f>
        <v>15056.050597005</v>
      </c>
      <c r="K38" s="323" t="n">
        <f aca="false">SUM(K33:K36)</f>
        <v>15660.2761177703</v>
      </c>
      <c r="L38" s="323" t="n">
        <f aca="false">SUM(L33:L36)</f>
        <v>16453.6489940331</v>
      </c>
      <c r="M38" s="323" t="n">
        <f aca="false">SUM(M33:M36)</f>
        <v>17268.6699438587</v>
      </c>
      <c r="N38" s="323" t="n">
        <f aca="false">SUM(N33:N36)</f>
        <v>17927.2955359502</v>
      </c>
      <c r="O38" s="323" t="n">
        <f aca="false">SUM(O33:O36)</f>
        <v>18826.8138923857</v>
      </c>
      <c r="P38" s="323" t="n">
        <f aca="false">SUM(P33:P36)</f>
        <v>19498.8426224973</v>
      </c>
      <c r="Q38" s="323" t="n">
        <f aca="false">SUM(Q33:Q36)</f>
        <v>20689.3754955529</v>
      </c>
      <c r="R38" s="323" t="n">
        <f aca="false">SUM(R33:R36)</f>
        <v>21586.9292042095</v>
      </c>
      <c r="S38" s="323" t="n">
        <f aca="false">SUM(S33:S36)</f>
        <v>22528.7395351619</v>
      </c>
      <c r="T38" s="323" t="n">
        <f aca="false">SUM(T33:T36)</f>
        <v>23529.3078233333</v>
      </c>
      <c r="U38" s="323" t="n">
        <f aca="false">SUM(U33:U36)</f>
        <v>24593.6367793348</v>
      </c>
      <c r="V38" s="324"/>
      <c r="W38" s="164" t="n">
        <f aca="false">SUM(B38:U38)</f>
        <v>326599.017663618</v>
      </c>
    </row>
    <row r="39" customFormat="false" ht="12.75" hidden="false" customHeight="false" outlineLevel="0" collapsed="false">
      <c r="A39" s="317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16"/>
      <c r="W39" s="316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  <c r="IW39" s="293"/>
    </row>
    <row r="40" customFormat="false" ht="12.75" hidden="false" customHeight="false" outlineLevel="0" collapsed="false">
      <c r="A40" s="163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  <c r="IW40" s="293"/>
    </row>
    <row r="41" customFormat="false" ht="12.75" hidden="false" customHeight="false" outlineLevel="0" collapsed="false">
      <c r="A41" s="258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customFormat="false" ht="18" hidden="false" customHeight="false" outlineLevel="0" collapsed="false">
      <c r="A42" s="326" t="s">
        <v>195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</row>
    <row r="43" customFormat="false" ht="12.75" hidden="false" customHeight="false" outlineLevel="0" collapsed="false">
      <c r="A43" s="163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</row>
    <row r="44" customFormat="false" ht="15.75" hidden="false" customHeight="false" outlineLevel="0" collapsed="false">
      <c r="A44" s="163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324"/>
      <c r="DB44" s="324"/>
      <c r="DC44" s="324"/>
      <c r="DD44" s="324"/>
      <c r="DE44" s="324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  <c r="IW44" s="324"/>
    </row>
    <row r="45" customFormat="false" ht="12.75" hidden="false" customHeight="false" outlineLevel="0" collapsed="false">
      <c r="A45" s="163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  <c r="BN45" s="316"/>
      <c r="BO45" s="316"/>
      <c r="BP45" s="316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  <c r="CG45" s="316"/>
      <c r="CH45" s="316"/>
      <c r="CI45" s="316"/>
      <c r="CJ45" s="316"/>
      <c r="CK45" s="316"/>
      <c r="CL45" s="316"/>
      <c r="CM45" s="316"/>
      <c r="CN45" s="316"/>
      <c r="CO45" s="316"/>
      <c r="CP45" s="316"/>
      <c r="CQ45" s="316"/>
      <c r="CR45" s="316"/>
      <c r="CS45" s="316"/>
      <c r="CT45" s="316"/>
      <c r="CU45" s="316"/>
      <c r="CV45" s="316"/>
      <c r="CW45" s="316"/>
      <c r="CX45" s="316"/>
      <c r="CY45" s="316"/>
      <c r="CZ45" s="316"/>
      <c r="DA45" s="316"/>
      <c r="DB45" s="316"/>
      <c r="DC45" s="316"/>
      <c r="DD45" s="316"/>
      <c r="DE45" s="316"/>
      <c r="DF45" s="316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6"/>
      <c r="EM45" s="316"/>
      <c r="EN45" s="316"/>
      <c r="EO45" s="316"/>
      <c r="EP45" s="316"/>
      <c r="EQ45" s="316"/>
      <c r="ER45" s="316"/>
      <c r="ES45" s="316"/>
      <c r="ET45" s="316"/>
      <c r="EU45" s="316"/>
      <c r="EV45" s="316"/>
      <c r="EW45" s="316"/>
      <c r="EX45" s="316"/>
      <c r="EY45" s="316"/>
      <c r="EZ45" s="316"/>
      <c r="FA45" s="316"/>
      <c r="FB45" s="316"/>
      <c r="FC45" s="316"/>
      <c r="FD45" s="316"/>
      <c r="FE45" s="316"/>
      <c r="FF45" s="316"/>
      <c r="FG45" s="316"/>
      <c r="FH45" s="316"/>
      <c r="FI45" s="316"/>
      <c r="FJ45" s="316"/>
      <c r="FK45" s="316"/>
      <c r="FL45" s="316"/>
      <c r="FM45" s="316"/>
      <c r="FN45" s="316"/>
      <c r="FO45" s="316"/>
      <c r="FP45" s="316"/>
      <c r="FQ45" s="316"/>
      <c r="FR45" s="316"/>
      <c r="FS45" s="316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E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</row>
    <row r="46" customFormat="false" ht="13.5" hidden="false" customHeight="false" outlineLevel="0" collapsed="false">
      <c r="A46" s="154" t="s">
        <v>101</v>
      </c>
      <c r="B46" s="155" t="n">
        <v>2001</v>
      </c>
      <c r="C46" s="155" t="n">
        <f aca="false">B46+1</f>
        <v>2002</v>
      </c>
      <c r="D46" s="155" t="n">
        <f aca="false">C46+1</f>
        <v>2003</v>
      </c>
      <c r="E46" s="155" t="n">
        <f aca="false">D46+1</f>
        <v>2004</v>
      </c>
      <c r="F46" s="155" t="n">
        <f aca="false">E46+1</f>
        <v>2005</v>
      </c>
      <c r="G46" s="155" t="n">
        <f aca="false">F46+1</f>
        <v>2006</v>
      </c>
      <c r="H46" s="155" t="n">
        <f aca="false">G46+1</f>
        <v>2007</v>
      </c>
      <c r="I46" s="155" t="n">
        <f aca="false">H46+1</f>
        <v>2008</v>
      </c>
      <c r="J46" s="155" t="n">
        <f aca="false">I46+1</f>
        <v>2009</v>
      </c>
      <c r="K46" s="155" t="n">
        <f aca="false">J46+1</f>
        <v>2010</v>
      </c>
      <c r="L46" s="155" t="n">
        <f aca="false">K46+1</f>
        <v>2011</v>
      </c>
      <c r="M46" s="155" t="n">
        <f aca="false">L46+1</f>
        <v>2012</v>
      </c>
      <c r="N46" s="155" t="n">
        <f aca="false">M46+1</f>
        <v>2013</v>
      </c>
      <c r="O46" s="155" t="n">
        <f aca="false">N46+1</f>
        <v>2014</v>
      </c>
      <c r="P46" s="155" t="n">
        <f aca="false">O46+1</f>
        <v>2015</v>
      </c>
      <c r="Q46" s="155" t="n">
        <f aca="false">P46+1</f>
        <v>2016</v>
      </c>
      <c r="R46" s="155" t="n">
        <f aca="false">Q46+1</f>
        <v>2017</v>
      </c>
      <c r="S46" s="155" t="n">
        <f aca="false">R46+1</f>
        <v>2018</v>
      </c>
      <c r="T46" s="155" t="n">
        <f aca="false">S46+1</f>
        <v>2019</v>
      </c>
      <c r="U46" s="155" t="n">
        <f aca="false">T46+1</f>
        <v>2020</v>
      </c>
      <c r="W46" s="290" t="s">
        <v>123</v>
      </c>
    </row>
    <row r="47" customFormat="false" ht="12.75" hidden="false" customHeight="false" outlineLevel="0" collapsed="false">
      <c r="A47" s="254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W47" s="168"/>
    </row>
    <row r="48" customFormat="false" ht="12.75" hidden="false" customHeight="false" outlineLevel="0" collapsed="false">
      <c r="A48" s="258" t="s">
        <v>113</v>
      </c>
      <c r="B48" s="259" t="n">
        <f aca="false">B25</f>
        <v>31783.4500228794</v>
      </c>
      <c r="C48" s="259" t="n">
        <f aca="false">C25</f>
        <v>33279.5079529654</v>
      </c>
      <c r="D48" s="259" t="n">
        <f aca="false">D25</f>
        <v>34941.7836412298</v>
      </c>
      <c r="E48" s="172" t="n">
        <f aca="false">E25</f>
        <v>36779.4371113703</v>
      </c>
      <c r="F48" s="172" t="n">
        <f aca="false">F25</f>
        <v>38708.4987385931</v>
      </c>
      <c r="G48" s="172" t="n">
        <f aca="false">G25</f>
        <v>39110.2831850374</v>
      </c>
      <c r="H48" s="172" t="n">
        <f aca="false">H25</f>
        <v>39605.3634405783</v>
      </c>
      <c r="I48" s="172" t="n">
        <f aca="false">I25</f>
        <v>40105.4504593062</v>
      </c>
      <c r="J48" s="172" t="n">
        <f aca="false">J25</f>
        <v>40610.5749978345</v>
      </c>
      <c r="K48" s="172" t="n">
        <f aca="false">K25</f>
        <v>41120.7672037305</v>
      </c>
      <c r="L48" s="172" t="n">
        <f aca="false">L25</f>
        <v>41907.4322283802</v>
      </c>
      <c r="M48" s="172" t="n">
        <f aca="false">M25</f>
        <v>42707.8382891644</v>
      </c>
      <c r="N48" s="172" t="n">
        <f aca="false">N25</f>
        <v>43168.9396158445</v>
      </c>
      <c r="O48" s="172" t="n">
        <f aca="false">O25</f>
        <v>43997.5386702893</v>
      </c>
      <c r="P48" s="172" t="n">
        <f aca="false">P25</f>
        <v>44398.9953202425</v>
      </c>
      <c r="Q48" s="172" t="n">
        <f aca="false">Q25</f>
        <v>45600.8512882448</v>
      </c>
      <c r="R48" s="172" t="n">
        <f aca="false">R25</f>
        <v>46223.474591313</v>
      </c>
      <c r="S48" s="172" t="n">
        <f aca="false">S25</f>
        <v>46853.2696925466</v>
      </c>
      <c r="T48" s="172" t="n">
        <f aca="false">T25</f>
        <v>47490.2960139454</v>
      </c>
      <c r="U48" s="172" t="n">
        <f aca="false">U25</f>
        <v>48134.6125555487</v>
      </c>
      <c r="W48" s="170" t="n">
        <f aca="false">SUM(B48:U48)</f>
        <v>826528.365019044</v>
      </c>
    </row>
    <row r="49" customFormat="false" ht="12.75" hidden="false" customHeight="false" outlineLevel="0" collapsed="false">
      <c r="A49" s="258" t="s">
        <v>147</v>
      </c>
      <c r="B49" s="259" t="n">
        <f aca="false">B20</f>
        <v>174.46</v>
      </c>
      <c r="C49" s="259" t="n">
        <f aca="false">C20</f>
        <v>348.92</v>
      </c>
      <c r="D49" s="259" t="n">
        <f aca="false">D20</f>
        <v>436.15</v>
      </c>
      <c r="E49" s="259" t="n">
        <f aca="false">E20</f>
        <v>436.15</v>
      </c>
      <c r="F49" s="259" t="n">
        <f aca="false">F20</f>
        <v>436.15</v>
      </c>
      <c r="G49" s="259" t="n">
        <f aca="false">G20</f>
        <v>523.38</v>
      </c>
      <c r="H49" s="259" t="n">
        <f aca="false">H20</f>
        <v>523.38</v>
      </c>
      <c r="I49" s="259" t="n">
        <f aca="false">I20</f>
        <v>523.38</v>
      </c>
      <c r="J49" s="259" t="n">
        <f aca="false">J20</f>
        <v>523.38</v>
      </c>
      <c r="K49" s="259" t="n">
        <f aca="false">K20</f>
        <v>523.38</v>
      </c>
      <c r="L49" s="259" t="n">
        <f aca="false">L20</f>
        <v>523.38</v>
      </c>
      <c r="M49" s="259" t="n">
        <f aca="false">M20</f>
        <v>523.38</v>
      </c>
      <c r="N49" s="259" t="n">
        <f aca="false">N20</f>
        <v>872.3</v>
      </c>
      <c r="O49" s="259" t="n">
        <f aca="false">O20</f>
        <v>872.3</v>
      </c>
      <c r="P49" s="259" t="n">
        <f aca="false">P20</f>
        <v>1308.45</v>
      </c>
      <c r="Q49" s="259" t="n">
        <f aca="false">Q20</f>
        <v>743.931045</v>
      </c>
      <c r="R49" s="259" t="n">
        <f aca="false">R20</f>
        <v>758.8096659</v>
      </c>
      <c r="S49" s="259" t="n">
        <f aca="false">S20</f>
        <v>773.985859218</v>
      </c>
      <c r="T49" s="259" t="n">
        <f aca="false">T20</f>
        <v>789.46557640236</v>
      </c>
      <c r="U49" s="259" t="n">
        <f aca="false">U20</f>
        <v>805.254887930407</v>
      </c>
      <c r="W49" s="170" t="n">
        <f aca="false">SUM(B49:U49)</f>
        <v>12419.9870344508</v>
      </c>
    </row>
    <row r="50" customFormat="false" ht="12.75" hidden="false" customHeight="false" outlineLevel="0" collapsed="false">
      <c r="A50" s="258" t="s">
        <v>148</v>
      </c>
      <c r="B50" s="327" t="n">
        <v>-92.2251014</v>
      </c>
      <c r="C50" s="259" t="n">
        <f aca="false">-B49</f>
        <v>-174.46</v>
      </c>
      <c r="D50" s="259" t="n">
        <f aca="false">-C49</f>
        <v>-348.92</v>
      </c>
      <c r="E50" s="259" t="n">
        <f aca="false">-D49</f>
        <v>-436.15</v>
      </c>
      <c r="F50" s="259" t="n">
        <f aca="false">-E49</f>
        <v>-436.15</v>
      </c>
      <c r="G50" s="259" t="n">
        <f aca="false">-F49</f>
        <v>-436.15</v>
      </c>
      <c r="H50" s="259" t="n">
        <f aca="false">-G49</f>
        <v>-523.38</v>
      </c>
      <c r="I50" s="259" t="n">
        <f aca="false">-H49</f>
        <v>-523.38</v>
      </c>
      <c r="J50" s="259" t="n">
        <f aca="false">-I49</f>
        <v>-523.38</v>
      </c>
      <c r="K50" s="259" t="n">
        <f aca="false">-J49</f>
        <v>-523.38</v>
      </c>
      <c r="L50" s="259" t="n">
        <f aca="false">-K49</f>
        <v>-523.38</v>
      </c>
      <c r="M50" s="259" t="n">
        <f aca="false">-L49</f>
        <v>-523.38</v>
      </c>
      <c r="N50" s="259" t="n">
        <f aca="false">-M49</f>
        <v>-523.38</v>
      </c>
      <c r="O50" s="259" t="n">
        <f aca="false">-N49</f>
        <v>-872.3</v>
      </c>
      <c r="P50" s="259" t="n">
        <f aca="false">-O49</f>
        <v>-872.3</v>
      </c>
      <c r="Q50" s="259" t="n">
        <f aca="false">-P49</f>
        <v>-1308.45</v>
      </c>
      <c r="R50" s="259" t="n">
        <f aca="false">-Q49</f>
        <v>-743.931045</v>
      </c>
      <c r="S50" s="259" t="n">
        <f aca="false">-R49</f>
        <v>-758.8096659</v>
      </c>
      <c r="T50" s="259" t="n">
        <f aca="false">-S49</f>
        <v>-773.985859218</v>
      </c>
      <c r="U50" s="259" t="n">
        <f aca="false">-T49</f>
        <v>-789.46557640236</v>
      </c>
      <c r="W50" s="170" t="n">
        <f aca="false">SUM(B50:U50)</f>
        <v>-11706.9572479204</v>
      </c>
    </row>
    <row r="51" customFormat="false" ht="12.75" hidden="false" customHeight="false" outlineLevel="0" collapsed="false">
      <c r="A51" s="258" t="s">
        <v>196</v>
      </c>
      <c r="B51" s="328" t="n">
        <f aca="false">-Debt!B77*Allocation!$E$6</f>
        <v>-13963.428461113</v>
      </c>
      <c r="C51" s="328" t="n">
        <f aca="false">-Debt!C77*Allocation!$E$6</f>
        <v>-14039.3141335405</v>
      </c>
      <c r="D51" s="328" t="n">
        <f aca="false">-Debt!D77*Allocation!$E$6</f>
        <v>-14105.200941123</v>
      </c>
      <c r="E51" s="328" t="n">
        <f aca="false">-Debt!E77*Allocation!$E$6</f>
        <v>-14251.9020366265</v>
      </c>
      <c r="F51" s="328" t="n">
        <f aca="false">-Debt!F77*Allocation!$E$6</f>
        <v>-14357.7719745873</v>
      </c>
      <c r="G51" s="328" t="n">
        <f aca="false">-Debt!G77*Allocation!$E$6</f>
        <v>-14034.5796088699</v>
      </c>
      <c r="H51" s="328" t="n">
        <f aca="false">-Debt!H77*Allocation!$E$6</f>
        <v>-13749.4478457904</v>
      </c>
      <c r="I51" s="328" t="n">
        <f aca="false">-Debt!I77*Allocation!$E$6</f>
        <v>-13509.6822076798</v>
      </c>
      <c r="J51" s="328" t="n">
        <f aca="false">-Debt!J77*Allocation!$E$6</f>
        <v>-13260.0523939065</v>
      </c>
      <c r="K51" s="328" t="n">
        <f aca="false">-Debt!K77*Allocation!$E$6</f>
        <v>-13051.8580810705</v>
      </c>
      <c r="L51" s="328" t="n">
        <f aca="false">-Debt!L77*Allocation!$E$6</f>
        <v>-12843.4522698237</v>
      </c>
      <c r="M51" s="328" t="n">
        <f aca="false">-Debt!M77*Allocation!$E$6</f>
        <v>-12672.6864703277</v>
      </c>
      <c r="N51" s="328" t="n">
        <f aca="false">-Debt!N77*Allocation!$E$6</f>
        <v>-12462.1111100787</v>
      </c>
      <c r="O51" s="328" t="n">
        <f aca="false">-Debt!O77*Allocation!$E$6</f>
        <v>-12297.3218970623</v>
      </c>
      <c r="P51" s="328" t="n">
        <f aca="false">-Debt!P77*Allocation!$E$6</f>
        <v>-12121.2426846396</v>
      </c>
      <c r="Q51" s="328" t="n">
        <f aca="false">-Debt!Q77*Allocation!$E$6</f>
        <v>-12013.0243923582</v>
      </c>
      <c r="R51" s="328" t="n">
        <f aca="false">-Debt!R77*Allocation!$E$6</f>
        <v>-11848.6100269306</v>
      </c>
      <c r="S51" s="328" t="n">
        <f aca="false">-Debt!S77*Allocation!$E$6</f>
        <v>-11705.9922781148</v>
      </c>
      <c r="T51" s="328" t="n">
        <f aca="false">-Debt!T77*Allocation!$E$6</f>
        <v>-11576.0064481146</v>
      </c>
      <c r="U51" s="328" t="n">
        <f aca="false">-Debt!U77*Allocation!$E$6</f>
        <v>-11450.5237945619</v>
      </c>
      <c r="W51" s="170" t="n">
        <f aca="false">SUM(B51:U51)</f>
        <v>-259314.20905632</v>
      </c>
    </row>
    <row r="52" customFormat="false" ht="12.75" hidden="false" customHeight="false" outlineLevel="0" collapsed="false">
      <c r="A52" s="258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W52" s="251"/>
    </row>
    <row r="53" customFormat="false" ht="12.75" hidden="false" customHeight="false" outlineLevel="0" collapsed="false">
      <c r="A53" s="254" t="s">
        <v>197</v>
      </c>
      <c r="B53" s="330" t="n">
        <f aca="false">SUM(B48:B51)</f>
        <v>17902.2564603664</v>
      </c>
      <c r="C53" s="330" t="n">
        <f aca="false">SUM(C48:C51)</f>
        <v>19414.6538194249</v>
      </c>
      <c r="D53" s="330" t="n">
        <f aca="false">SUM(D48:D51)</f>
        <v>20923.8127001067</v>
      </c>
      <c r="E53" s="330" t="n">
        <f aca="false">SUM(E48:E51)</f>
        <v>22527.5350747438</v>
      </c>
      <c r="F53" s="330" t="n">
        <f aca="false">SUM(F48:F51)</f>
        <v>24350.7267640058</v>
      </c>
      <c r="G53" s="330" t="n">
        <f aca="false">SUM(G48:G51)</f>
        <v>25162.9335761676</v>
      </c>
      <c r="H53" s="330" t="n">
        <f aca="false">SUM(H48:H51)</f>
        <v>25855.9155947878</v>
      </c>
      <c r="I53" s="330" t="n">
        <f aca="false">SUM(I48:I51)</f>
        <v>26595.7682516264</v>
      </c>
      <c r="J53" s="330" t="n">
        <f aca="false">SUM(J48:J51)</f>
        <v>27350.5226039279</v>
      </c>
      <c r="K53" s="330" t="n">
        <f aca="false">SUM(K48:K51)</f>
        <v>28068.9091226601</v>
      </c>
      <c r="L53" s="330" t="n">
        <f aca="false">SUM(L48:L51)</f>
        <v>29063.9799585565</v>
      </c>
      <c r="M53" s="330" t="n">
        <f aca="false">SUM(M48:M51)</f>
        <v>30035.1518188366</v>
      </c>
      <c r="N53" s="330" t="n">
        <f aca="false">SUM(N48:N51)</f>
        <v>31055.7485057658</v>
      </c>
      <c r="O53" s="330" t="n">
        <f aca="false">SUM(O48:O51)</f>
        <v>31700.216773227</v>
      </c>
      <c r="P53" s="330" t="n">
        <f aca="false">SUM(P48:P51)</f>
        <v>32713.9026356028</v>
      </c>
      <c r="Q53" s="330" t="n">
        <f aca="false">SUM(Q48:Q51)</f>
        <v>33023.3079408865</v>
      </c>
      <c r="R53" s="330" t="n">
        <f aca="false">SUM(R48:R51)</f>
        <v>34389.7431852824</v>
      </c>
      <c r="S53" s="330" t="n">
        <f aca="false">SUM(S48:S51)</f>
        <v>35162.4536077498</v>
      </c>
      <c r="T53" s="330" t="n">
        <f aca="false">SUM(T48:T51)</f>
        <v>35929.7692830151</v>
      </c>
      <c r="U53" s="330" t="n">
        <f aca="false">SUM(U48:U51)</f>
        <v>36699.8780725148</v>
      </c>
      <c r="V53" s="293"/>
      <c r="W53" s="170" t="n">
        <f aca="false">SUM(B53:U53)</f>
        <v>567927.185749255</v>
      </c>
    </row>
    <row r="54" customFormat="false" ht="12.75" hidden="false" customHeight="false" outlineLevel="0" collapsed="false">
      <c r="A54" s="254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W54" s="251"/>
    </row>
    <row r="55" customFormat="false" ht="15" hidden="false" customHeight="false" outlineLevel="0" collapsed="false">
      <c r="A55" s="258" t="s">
        <v>198</v>
      </c>
      <c r="B55" s="329" t="n">
        <f aca="false">-B97</f>
        <v>-496.990140561417</v>
      </c>
      <c r="C55" s="329" t="n">
        <f aca="false">-C97</f>
        <v>-0</v>
      </c>
      <c r="D55" s="329" t="n">
        <f aca="false">-D97</f>
        <v>-188.403687581803</v>
      </c>
      <c r="E55" s="329" t="n">
        <f aca="false">-E97</f>
        <v>-464.936523058377</v>
      </c>
      <c r="F55" s="329" t="n">
        <f aca="false">-F97</f>
        <v>-712.02720927508</v>
      </c>
      <c r="G55" s="329" t="n">
        <f aca="false">-G97</f>
        <v>-858.459446076903</v>
      </c>
      <c r="H55" s="329" t="n">
        <f aca="false">-H97</f>
        <v>-959.351234514334</v>
      </c>
      <c r="I55" s="329" t="n">
        <f aca="false">-I97</f>
        <v>-1012.3319116327</v>
      </c>
      <c r="J55" s="329" t="n">
        <f aca="false">-J97</f>
        <v>-1072.75070024904</v>
      </c>
      <c r="K55" s="329" t="n">
        <f aca="false">-K97</f>
        <v>-1130.68631570899</v>
      </c>
      <c r="L55" s="329" t="n">
        <f aca="false">-L97</f>
        <v>-1209.99440535819</v>
      </c>
      <c r="M55" s="329" t="n">
        <f aca="false">-M97</f>
        <v>-1288.63006295172</v>
      </c>
      <c r="N55" s="329" t="n">
        <f aca="false">-N97</f>
        <v>-1354.70601340242</v>
      </c>
      <c r="O55" s="329" t="n">
        <f aca="false">-O97</f>
        <v>-1441.63928866631</v>
      </c>
      <c r="P55" s="329" t="n">
        <f aca="false">-P97</f>
        <v>-1509.03142288332</v>
      </c>
      <c r="Q55" s="329" t="n">
        <f aca="false">-Q97</f>
        <v>-2038.68556584718</v>
      </c>
      <c r="R55" s="329" t="n">
        <f aca="false">-R97</f>
        <v>-2539.56925076858</v>
      </c>
      <c r="S55" s="329" t="n">
        <f aca="false">-S97</f>
        <v>-2632.05471698322</v>
      </c>
      <c r="T55" s="329" t="n">
        <f aca="false">-T97</f>
        <v>-2730.31019536339</v>
      </c>
      <c r="U55" s="329" t="n">
        <f aca="false">-U97</f>
        <v>-2834.82695045355</v>
      </c>
      <c r="W55" s="170" t="n">
        <f aca="false">SUM(B55:U55)</f>
        <v>-26475.3850413365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customFormat="false" ht="12.75" hidden="false" customHeight="false" outlineLevel="0" collapsed="false">
      <c r="A56" s="258" t="s">
        <v>199</v>
      </c>
      <c r="B56" s="331" t="n">
        <f aca="false">-Allocation!$E$6*Tax!B24</f>
        <v>-2436.84034291895</v>
      </c>
      <c r="C56" s="331" t="n">
        <f aca="false">-Allocation!$E$6*Tax!C24</f>
        <v>-0</v>
      </c>
      <c r="D56" s="331" t="n">
        <f aca="false">-Allocation!$E$6*Tax!D24</f>
        <v>-196.191577763351</v>
      </c>
      <c r="E56" s="331" t="n">
        <f aca="false">-Allocation!$E$6*Tax!E24</f>
        <v>-2197.95455486107</v>
      </c>
      <c r="F56" s="331" t="n">
        <f aca="false">-Allocation!$E$6*Tax!F24</f>
        <v>-3506.65479544501</v>
      </c>
      <c r="G56" s="331" t="n">
        <f aca="false">-Allocation!$E$6*Tax!G24</f>
        <v>-4394.78325492273</v>
      </c>
      <c r="H56" s="331" t="n">
        <f aca="false">-Allocation!$E$6*Tax!H24</f>
        <v>-5000.32450848006</v>
      </c>
      <c r="I56" s="331" t="n">
        <f aca="false">-Allocation!$E$6*Tax!I24</f>
        <v>-5341.24169108279</v>
      </c>
      <c r="J56" s="331" t="n">
        <f aca="false">-Allocation!$E$6*Tax!J24</f>
        <v>-5735.59899441382</v>
      </c>
      <c r="K56" s="331" t="n">
        <f aca="false">-Allocation!$E$6*Tax!K24</f>
        <v>-6125.90741750498</v>
      </c>
      <c r="L56" s="331" t="n">
        <f aca="false">-Allocation!$E$6*Tax!L24</f>
        <v>-6516.06660215872</v>
      </c>
      <c r="M56" s="331" t="n">
        <f aca="false">-Allocation!$E$6*Tax!M24</f>
        <v>-6916.68329106303</v>
      </c>
      <c r="N56" s="331" t="n">
        <f aca="false">-Allocation!$E$6*Tax!N24</f>
        <v>-7328.51994856106</v>
      </c>
      <c r="O56" s="331" t="n">
        <f aca="false">-Allocation!$E$6*Tax!O24</f>
        <v>-7772.73530121452</v>
      </c>
      <c r="P56" s="331" t="n">
        <f aca="false">-Allocation!$E$6*Tax!P24</f>
        <v>-8210.09426666882</v>
      </c>
      <c r="Q56" s="331" t="n">
        <f aca="false">-Allocation!$E$6*Tax!Q24</f>
        <v>-11074.3927006364</v>
      </c>
      <c r="R56" s="331" t="n">
        <f aca="false">-Allocation!$E$6*Tax!R24</f>
        <v>-13914.5723056282</v>
      </c>
      <c r="S56" s="331" t="n">
        <f aca="false">-Allocation!$E$6*Tax!S24</f>
        <v>-14426.8708639493</v>
      </c>
      <c r="T56" s="331" t="n">
        <f aca="false">-Allocation!$E$6*Tax!T24</f>
        <v>-14970.838485854</v>
      </c>
      <c r="U56" s="331" t="n">
        <f aca="false">-Allocation!$E$6*Tax!U24</f>
        <v>-15549.1469730287</v>
      </c>
      <c r="W56" s="170" t="n">
        <f aca="false">SUM(B56:U56)</f>
        <v>-141615.417876156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customFormat="false" ht="12.75" hidden="false" customHeight="false" outlineLevel="0" collapsed="false">
      <c r="A57" s="258"/>
      <c r="B57" s="322"/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W57" s="251"/>
    </row>
    <row r="58" customFormat="false" ht="15.75" hidden="false" customHeight="false" outlineLevel="0" collapsed="false">
      <c r="A58" s="332" t="s">
        <v>200</v>
      </c>
      <c r="B58" s="333" t="n">
        <f aca="false">B53+B56+B55</f>
        <v>14968.425976886</v>
      </c>
      <c r="C58" s="333" t="n">
        <f aca="false">C53+C56+C55</f>
        <v>19414.6538194249</v>
      </c>
      <c r="D58" s="333" t="n">
        <f aca="false">D53+D56+D55</f>
        <v>20539.2174347616</v>
      </c>
      <c r="E58" s="333" t="n">
        <f aca="false">E53+E56+E55</f>
        <v>19864.6439968244</v>
      </c>
      <c r="F58" s="333" t="n">
        <f aca="false">F53+F56+F55</f>
        <v>20132.0447592857</v>
      </c>
      <c r="G58" s="333" t="n">
        <f aca="false">G53+G56+G55</f>
        <v>19909.6908751679</v>
      </c>
      <c r="H58" s="333" t="n">
        <f aca="false">H53+H56+H55</f>
        <v>19896.2398517935</v>
      </c>
      <c r="I58" s="333" t="n">
        <f aca="false">I53+I56+I55</f>
        <v>20242.1946489109</v>
      </c>
      <c r="J58" s="333" t="n">
        <f aca="false">J53+J56+J55</f>
        <v>20542.1729092651</v>
      </c>
      <c r="K58" s="333" t="n">
        <f aca="false">K53+K56+K55</f>
        <v>20812.3153894461</v>
      </c>
      <c r="L58" s="333" t="n">
        <f aca="false">L53+L56+L55</f>
        <v>21337.9189510396</v>
      </c>
      <c r="M58" s="333" t="n">
        <f aca="false">M53+M56+M55</f>
        <v>21829.8384648219</v>
      </c>
      <c r="N58" s="333" t="n">
        <f aca="false">N53+N56+N55</f>
        <v>22372.5225438023</v>
      </c>
      <c r="O58" s="333" t="n">
        <f aca="false">O53+O56+O55</f>
        <v>22485.8421833461</v>
      </c>
      <c r="P58" s="333" t="n">
        <f aca="false">P53+P56+P55</f>
        <v>22994.7769460507</v>
      </c>
      <c r="Q58" s="333" t="n">
        <f aca="false">Q53+Q56+Q55</f>
        <v>19910.2296744029</v>
      </c>
      <c r="R58" s="333" t="n">
        <f aca="false">R53+R56+R55</f>
        <v>17935.6016288857</v>
      </c>
      <c r="S58" s="333" t="n">
        <f aca="false">S53+S56+S55</f>
        <v>18103.5280268173</v>
      </c>
      <c r="T58" s="333" t="n">
        <f aca="false">T53+T56+T55</f>
        <v>18228.6206017977</v>
      </c>
      <c r="U58" s="333" t="n">
        <f aca="false">U53+U56+U55</f>
        <v>18315.9041490326</v>
      </c>
      <c r="V58" s="324"/>
      <c r="W58" s="170" t="n">
        <f aca="false">SUM(B58:U58)</f>
        <v>399836.382831763</v>
      </c>
    </row>
    <row r="59" customFormat="false" ht="12.75" hidden="false" customHeight="false" outlineLevel="0" collapsed="false">
      <c r="A59" s="334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  <c r="CO59" s="293"/>
      <c r="CP59" s="293"/>
      <c r="CQ59" s="293"/>
      <c r="CR59" s="293"/>
      <c r="CS59" s="293"/>
      <c r="CT59" s="293"/>
      <c r="CU59" s="293"/>
      <c r="CV59" s="293"/>
      <c r="CW59" s="293"/>
      <c r="CX59" s="293"/>
      <c r="CY59" s="293"/>
      <c r="CZ59" s="293"/>
      <c r="DA59" s="293"/>
      <c r="DB59" s="293"/>
      <c r="DC59" s="293"/>
      <c r="DD59" s="293"/>
      <c r="DE59" s="293"/>
      <c r="DF59" s="293"/>
      <c r="DG59" s="293"/>
      <c r="DH59" s="293"/>
      <c r="DI59" s="293"/>
      <c r="DJ59" s="293"/>
      <c r="DK59" s="293"/>
      <c r="DL59" s="293"/>
      <c r="DM59" s="293"/>
      <c r="DN59" s="293"/>
      <c r="DO59" s="293"/>
      <c r="DP59" s="293"/>
      <c r="DQ59" s="293"/>
      <c r="DR59" s="293"/>
      <c r="DS59" s="293"/>
      <c r="DT59" s="293"/>
      <c r="DU59" s="293"/>
      <c r="DV59" s="293"/>
      <c r="DW59" s="293"/>
      <c r="DX59" s="293"/>
      <c r="DY59" s="293"/>
      <c r="DZ59" s="293"/>
      <c r="EA59" s="293"/>
      <c r="EB59" s="293"/>
      <c r="EC59" s="293"/>
      <c r="ED59" s="293"/>
      <c r="EE59" s="293"/>
      <c r="EF59" s="293"/>
      <c r="EG59" s="293"/>
      <c r="EH59" s="293"/>
      <c r="EI59" s="293"/>
      <c r="EJ59" s="293"/>
      <c r="EK59" s="293"/>
      <c r="EL59" s="293"/>
      <c r="EM59" s="293"/>
      <c r="EN59" s="293"/>
      <c r="EO59" s="293"/>
      <c r="EP59" s="293"/>
      <c r="EQ59" s="293"/>
      <c r="ER59" s="293"/>
      <c r="ES59" s="293"/>
      <c r="ET59" s="293"/>
      <c r="EU59" s="293"/>
      <c r="EV59" s="293"/>
      <c r="EW59" s="293"/>
      <c r="EX59" s="293"/>
      <c r="EY59" s="293"/>
      <c r="EZ59" s="293"/>
      <c r="FA59" s="293"/>
      <c r="FB59" s="293"/>
      <c r="FC59" s="293"/>
      <c r="FD59" s="293"/>
      <c r="FE59" s="293"/>
      <c r="FF59" s="293"/>
      <c r="FG59" s="293"/>
      <c r="FH59" s="293"/>
      <c r="FI59" s="293"/>
      <c r="FJ59" s="293"/>
      <c r="FK59" s="293"/>
      <c r="FL59" s="293"/>
      <c r="FM59" s="293"/>
      <c r="FN59" s="293"/>
      <c r="FO59" s="293"/>
      <c r="FP59" s="293"/>
      <c r="FQ59" s="293"/>
      <c r="FR59" s="293"/>
      <c r="FS59" s="293"/>
      <c r="FT59" s="293"/>
      <c r="FU59" s="293"/>
      <c r="FV59" s="293"/>
      <c r="FW59" s="293"/>
      <c r="FX59" s="293"/>
      <c r="FY59" s="293"/>
      <c r="FZ59" s="293"/>
      <c r="GA59" s="293"/>
      <c r="GB59" s="293"/>
      <c r="GC59" s="293"/>
      <c r="GD59" s="293"/>
      <c r="GE59" s="293"/>
      <c r="GF59" s="293"/>
      <c r="GG59" s="293"/>
      <c r="GH59" s="293"/>
      <c r="GI59" s="293"/>
      <c r="GJ59" s="293"/>
      <c r="GK59" s="293"/>
      <c r="GL59" s="293"/>
      <c r="GM59" s="293"/>
      <c r="GN59" s="293"/>
      <c r="GO59" s="293"/>
      <c r="GP59" s="293"/>
      <c r="GQ59" s="293"/>
      <c r="GR59" s="293"/>
      <c r="GS59" s="293"/>
      <c r="GT59" s="293"/>
      <c r="GU59" s="293"/>
      <c r="GV59" s="293"/>
      <c r="GW59" s="293"/>
      <c r="GX59" s="293"/>
      <c r="GY59" s="293"/>
      <c r="GZ59" s="293"/>
      <c r="HA59" s="293"/>
      <c r="HB59" s="293"/>
      <c r="HC59" s="293"/>
      <c r="HD59" s="293"/>
      <c r="HE59" s="293"/>
      <c r="HF59" s="293"/>
      <c r="HG59" s="293"/>
      <c r="HH59" s="293"/>
      <c r="HI59" s="293"/>
      <c r="HJ59" s="293"/>
      <c r="HK59" s="293"/>
      <c r="HL59" s="293"/>
      <c r="HM59" s="293"/>
      <c r="HN59" s="293"/>
      <c r="HO59" s="293"/>
      <c r="HP59" s="293"/>
      <c r="HQ59" s="293"/>
      <c r="HR59" s="293"/>
      <c r="HS59" s="293"/>
      <c r="HT59" s="293"/>
      <c r="HU59" s="293"/>
      <c r="HV59" s="293"/>
      <c r="HW59" s="293"/>
      <c r="HX59" s="293"/>
      <c r="HY59" s="293"/>
      <c r="HZ59" s="293"/>
      <c r="IA59" s="293"/>
      <c r="IB59" s="293"/>
      <c r="IC59" s="293"/>
      <c r="ID59" s="293"/>
      <c r="IE59" s="293"/>
      <c r="IF59" s="293"/>
      <c r="IG59" s="293"/>
      <c r="IH59" s="293"/>
      <c r="II59" s="293"/>
      <c r="IJ59" s="293"/>
      <c r="IK59" s="293"/>
      <c r="IL59" s="293"/>
      <c r="IM59" s="293"/>
      <c r="IN59" s="293"/>
      <c r="IO59" s="293"/>
      <c r="IP59" s="293"/>
      <c r="IQ59" s="293"/>
      <c r="IR59" s="293"/>
      <c r="IS59" s="293"/>
      <c r="IT59" s="293"/>
      <c r="IU59" s="293"/>
      <c r="IV59" s="293"/>
      <c r="IW59" s="293"/>
    </row>
    <row r="60" customFormat="false" ht="12.75" hidden="false" customHeight="false" outlineLevel="0" collapsed="false">
      <c r="A60" s="334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</row>
    <row r="61" customFormat="false" ht="12.75" hidden="false" customHeight="false" outlineLevel="0" collapsed="false">
      <c r="A61" s="241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</row>
    <row r="62" customFormat="false" ht="18" hidden="false" customHeight="false" outlineLevel="0" collapsed="false">
      <c r="A62" s="326" t="s">
        <v>201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</row>
    <row r="63" customFormat="false" ht="12.75" hidden="false" customHeight="false" outlineLevel="0" collapsed="false">
      <c r="A63" s="293"/>
      <c r="B63" s="294"/>
      <c r="C63" s="294"/>
      <c r="D63" s="294"/>
      <c r="E63" s="294"/>
      <c r="F63" s="294"/>
      <c r="G63" s="295"/>
      <c r="H63" s="294"/>
      <c r="I63" s="294"/>
      <c r="J63" s="294"/>
      <c r="K63" s="294"/>
      <c r="L63" s="294"/>
      <c r="M63" s="295"/>
      <c r="N63" s="294"/>
      <c r="O63" s="294"/>
      <c r="P63" s="294"/>
      <c r="Q63" s="294"/>
      <c r="R63" s="294"/>
      <c r="S63" s="295"/>
      <c r="T63" s="294"/>
      <c r="U63" s="294"/>
    </row>
    <row r="64" customFormat="false" ht="15.75" hidden="false" customHeight="false" outlineLevel="0" collapsed="false">
      <c r="A64" s="248"/>
      <c r="B64" s="297" t="n">
        <v>3</v>
      </c>
      <c r="C64" s="297" t="n">
        <v>4</v>
      </c>
      <c r="D64" s="297" t="n">
        <v>5</v>
      </c>
      <c r="E64" s="298" t="n">
        <v>6</v>
      </c>
      <c r="F64" s="297" t="n">
        <v>7</v>
      </c>
      <c r="G64" s="297" t="n">
        <v>8</v>
      </c>
      <c r="H64" s="297" t="n">
        <v>9</v>
      </c>
      <c r="I64" s="297" t="n">
        <v>10</v>
      </c>
      <c r="J64" s="297" t="n">
        <v>11</v>
      </c>
      <c r="K64" s="298" t="n">
        <v>12</v>
      </c>
      <c r="L64" s="297" t="n">
        <v>13</v>
      </c>
      <c r="M64" s="297" t="n">
        <v>14</v>
      </c>
      <c r="N64" s="297" t="n">
        <v>15</v>
      </c>
      <c r="O64" s="297" t="n">
        <v>16</v>
      </c>
      <c r="P64" s="297" t="n">
        <v>17</v>
      </c>
      <c r="Q64" s="298" t="n">
        <v>18</v>
      </c>
      <c r="R64" s="297" t="n">
        <v>19</v>
      </c>
      <c r="S64" s="297" t="n">
        <v>20</v>
      </c>
      <c r="T64" s="297" t="n">
        <v>21</v>
      </c>
      <c r="U64" s="297" t="n">
        <v>22</v>
      </c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  <c r="BF64" s="324"/>
      <c r="BG64" s="324"/>
      <c r="BH64" s="324"/>
      <c r="BI64" s="324"/>
      <c r="BJ64" s="324"/>
      <c r="BK64" s="324"/>
      <c r="BL64" s="324"/>
      <c r="BM64" s="324"/>
      <c r="BN64" s="324"/>
      <c r="BO64" s="324"/>
      <c r="BP64" s="324"/>
      <c r="BQ64" s="324"/>
      <c r="BR64" s="324"/>
      <c r="BS64" s="324"/>
      <c r="BT64" s="324"/>
      <c r="BU64" s="324"/>
      <c r="BV64" s="324"/>
      <c r="BW64" s="324"/>
      <c r="BX64" s="324"/>
      <c r="BY64" s="324"/>
      <c r="BZ64" s="324"/>
      <c r="CA64" s="324"/>
      <c r="CB64" s="324"/>
      <c r="CC64" s="324"/>
      <c r="CD64" s="324"/>
      <c r="CE64" s="324"/>
      <c r="CF64" s="324"/>
      <c r="CG64" s="324"/>
      <c r="CH64" s="324"/>
      <c r="CI64" s="324"/>
      <c r="CJ64" s="324"/>
      <c r="CK64" s="324"/>
      <c r="CL64" s="324"/>
      <c r="CM64" s="324"/>
      <c r="CN64" s="324"/>
      <c r="CO64" s="324"/>
      <c r="CP64" s="324"/>
      <c r="CQ64" s="324"/>
      <c r="CR64" s="324"/>
      <c r="CS64" s="324"/>
      <c r="CT64" s="324"/>
      <c r="CU64" s="324"/>
      <c r="CV64" s="324"/>
      <c r="CW64" s="324"/>
      <c r="CX64" s="324"/>
      <c r="CY64" s="324"/>
      <c r="CZ64" s="324"/>
      <c r="DA64" s="324"/>
      <c r="DB64" s="324"/>
      <c r="DC64" s="324"/>
      <c r="DD64" s="324"/>
      <c r="DE64" s="324"/>
      <c r="DF64" s="324"/>
      <c r="DG64" s="324"/>
      <c r="DH64" s="324"/>
      <c r="DI64" s="324"/>
      <c r="DJ64" s="324"/>
      <c r="DK64" s="324"/>
      <c r="DL64" s="324"/>
      <c r="DM64" s="324"/>
      <c r="DN64" s="324"/>
      <c r="DO64" s="324"/>
      <c r="DP64" s="324"/>
      <c r="DQ64" s="324"/>
      <c r="DR64" s="324"/>
      <c r="DS64" s="324"/>
      <c r="DT64" s="324"/>
      <c r="DU64" s="324"/>
      <c r="DV64" s="324"/>
      <c r="DW64" s="324"/>
      <c r="DX64" s="324"/>
      <c r="DY64" s="324"/>
      <c r="DZ64" s="324"/>
      <c r="EA64" s="324"/>
      <c r="EB64" s="324"/>
      <c r="EC64" s="324"/>
      <c r="ED64" s="324"/>
      <c r="EE64" s="324"/>
      <c r="EF64" s="324"/>
      <c r="EG64" s="324"/>
      <c r="EH64" s="324"/>
      <c r="EI64" s="324"/>
      <c r="EJ64" s="324"/>
      <c r="EK64" s="324"/>
      <c r="EL64" s="324"/>
      <c r="EM64" s="324"/>
      <c r="EN64" s="324"/>
      <c r="EO64" s="324"/>
      <c r="EP64" s="324"/>
      <c r="EQ64" s="324"/>
      <c r="ER64" s="324"/>
      <c r="ES64" s="324"/>
      <c r="ET64" s="324"/>
      <c r="EU64" s="324"/>
      <c r="EV64" s="324"/>
      <c r="EW64" s="324"/>
      <c r="EX64" s="324"/>
      <c r="EY64" s="324"/>
      <c r="EZ64" s="324"/>
      <c r="FA64" s="324"/>
      <c r="FB64" s="324"/>
      <c r="FC64" s="324"/>
      <c r="FD64" s="324"/>
      <c r="FE64" s="324"/>
      <c r="FF64" s="324"/>
      <c r="FG64" s="324"/>
      <c r="FH64" s="324"/>
      <c r="FI64" s="324"/>
      <c r="FJ64" s="324"/>
      <c r="FK64" s="324"/>
      <c r="FL64" s="324"/>
      <c r="FM64" s="324"/>
      <c r="FN64" s="324"/>
      <c r="FO64" s="324"/>
      <c r="FP64" s="324"/>
      <c r="FQ64" s="324"/>
      <c r="FR64" s="324"/>
      <c r="FS64" s="324"/>
      <c r="FT64" s="324"/>
      <c r="FU64" s="324"/>
      <c r="FV64" s="324"/>
      <c r="FW64" s="324"/>
      <c r="FX64" s="324"/>
      <c r="FY64" s="324"/>
      <c r="FZ64" s="324"/>
      <c r="GA64" s="324"/>
      <c r="GB64" s="324"/>
      <c r="GC64" s="324"/>
      <c r="GD64" s="324"/>
      <c r="GE64" s="324"/>
      <c r="GF64" s="324"/>
      <c r="GG64" s="324"/>
      <c r="GH64" s="324"/>
      <c r="GI64" s="324"/>
      <c r="GJ64" s="324"/>
      <c r="GK64" s="324"/>
      <c r="GL64" s="324"/>
      <c r="GM64" s="324"/>
      <c r="GN64" s="324"/>
      <c r="GO64" s="324"/>
      <c r="GP64" s="324"/>
      <c r="GQ64" s="324"/>
      <c r="GR64" s="324"/>
      <c r="GS64" s="324"/>
      <c r="GT64" s="324"/>
      <c r="GU64" s="324"/>
      <c r="GV64" s="324"/>
      <c r="GW64" s="324"/>
      <c r="GX64" s="324"/>
      <c r="GY64" s="324"/>
      <c r="GZ64" s="324"/>
      <c r="HA64" s="324"/>
      <c r="HB64" s="324"/>
      <c r="HC64" s="324"/>
      <c r="HD64" s="324"/>
      <c r="HE64" s="324"/>
      <c r="HF64" s="324"/>
      <c r="HG64" s="324"/>
      <c r="HH64" s="324"/>
      <c r="HI64" s="324"/>
      <c r="HJ64" s="324"/>
      <c r="HK64" s="324"/>
      <c r="HL64" s="324"/>
      <c r="HM64" s="324"/>
      <c r="HN64" s="324"/>
      <c r="HO64" s="324"/>
      <c r="HP64" s="324"/>
      <c r="HQ64" s="324"/>
      <c r="HR64" s="324"/>
      <c r="HS64" s="324"/>
      <c r="HT64" s="324"/>
      <c r="HU64" s="324"/>
      <c r="HV64" s="324"/>
      <c r="HW64" s="324"/>
      <c r="HX64" s="324"/>
      <c r="HY64" s="324"/>
      <c r="HZ64" s="324"/>
      <c r="IA64" s="324"/>
      <c r="IB64" s="324"/>
      <c r="IC64" s="324"/>
      <c r="ID64" s="324"/>
      <c r="IE64" s="324"/>
      <c r="IF64" s="324"/>
      <c r="IG64" s="324"/>
      <c r="IH64" s="324"/>
      <c r="II64" s="324"/>
      <c r="IJ64" s="324"/>
      <c r="IK64" s="324"/>
      <c r="IL64" s="324"/>
      <c r="IM64" s="324"/>
      <c r="IN64" s="324"/>
      <c r="IO64" s="324"/>
      <c r="IP64" s="324"/>
      <c r="IQ64" s="324"/>
      <c r="IR64" s="324"/>
      <c r="IS64" s="324"/>
      <c r="IT64" s="324"/>
      <c r="IU64" s="324"/>
      <c r="IV64" s="324"/>
      <c r="IW64" s="324"/>
    </row>
    <row r="65" customFormat="false" ht="13.5" hidden="false" customHeight="false" outlineLevel="0" collapsed="false">
      <c r="A65" s="154" t="s">
        <v>101</v>
      </c>
      <c r="B65" s="155" t="n">
        <v>2001</v>
      </c>
      <c r="C65" s="155" t="n">
        <v>2002</v>
      </c>
      <c r="D65" s="155" t="n">
        <v>2003</v>
      </c>
      <c r="E65" s="155" t="n">
        <v>2004</v>
      </c>
      <c r="F65" s="155" t="n">
        <v>2005</v>
      </c>
      <c r="G65" s="155" t="n">
        <v>2006</v>
      </c>
      <c r="H65" s="155" t="n">
        <v>2007</v>
      </c>
      <c r="I65" s="155" t="n">
        <v>2008</v>
      </c>
      <c r="J65" s="155" t="n">
        <v>2009</v>
      </c>
      <c r="K65" s="155" t="n">
        <v>2010</v>
      </c>
      <c r="L65" s="155" t="n">
        <v>2011</v>
      </c>
      <c r="M65" s="155" t="n">
        <v>2012</v>
      </c>
      <c r="N65" s="155" t="n">
        <v>2013</v>
      </c>
      <c r="O65" s="155" t="n">
        <v>2014</v>
      </c>
      <c r="P65" s="155" t="n">
        <v>2015</v>
      </c>
      <c r="Q65" s="155" t="n">
        <v>2016</v>
      </c>
      <c r="R65" s="155" t="n">
        <v>2017</v>
      </c>
      <c r="S65" s="155" t="n">
        <v>2018</v>
      </c>
      <c r="T65" s="155" t="n">
        <v>2019</v>
      </c>
      <c r="U65" s="155" t="n">
        <v>2020</v>
      </c>
    </row>
    <row r="66" customFormat="false" ht="12.75" hidden="false" customHeight="false" outlineLevel="0" collapsed="false">
      <c r="A66" s="248"/>
      <c r="B66" s="300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</row>
    <row r="67" customFormat="false" ht="12.75" hidden="false" customHeight="false" outlineLevel="0" collapsed="false">
      <c r="A67" s="248"/>
      <c r="B67" s="300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</row>
    <row r="68" customFormat="false" ht="12.75" hidden="false" customHeight="false" outlineLevel="0" collapsed="false">
      <c r="A68" s="301" t="s">
        <v>202</v>
      </c>
      <c r="B68" s="300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</row>
    <row r="69" customFormat="false" ht="12.75" hidden="false" customHeight="false" outlineLevel="0" collapsed="false">
      <c r="A69" s="248"/>
      <c r="B69" s="300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</row>
    <row r="70" customFormat="false" ht="12.75" hidden="false" customHeight="false" outlineLevel="0" collapsed="false">
      <c r="A70" s="293" t="s">
        <v>203</v>
      </c>
      <c r="B70" s="270" t="n">
        <f aca="false">Depreciation!C14</f>
        <v>226193.151634864</v>
      </c>
      <c r="C70" s="270" t="n">
        <f aca="false">Depreciation!D14</f>
        <v>219197.487151311</v>
      </c>
      <c r="D70" s="270" t="n">
        <f aca="false">Depreciation!E14</f>
        <v>212201.822667759</v>
      </c>
      <c r="E70" s="270" t="n">
        <f aca="false">Depreciation!F14</f>
        <v>205206.158184206</v>
      </c>
      <c r="F70" s="270" t="n">
        <f aca="false">Depreciation!G14</f>
        <v>198210.493700654</v>
      </c>
      <c r="G70" s="270" t="n">
        <f aca="false">Depreciation!H14</f>
        <v>191214.829217101</v>
      </c>
      <c r="H70" s="270" t="n">
        <f aca="false">Depreciation!I14</f>
        <v>184219.164733549</v>
      </c>
      <c r="I70" s="270" t="n">
        <f aca="false">Depreciation!J14</f>
        <v>177223.500249996</v>
      </c>
      <c r="J70" s="270" t="n">
        <f aca="false">Depreciation!K14</f>
        <v>170227.835766444</v>
      </c>
      <c r="K70" s="270" t="n">
        <f aca="false">Depreciation!L14</f>
        <v>163232.171282891</v>
      </c>
      <c r="L70" s="270" t="n">
        <f aca="false">Depreciation!M14</f>
        <v>156236.506799339</v>
      </c>
      <c r="M70" s="270" t="n">
        <f aca="false">Depreciation!N14</f>
        <v>149240.842315786</v>
      </c>
      <c r="N70" s="270" t="n">
        <f aca="false">Depreciation!O14</f>
        <v>142245.177832234</v>
      </c>
      <c r="O70" s="270" t="n">
        <f aca="false">Depreciation!P14</f>
        <v>135249.513348681</v>
      </c>
      <c r="P70" s="270" t="n">
        <f aca="false">Depreciation!Q14</f>
        <v>128253.848865129</v>
      </c>
      <c r="Q70" s="270" t="n">
        <f aca="false">Depreciation!R14</f>
        <v>121258.184381576</v>
      </c>
      <c r="R70" s="270" t="n">
        <f aca="false">Depreciation!S14</f>
        <v>114262.519898024</v>
      </c>
      <c r="S70" s="270" t="n">
        <f aca="false">Depreciation!T14</f>
        <v>107266.855414471</v>
      </c>
      <c r="T70" s="270" t="n">
        <f aca="false">Depreciation!U14</f>
        <v>100271.190930919</v>
      </c>
      <c r="U70" s="270" t="n">
        <f aca="false">Depreciation!V14</f>
        <v>93275.5264473664</v>
      </c>
      <c r="W70" s="335" t="n">
        <f aca="false">SUM(B70:U70)</f>
        <v>3194686.7808223</v>
      </c>
    </row>
    <row r="71" customFormat="false" ht="12.75" hidden="false" customHeight="false" outlineLevel="0" collapsed="false">
      <c r="A71" s="93" t="s">
        <v>204</v>
      </c>
      <c r="B71" s="270" t="n">
        <f aca="false">Allocation!$C$6*'Summary Output'!$C$7</f>
        <v>130116.242284261</v>
      </c>
      <c r="C71" s="270" t="n">
        <f aca="false">Allocation!$C$6*'Summary Output'!$C$7</f>
        <v>130116.242284261</v>
      </c>
      <c r="D71" s="270" t="n">
        <f aca="false">Allocation!$C$6*'Summary Output'!$C$7</f>
        <v>130116.242284261</v>
      </c>
      <c r="E71" s="270" t="n">
        <f aca="false">Allocation!$C$6*'Summary Output'!$C$7</f>
        <v>130116.242284261</v>
      </c>
      <c r="F71" s="270" t="n">
        <f aca="false">Allocation!$C$6*'Summary Output'!$C$7</f>
        <v>130116.242284261</v>
      </c>
      <c r="G71" s="270" t="n">
        <f aca="false">Allocation!$C$6*'Summary Output'!$C$7</f>
        <v>130116.242284261</v>
      </c>
      <c r="H71" s="270" t="n">
        <f aca="false">Allocation!$C$6*'Summary Output'!$C$7</f>
        <v>130116.242284261</v>
      </c>
      <c r="I71" s="270" t="n">
        <f aca="false">Allocation!$C$6*'Summary Output'!$C$7</f>
        <v>130116.242284261</v>
      </c>
      <c r="J71" s="270" t="n">
        <f aca="false">Allocation!$C$6*'Summary Output'!$C$7</f>
        <v>130116.242284261</v>
      </c>
      <c r="K71" s="270" t="n">
        <f aca="false">Allocation!$C$6*'Summary Output'!$C$7</f>
        <v>130116.242284261</v>
      </c>
      <c r="L71" s="270" t="n">
        <f aca="false">Allocation!$C$6*'Summary Output'!$C$7</f>
        <v>130116.242284261</v>
      </c>
      <c r="M71" s="270" t="n">
        <f aca="false">Allocation!$C$6*'Summary Output'!$C$7</f>
        <v>130116.242284261</v>
      </c>
      <c r="N71" s="270" t="n">
        <f aca="false">Allocation!$C$6*'Summary Output'!$C$7</f>
        <v>130116.242284261</v>
      </c>
      <c r="O71" s="270" t="n">
        <f aca="false">Allocation!$C$6*'Summary Output'!$C$7</f>
        <v>130116.242284261</v>
      </c>
      <c r="P71" s="270" t="n">
        <f aca="false">Allocation!$C$6*'Summary Output'!$C$7</f>
        <v>130116.242284261</v>
      </c>
      <c r="Q71" s="270" t="n">
        <f aca="false">Allocation!$C$6*'Summary Output'!$C$7</f>
        <v>130116.242284261</v>
      </c>
      <c r="R71" s="270" t="n">
        <f aca="false">Allocation!$C$6*'Summary Output'!$C$7</f>
        <v>130116.242284261</v>
      </c>
      <c r="S71" s="270" t="n">
        <f aca="false">Allocation!$C$6*'Summary Output'!$C$7</f>
        <v>130116.242284261</v>
      </c>
      <c r="T71" s="270" t="n">
        <f aca="false">Allocation!$C$6*'Summary Output'!$C$7</f>
        <v>130116.242284261</v>
      </c>
      <c r="U71" s="270" t="n">
        <f aca="false">Allocation!$C$6*'Summary Output'!$C$7</f>
        <v>130116.242284261</v>
      </c>
      <c r="W71" s="335" t="n">
        <f aca="false">SUM(B71:U71)</f>
        <v>2602324.84568522</v>
      </c>
    </row>
    <row r="72" customFormat="false" ht="12.75" hidden="false" customHeight="false" outlineLevel="0" collapsed="false">
      <c r="A72" s="336" t="s">
        <v>205</v>
      </c>
      <c r="B72" s="337" t="n">
        <f aca="false">B38-B58</f>
        <v>-7057.84237920184</v>
      </c>
      <c r="C72" s="337" t="n">
        <f aca="false">C38-C58+B72</f>
        <v>-17520.419513805</v>
      </c>
      <c r="D72" s="337" t="n">
        <f aca="false">D38-D58+C72</f>
        <v>-27924.4929003872</v>
      </c>
      <c r="E72" s="337" t="n">
        <f aca="false">E38-E58+D72</f>
        <v>-36358.0500715946</v>
      </c>
      <c r="F72" s="337" t="n">
        <f aca="false">F38-F58+E72</f>
        <v>-43639.8846071488</v>
      </c>
      <c r="G72" s="337" t="n">
        <f aca="false">G38-G58+F72</f>
        <v>-50205.5455470251</v>
      </c>
      <c r="H72" s="337" t="n">
        <f aca="false">H38-H58+G72</f>
        <v>-56200.5193612121</v>
      </c>
      <c r="I72" s="337" t="n">
        <f aca="false">I38-I58+H72</f>
        <v>-61987.6802405297</v>
      </c>
      <c r="J72" s="337" t="n">
        <f aca="false">J38-J58+I72</f>
        <v>-67473.8025527897</v>
      </c>
      <c r="K72" s="337" t="n">
        <f aca="false">K38-K58+J72</f>
        <v>-72625.8418244655</v>
      </c>
      <c r="L72" s="337" t="n">
        <f aca="false">L38-L58+K72</f>
        <v>-77510.111781472</v>
      </c>
      <c r="M72" s="337" t="n">
        <f aca="false">M38-M58+L72</f>
        <v>-82071.2803024352</v>
      </c>
      <c r="N72" s="337" t="n">
        <f aca="false">N38-N58+M72</f>
        <v>-86516.5073102873</v>
      </c>
      <c r="O72" s="337" t="n">
        <f aca="false">O38-O58+N72</f>
        <v>-90175.5356012477</v>
      </c>
      <c r="P72" s="337" t="n">
        <f aca="false">P38-P58+O72</f>
        <v>-93671.4699248011</v>
      </c>
      <c r="Q72" s="337" t="n">
        <f aca="false">Q38-Q58+P72</f>
        <v>-92892.3241036511</v>
      </c>
      <c r="R72" s="337" t="n">
        <f aca="false">R38-R58+Q72</f>
        <v>-89240.9965283273</v>
      </c>
      <c r="S72" s="337" t="n">
        <f aca="false">S38-S58+R72</f>
        <v>-84815.7850199827</v>
      </c>
      <c r="T72" s="337" t="n">
        <f aca="false">T38-T58+S72</f>
        <v>-79515.0977984471</v>
      </c>
      <c r="U72" s="337" t="n">
        <f aca="false">U38-U58+T72</f>
        <v>-73237.3651681449</v>
      </c>
      <c r="W72" s="335" t="n">
        <f aca="false">SUM(B72:U72)</f>
        <v>-1290640.55253696</v>
      </c>
    </row>
    <row r="73" customFormat="false" ht="12.75" hidden="false" customHeight="false" outlineLevel="0" collapsed="false">
      <c r="A73" s="336" t="s">
        <v>206</v>
      </c>
      <c r="B73" s="338" t="n">
        <f aca="false">Debt!B73*Allocation!$E$6</f>
        <v>105108.489257789</v>
      </c>
      <c r="C73" s="338" t="n">
        <f aca="false">Debt!C73*Allocation!$E$6</f>
        <v>102701.501924559</v>
      </c>
      <c r="D73" s="338" t="n">
        <f aca="false">Debt!D73*Allocation!$E$6</f>
        <v>99954.6230082501</v>
      </c>
      <c r="E73" s="338" t="n">
        <f aca="false">Debt!E73*Allocation!$E$6</f>
        <v>96777.677190903</v>
      </c>
      <c r="F73" s="338" t="n">
        <f aca="false">Debt!F73*Allocation!$E$6</f>
        <v>93101.2988433178</v>
      </c>
      <c r="G73" s="338" t="n">
        <f aca="false">Debt!G73*Allocation!$E$6</f>
        <v>89341.681740693</v>
      </c>
      <c r="H73" s="338" t="n">
        <f aca="false">Debt!H73*Allocation!$E$6</f>
        <v>85450.2699425887</v>
      </c>
      <c r="I73" s="338" t="n">
        <f aca="false">Debt!I73*Allocation!$E$6</f>
        <v>81392.3806344051</v>
      </c>
      <c r="J73" s="338" t="n">
        <f aca="false">Debt!J73*Allocation!$E$6</f>
        <v>77105.5847498624</v>
      </c>
      <c r="K73" s="338" t="n">
        <f aca="false">Debt!K73*Allocation!$E$6</f>
        <v>72548.2629114408</v>
      </c>
      <c r="L73" s="338" t="n">
        <f aca="false">Debt!L73*Allocation!$E$6</f>
        <v>67687.5292963742</v>
      </c>
      <c r="M73" s="338" t="n">
        <f aca="false">Debt!M73*Allocation!$E$6</f>
        <v>62464.0543667505</v>
      </c>
      <c r="N73" s="338" t="n">
        <f aca="false">Debt!N73*Allocation!$E$6</f>
        <v>56834.3091648227</v>
      </c>
      <c r="O73" s="338" t="n">
        <f aca="false">Debt!O73*Allocation!$E$6</f>
        <v>50725.7454276794</v>
      </c>
      <c r="P73" s="338" t="n">
        <f aca="false">Debt!P73*Allocation!$E$6</f>
        <v>44094.8341975737</v>
      </c>
      <c r="Q73" s="338" t="n">
        <f aca="false">Debt!Q73*Allocation!$E$6</f>
        <v>36825.4982538473</v>
      </c>
      <c r="R73" s="338" t="n">
        <f aca="false">Debt!R73*Allocation!$E$6</f>
        <v>28874.2086387534</v>
      </c>
      <c r="S73" s="338" t="n">
        <f aca="false">Debt!S73*Allocation!$E$6</f>
        <v>20153.9074367982</v>
      </c>
      <c r="T73" s="338" t="n">
        <f aca="false">Debt!T73*Allocation!$E$6</f>
        <v>10563.0270799058</v>
      </c>
      <c r="U73" s="338" t="n">
        <f aca="false">Debt!U73*Allocation!$E$6</f>
        <v>-2.23455640142355E-011</v>
      </c>
      <c r="W73" s="335" t="n">
        <f aca="false">SUM(B73:U73)</f>
        <v>1281704.88406631</v>
      </c>
    </row>
    <row r="74" customFormat="false" ht="12.75" hidden="false" customHeight="false" outlineLevel="0" collapsed="false">
      <c r="A74" s="293" t="s">
        <v>207</v>
      </c>
      <c r="B74" s="339" t="n">
        <f aca="false">SUM(B71:B73)</f>
        <v>228166.889162848</v>
      </c>
      <c r="C74" s="339" t="n">
        <f aca="false">SUM(C71:C73)</f>
        <v>215297.324695015</v>
      </c>
      <c r="D74" s="339" t="n">
        <f aca="false">SUM(D71:D73)</f>
        <v>202146.372392124</v>
      </c>
      <c r="E74" s="339" t="n">
        <f aca="false">SUM(E71:E73)</f>
        <v>190535.869403569</v>
      </c>
      <c r="F74" s="339" t="n">
        <f aca="false">SUM(F71:F73)</f>
        <v>179577.65652043</v>
      </c>
      <c r="G74" s="339" t="n">
        <f aca="false">SUM(G71:G73)</f>
        <v>169252.378477929</v>
      </c>
      <c r="H74" s="339" t="n">
        <f aca="false">SUM(H71:H73)</f>
        <v>159365.992865637</v>
      </c>
      <c r="I74" s="339" t="n">
        <f aca="false">SUM(I71:I73)</f>
        <v>149520.942678136</v>
      </c>
      <c r="J74" s="339" t="n">
        <f aca="false">SUM(J71:J73)</f>
        <v>139748.024481333</v>
      </c>
      <c r="K74" s="339" t="n">
        <f aca="false">SUM(K71:K73)</f>
        <v>130038.663371236</v>
      </c>
      <c r="L74" s="339" t="n">
        <f aca="false">SUM(L71:L73)</f>
        <v>120293.659799163</v>
      </c>
      <c r="M74" s="339" t="n">
        <f aca="false">SUM(M71:M73)</f>
        <v>110509.016348576</v>
      </c>
      <c r="N74" s="339" t="n">
        <f aca="false">SUM(N71:N73)</f>
        <v>100434.044138796</v>
      </c>
      <c r="O74" s="339" t="n">
        <f aca="false">SUM(O71:O73)</f>
        <v>90666.4521106924</v>
      </c>
      <c r="P74" s="339" t="n">
        <f aca="false">SUM(P71:P73)</f>
        <v>80539.6065570333</v>
      </c>
      <c r="Q74" s="339" t="n">
        <f aca="false">SUM(Q71:Q73)</f>
        <v>74049.4164344569</v>
      </c>
      <c r="R74" s="339" t="n">
        <f aca="false">SUM(R71:R73)</f>
        <v>69749.4543946868</v>
      </c>
      <c r="S74" s="339" t="n">
        <f aca="false">SUM(S71:S73)</f>
        <v>65454.3647010763</v>
      </c>
      <c r="T74" s="339" t="n">
        <f aca="false">SUM(T71:T73)</f>
        <v>61164.1715657194</v>
      </c>
      <c r="U74" s="339" t="n">
        <f aca="false">SUM(U71:U73)</f>
        <v>56878.8771161159</v>
      </c>
      <c r="W74" s="335" t="n">
        <f aca="false">SUM(B74:U74)</f>
        <v>2593389.17721457</v>
      </c>
    </row>
    <row r="75" customFormat="false" ht="12.75" hidden="false" customHeight="false" outlineLevel="0" collapsed="false">
      <c r="A75" s="248"/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W75" s="335"/>
    </row>
    <row r="76" customFormat="false" ht="12.75" hidden="false" customHeight="false" outlineLevel="0" collapsed="false">
      <c r="A76" s="293" t="s">
        <v>208</v>
      </c>
      <c r="B76" s="339" t="n">
        <f aca="false">MAX(B74,B70)</f>
        <v>228166.889162848</v>
      </c>
      <c r="C76" s="339" t="n">
        <f aca="false">MAX(C74,C70)</f>
        <v>219197.487151311</v>
      </c>
      <c r="D76" s="339" t="n">
        <f aca="false">MAX(D74,D70)</f>
        <v>212201.822667759</v>
      </c>
      <c r="E76" s="339" t="n">
        <f aca="false">MAX(E74,E70)</f>
        <v>205206.158184206</v>
      </c>
      <c r="F76" s="339" t="n">
        <f aca="false">MAX(F74,F70)</f>
        <v>198210.493700654</v>
      </c>
      <c r="G76" s="339" t="n">
        <f aca="false">MAX(G74,G70)</f>
        <v>191214.829217101</v>
      </c>
      <c r="H76" s="339" t="n">
        <f aca="false">MAX(H74,H70)</f>
        <v>184219.164733549</v>
      </c>
      <c r="I76" s="339" t="n">
        <f aca="false">MAX(I74,I70)</f>
        <v>177223.500249996</v>
      </c>
      <c r="J76" s="339" t="n">
        <f aca="false">MAX(J74,J70)</f>
        <v>170227.835766444</v>
      </c>
      <c r="K76" s="339" t="n">
        <f aca="false">MAX(K74,K70)</f>
        <v>163232.171282891</v>
      </c>
      <c r="L76" s="339" t="n">
        <f aca="false">MAX(L74,L70)</f>
        <v>156236.506799339</v>
      </c>
      <c r="M76" s="339" t="n">
        <f aca="false">MAX(M74,M70)</f>
        <v>149240.842315786</v>
      </c>
      <c r="N76" s="339" t="n">
        <f aca="false">MAX(N74,N70)</f>
        <v>142245.177832234</v>
      </c>
      <c r="O76" s="339" t="n">
        <f aca="false">MAX(O74,O70)</f>
        <v>135249.513348681</v>
      </c>
      <c r="P76" s="339" t="n">
        <f aca="false">MAX(P74,P70)</f>
        <v>128253.848865129</v>
      </c>
      <c r="Q76" s="339" t="n">
        <f aca="false">MAX(Q74,Q70)</f>
        <v>121258.184381576</v>
      </c>
      <c r="R76" s="339" t="n">
        <f aca="false">MAX(R74,R70)</f>
        <v>114262.519898024</v>
      </c>
      <c r="S76" s="339" t="n">
        <f aca="false">MAX(S74,S70)</f>
        <v>107266.855414471</v>
      </c>
      <c r="T76" s="339" t="n">
        <f aca="false">MAX(T74,T70)</f>
        <v>100271.190930919</v>
      </c>
      <c r="U76" s="339" t="n">
        <f aca="false">MAX(U74,U70)</f>
        <v>93275.5264473664</v>
      </c>
      <c r="W76" s="335" t="n">
        <f aca="false">SUM(B76:U76)</f>
        <v>3196660.51835029</v>
      </c>
    </row>
    <row r="77" customFormat="false" ht="12.75" hidden="false" customHeight="false" outlineLevel="0" collapsed="false">
      <c r="A77" s="336" t="s">
        <v>209</v>
      </c>
      <c r="B77" s="340" t="n">
        <f aca="false">Assumptions!$C$41</f>
        <v>0.0025</v>
      </c>
      <c r="C77" s="340" t="n">
        <f aca="false">Assumptions!$C$42</f>
        <v>0.0025</v>
      </c>
      <c r="D77" s="340" t="n">
        <f aca="false">Assumptions!$C$42</f>
        <v>0.0025</v>
      </c>
      <c r="E77" s="340" t="n">
        <f aca="false">Assumptions!$C$42</f>
        <v>0.0025</v>
      </c>
      <c r="F77" s="340" t="n">
        <f aca="false">Assumptions!$C$42</f>
        <v>0.0025</v>
      </c>
      <c r="G77" s="340" t="n">
        <f aca="false">Assumptions!$C$42</f>
        <v>0.0025</v>
      </c>
      <c r="H77" s="340" t="n">
        <f aca="false">Assumptions!$C$42</f>
        <v>0.0025</v>
      </c>
      <c r="I77" s="340" t="n">
        <f aca="false">Assumptions!$C$42</f>
        <v>0.0025</v>
      </c>
      <c r="J77" s="340" t="n">
        <f aca="false">Assumptions!$C$42</f>
        <v>0.0025</v>
      </c>
      <c r="K77" s="340" t="n">
        <f aca="false">Assumptions!$C$42</f>
        <v>0.0025</v>
      </c>
      <c r="L77" s="340" t="n">
        <f aca="false">Assumptions!$C$42</f>
        <v>0.0025</v>
      </c>
      <c r="M77" s="340" t="n">
        <f aca="false">Assumptions!$C$42</f>
        <v>0.0025</v>
      </c>
      <c r="N77" s="340" t="n">
        <f aca="false">Assumptions!$C$42</f>
        <v>0.0025</v>
      </c>
      <c r="O77" s="340" t="n">
        <f aca="false">Assumptions!$C$42</f>
        <v>0.0025</v>
      </c>
      <c r="P77" s="340" t="n">
        <f aca="false">Assumptions!$C$42</f>
        <v>0.0025</v>
      </c>
      <c r="Q77" s="340" t="n">
        <f aca="false">Assumptions!$C$42</f>
        <v>0.0025</v>
      </c>
      <c r="R77" s="340" t="n">
        <f aca="false">Assumptions!$C$42</f>
        <v>0.0025</v>
      </c>
      <c r="S77" s="340" t="n">
        <f aca="false">Assumptions!$C$42</f>
        <v>0.0025</v>
      </c>
      <c r="T77" s="340" t="n">
        <f aca="false">Assumptions!$C$42</f>
        <v>0.0025</v>
      </c>
      <c r="U77" s="340" t="n">
        <f aca="false">Assumptions!$C$42</f>
        <v>0.0025</v>
      </c>
      <c r="W77" s="335"/>
    </row>
    <row r="78" customFormat="false" ht="12.75" hidden="false" customHeight="false" outlineLevel="0" collapsed="false">
      <c r="A78" s="248" t="s">
        <v>210</v>
      </c>
      <c r="B78" s="341" t="n">
        <v>570.35295869938</v>
      </c>
      <c r="C78" s="341" t="n">
        <v>547.912551281755</v>
      </c>
      <c r="D78" s="341" t="n">
        <v>530.425980496167</v>
      </c>
      <c r="E78" s="341" t="n">
        <v>512.93940971058</v>
      </c>
      <c r="F78" s="341" t="n">
        <v>495.452838924992</v>
      </c>
      <c r="G78" s="341" t="n">
        <v>477.966268139404</v>
      </c>
      <c r="H78" s="341" t="n">
        <v>460.479697353816</v>
      </c>
      <c r="I78" s="341" t="n">
        <v>442.993126568228</v>
      </c>
      <c r="J78" s="341" t="n">
        <v>425.50655578264</v>
      </c>
      <c r="K78" s="341" t="n">
        <v>408.019984997052</v>
      </c>
      <c r="L78" s="341" t="n">
        <v>390.533414211464</v>
      </c>
      <c r="M78" s="341" t="n">
        <v>373.046843425876</v>
      </c>
      <c r="N78" s="341" t="n">
        <v>355.560272640288</v>
      </c>
      <c r="O78" s="341" t="n">
        <v>338.073701854701</v>
      </c>
      <c r="P78" s="341" t="n">
        <v>320.587131069113</v>
      </c>
      <c r="Q78" s="341" t="n">
        <v>303.100560283525</v>
      </c>
      <c r="R78" s="341" t="n">
        <v>285.613989497937</v>
      </c>
      <c r="S78" s="341" t="n">
        <v>268.127418712349</v>
      </c>
      <c r="T78" s="341" t="n">
        <v>250.640847926761</v>
      </c>
      <c r="U78" s="341" t="n">
        <v>233.154277141173</v>
      </c>
      <c r="W78" s="335" t="n">
        <f aca="false">SUM(B78:U78)</f>
        <v>7990.4878287172</v>
      </c>
    </row>
    <row r="79" customFormat="false" ht="12.75" hidden="false" customHeight="false" outlineLevel="0" collapsed="false">
      <c r="A79" s="336"/>
      <c r="B79" s="342"/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</row>
    <row r="80" customFormat="false" ht="12.75" hidden="false" customHeight="false" outlineLevel="0" collapsed="false">
      <c r="A80" s="248"/>
      <c r="B80" s="300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</row>
    <row r="81" customFormat="false" ht="12.75" hidden="false" customHeight="false" outlineLevel="0" collapsed="false">
      <c r="A81" s="301" t="s">
        <v>178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customFormat="false" ht="12.75" hidden="false" customHeight="false" outlineLevel="0" collapsed="false">
      <c r="A82" s="30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customFormat="false" ht="12.75" hidden="false" customHeight="false" outlineLevel="0" collapsed="false">
      <c r="A83" s="24" t="s">
        <v>181</v>
      </c>
      <c r="B83" s="172" t="n">
        <f aca="false">B33</f>
        <v>12946.9453317253</v>
      </c>
      <c r="C83" s="172" t="n">
        <f aca="false">C33</f>
        <v>14651.5166691027</v>
      </c>
      <c r="D83" s="172" t="n">
        <f aca="false">D33</f>
        <v>16587.7971328632</v>
      </c>
      <c r="E83" s="172" t="n">
        <f aca="false">E33</f>
        <v>18708.8164085385</v>
      </c>
      <c r="F83" s="172" t="n">
        <f aca="false">F33</f>
        <v>21031.4406280384</v>
      </c>
      <c r="G83" s="172" t="n">
        <f aca="false">G33</f>
        <v>21839.6561952399</v>
      </c>
      <c r="H83" s="172" t="n">
        <f aca="false">H33</f>
        <v>22751.6629093396</v>
      </c>
      <c r="I83" s="172" t="n">
        <f aca="false">I33</f>
        <v>23657.9930762575</v>
      </c>
      <c r="J83" s="172" t="n">
        <f aca="false">J33</f>
        <v>24641.6540049181</v>
      </c>
      <c r="K83" s="172" t="n">
        <f aca="false">K33</f>
        <v>25630.5664775292</v>
      </c>
      <c r="L83" s="172" t="n">
        <f aca="false">L33</f>
        <v>26929.0490900705</v>
      </c>
      <c r="M83" s="172" t="n">
        <f aca="false">M33</f>
        <v>28262.9622649079</v>
      </c>
      <c r="N83" s="172" t="n">
        <f aca="false">N33</f>
        <v>29340.9092241411</v>
      </c>
      <c r="O83" s="172" t="n">
        <f aca="false">O33</f>
        <v>30813.1160268178</v>
      </c>
      <c r="P83" s="172" t="n">
        <f aca="false">P33</f>
        <v>31912.999382156</v>
      </c>
      <c r="Q83" s="172" t="n">
        <f aca="false">Q33</f>
        <v>33861.4983560604</v>
      </c>
      <c r="R83" s="172" t="n">
        <f aca="false">R33</f>
        <v>35330.4896959239</v>
      </c>
      <c r="S83" s="172" t="n">
        <f aca="false">S33</f>
        <v>36871.9141328345</v>
      </c>
      <c r="T83" s="172" t="n">
        <f aca="false">T33</f>
        <v>38509.5054391707</v>
      </c>
      <c r="U83" s="172" t="n">
        <f aca="false">U33</f>
        <v>40251.4513573401</v>
      </c>
      <c r="W83" s="335" t="n">
        <f aca="false">SUM(B83:U83)</f>
        <v>534531.943802975</v>
      </c>
    </row>
    <row r="84" customFormat="false" ht="12.75" hidden="false" customHeight="false" outlineLevel="0" collapsed="false">
      <c r="A84" s="24" t="s">
        <v>182</v>
      </c>
      <c r="B84" s="172" t="n">
        <f aca="false">B27</f>
        <v>6995.66448355249</v>
      </c>
      <c r="C84" s="172" t="n">
        <f aca="false">C27</f>
        <v>6995.66448355249</v>
      </c>
      <c r="D84" s="172" t="n">
        <f aca="false">D27</f>
        <v>6995.66448355249</v>
      </c>
      <c r="E84" s="172" t="n">
        <f aca="false">E27</f>
        <v>6995.66448355249</v>
      </c>
      <c r="F84" s="172" t="n">
        <f aca="false">F27</f>
        <v>6995.66448355249</v>
      </c>
      <c r="G84" s="172" t="n">
        <f aca="false">G27</f>
        <v>6995.66448355249</v>
      </c>
      <c r="H84" s="172" t="n">
        <f aca="false">H27</f>
        <v>6995.66448355249</v>
      </c>
      <c r="I84" s="172" t="n">
        <f aca="false">I27</f>
        <v>6995.66448355249</v>
      </c>
      <c r="J84" s="172" t="n">
        <f aca="false">J27</f>
        <v>6995.66448355249</v>
      </c>
      <c r="K84" s="172" t="n">
        <f aca="false">K27</f>
        <v>6995.66448355249</v>
      </c>
      <c r="L84" s="172" t="n">
        <f aca="false">L27</f>
        <v>6995.66448355249</v>
      </c>
      <c r="M84" s="172" t="n">
        <f aca="false">M27</f>
        <v>6995.66448355249</v>
      </c>
      <c r="N84" s="172" t="n">
        <f aca="false">N27</f>
        <v>6995.66448355249</v>
      </c>
      <c r="O84" s="172" t="n">
        <f aca="false">O27</f>
        <v>6995.66448355249</v>
      </c>
      <c r="P84" s="172" t="n">
        <f aca="false">P27</f>
        <v>6995.66448355249</v>
      </c>
      <c r="Q84" s="172" t="n">
        <f aca="false">Q27</f>
        <v>6995.66448355249</v>
      </c>
      <c r="R84" s="172" t="n">
        <f aca="false">R27</f>
        <v>6995.66448355249</v>
      </c>
      <c r="S84" s="172" t="n">
        <f aca="false">S27</f>
        <v>6995.66448355249</v>
      </c>
      <c r="T84" s="172" t="n">
        <f aca="false">T27</f>
        <v>6995.66448355249</v>
      </c>
      <c r="U84" s="172" t="n">
        <f aca="false">U27</f>
        <v>6995.66448355249</v>
      </c>
      <c r="W84" s="335" t="n">
        <f aca="false">SUM(B84:U84)</f>
        <v>139913.28967105</v>
      </c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customFormat="false" ht="15" hidden="false" customHeight="false" outlineLevel="0" collapsed="false">
      <c r="A85" s="24" t="s">
        <v>211</v>
      </c>
      <c r="B85" s="197" t="n">
        <f aca="false">-Depreciation!C45</f>
        <v>-11659.4408059208</v>
      </c>
      <c r="C85" s="197" t="n">
        <f aca="false">-Depreciation!D45</f>
        <v>-22152.9375312496</v>
      </c>
      <c r="D85" s="197" t="n">
        <f aca="false">-Depreciation!E45</f>
        <v>-19937.6437781246</v>
      </c>
      <c r="E85" s="197" t="n">
        <f aca="false">-Depreciation!F45</f>
        <v>-17955.5388411181</v>
      </c>
      <c r="F85" s="197" t="n">
        <f aca="false">-Depreciation!G45</f>
        <v>-16159.9849570063</v>
      </c>
      <c r="G85" s="197" t="n">
        <f aca="false">-Depreciation!H45</f>
        <v>-14527.6632441773</v>
      </c>
      <c r="H85" s="197" t="n">
        <f aca="false">-Depreciation!I45</f>
        <v>-13758.1401509866</v>
      </c>
      <c r="I85" s="197" t="n">
        <f aca="false">-Depreciation!J45</f>
        <v>-13781.4590325984</v>
      </c>
      <c r="J85" s="197" t="n">
        <f aca="false">-Depreciation!K45</f>
        <v>-13758.1401509866</v>
      </c>
      <c r="K85" s="197" t="n">
        <f aca="false">-Depreciation!L45</f>
        <v>-13781.4590325984</v>
      </c>
      <c r="L85" s="197" t="n">
        <f aca="false">-Depreciation!M45</f>
        <v>-13758.1401509866</v>
      </c>
      <c r="M85" s="197" t="n">
        <f aca="false">-Depreciation!N45</f>
        <v>-13781.4590325984</v>
      </c>
      <c r="N85" s="197" t="n">
        <f aca="false">-Depreciation!O45</f>
        <v>-13758.1401509866</v>
      </c>
      <c r="O85" s="197" t="n">
        <f aca="false">-Depreciation!P45</f>
        <v>-13781.4590325984</v>
      </c>
      <c r="P85" s="197" t="n">
        <f aca="false">-Depreciation!Q45</f>
        <v>-13758.1401509866</v>
      </c>
      <c r="Q85" s="197" t="n">
        <f aca="false">-Depreciation!R45</f>
        <v>-6879.07007549328</v>
      </c>
      <c r="R85" s="197" t="n">
        <f aca="false">-Depreciation!S45</f>
        <v>-0</v>
      </c>
      <c r="S85" s="197" t="n">
        <f aca="false">-Depreciation!T45</f>
        <v>-0</v>
      </c>
      <c r="T85" s="197" t="n">
        <f aca="false">-Depreciation!U45</f>
        <v>-0</v>
      </c>
      <c r="U85" s="197" t="n">
        <f aca="false">-Depreciation!V45</f>
        <v>-0</v>
      </c>
      <c r="W85" s="343" t="n">
        <f aca="false">SUM(B85:U85)</f>
        <v>-233188.816118416</v>
      </c>
    </row>
    <row r="86" customFormat="false" ht="12.75" hidden="false" customHeight="false" outlineLevel="0" collapsed="false">
      <c r="A86" s="307" t="s">
        <v>212</v>
      </c>
      <c r="B86" s="172" t="n">
        <f aca="false">SUM(B83:B85)</f>
        <v>8283.16900935696</v>
      </c>
      <c r="C86" s="172" t="n">
        <f aca="false">SUM(C83:C85)</f>
        <v>-505.756378594338</v>
      </c>
      <c r="D86" s="172" t="n">
        <f aca="false">SUM(D83:D85)</f>
        <v>3645.81783829105</v>
      </c>
      <c r="E86" s="172" t="n">
        <f aca="false">SUM(E83:E85)</f>
        <v>7748.94205097294</v>
      </c>
      <c r="F86" s="172" t="n">
        <f aca="false">SUM(F83:F85)</f>
        <v>11867.1201545847</v>
      </c>
      <c r="G86" s="172" t="n">
        <f aca="false">SUM(G83:G85)</f>
        <v>14307.657434615</v>
      </c>
      <c r="H86" s="172" t="n">
        <f aca="false">SUM(H83:H85)</f>
        <v>15989.1872419056</v>
      </c>
      <c r="I86" s="172" t="n">
        <f aca="false">SUM(I83:I85)</f>
        <v>16872.1985272116</v>
      </c>
      <c r="J86" s="172" t="n">
        <f aca="false">SUM(J83:J85)</f>
        <v>17879.1783374841</v>
      </c>
      <c r="K86" s="172" t="n">
        <f aca="false">SUM(K83:K85)</f>
        <v>18844.7719284832</v>
      </c>
      <c r="L86" s="172" t="n">
        <f aca="false">SUM(L83:L85)</f>
        <v>20166.5734226365</v>
      </c>
      <c r="M86" s="172" t="n">
        <f aca="false">SUM(M83:M85)</f>
        <v>21477.167715862</v>
      </c>
      <c r="N86" s="172" t="n">
        <f aca="false">SUM(N83:N85)</f>
        <v>22578.4335567071</v>
      </c>
      <c r="O86" s="172" t="n">
        <f aca="false">SUM(O83:O85)</f>
        <v>24027.3214777719</v>
      </c>
      <c r="P86" s="172" t="n">
        <f aca="false">SUM(P83:P85)</f>
        <v>25150.523714722</v>
      </c>
      <c r="Q86" s="172" t="n">
        <f aca="false">SUM(Q83:Q85)</f>
        <v>33978.0927641196</v>
      </c>
      <c r="R86" s="172" t="n">
        <f aca="false">SUM(R83:R85)</f>
        <v>42326.1541794763</v>
      </c>
      <c r="S86" s="172" t="n">
        <f aca="false">SUM(S83:S85)</f>
        <v>43867.578616387</v>
      </c>
      <c r="T86" s="172" t="n">
        <f aca="false">SUM(T83:T85)</f>
        <v>45505.1699227232</v>
      </c>
      <c r="U86" s="172" t="n">
        <f aca="false">SUM(U83:U85)</f>
        <v>47247.1158408926</v>
      </c>
      <c r="W86" s="335" t="n">
        <f aca="false">SUM(B86:U86)</f>
        <v>441256.417355609</v>
      </c>
    </row>
    <row r="87" customFormat="false" ht="12.75" hidden="false" customHeight="false" outlineLevel="0" collapsed="false">
      <c r="A87" s="24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</row>
    <row r="88" customFormat="false" ht="12.75" hidden="false" customHeight="false" outlineLevel="0" collapsed="false">
      <c r="A88" s="24" t="s">
        <v>78</v>
      </c>
      <c r="B88" s="344" t="n">
        <f aca="false">Assumptions!$C$38</f>
        <v>0.06</v>
      </c>
      <c r="C88" s="344" t="n">
        <f aca="false">Assumptions!$C$38</f>
        <v>0.06</v>
      </c>
      <c r="D88" s="344" t="n">
        <f aca="false">Assumptions!$C$38</f>
        <v>0.06</v>
      </c>
      <c r="E88" s="344" t="n">
        <f aca="false">Assumptions!$C$38</f>
        <v>0.06</v>
      </c>
      <c r="F88" s="344" t="n">
        <f aca="false">Assumptions!$C$38</f>
        <v>0.06</v>
      </c>
      <c r="G88" s="344" t="n">
        <f aca="false">Assumptions!$C$38</f>
        <v>0.06</v>
      </c>
      <c r="H88" s="344" t="n">
        <f aca="false">Assumptions!$C$38</f>
        <v>0.06</v>
      </c>
      <c r="I88" s="344" t="n">
        <f aca="false">Assumptions!$C$38</f>
        <v>0.06</v>
      </c>
      <c r="J88" s="344" t="n">
        <f aca="false">Assumptions!$C$38</f>
        <v>0.06</v>
      </c>
      <c r="K88" s="344" t="n">
        <f aca="false">Assumptions!$C$38</f>
        <v>0.06</v>
      </c>
      <c r="L88" s="344" t="n">
        <f aca="false">Assumptions!$C$38</f>
        <v>0.06</v>
      </c>
      <c r="M88" s="344" t="n">
        <f aca="false">Assumptions!$C$38</f>
        <v>0.06</v>
      </c>
      <c r="N88" s="344" t="n">
        <f aca="false">Assumptions!$C$38</f>
        <v>0.06</v>
      </c>
      <c r="O88" s="344" t="n">
        <f aca="false">Assumptions!$C$38</f>
        <v>0.06</v>
      </c>
      <c r="P88" s="344" t="n">
        <f aca="false">Assumptions!$C$38</f>
        <v>0.06</v>
      </c>
      <c r="Q88" s="344" t="n">
        <f aca="false">Assumptions!$C$38</f>
        <v>0.06</v>
      </c>
      <c r="R88" s="344" t="n">
        <f aca="false">Assumptions!$C$38</f>
        <v>0.06</v>
      </c>
      <c r="S88" s="344" t="n">
        <f aca="false">Assumptions!$C$38</f>
        <v>0.06</v>
      </c>
      <c r="T88" s="344" t="n">
        <f aca="false">Assumptions!$C$38</f>
        <v>0.06</v>
      </c>
      <c r="U88" s="344" t="n">
        <f aca="false">Assumptions!$C$38</f>
        <v>0.06</v>
      </c>
    </row>
    <row r="89" customFormat="false" ht="12.75" hidden="false" customHeight="false" outlineLevel="0" collapsed="false">
      <c r="A89" s="24" t="s">
        <v>213</v>
      </c>
      <c r="B89" s="172" t="n">
        <f aca="false">B86*B88</f>
        <v>496.990140561417</v>
      </c>
      <c r="C89" s="172" t="n">
        <f aca="false">C86*C88</f>
        <v>-30.3453827156603</v>
      </c>
      <c r="D89" s="172" t="n">
        <f aca="false">D86*D88</f>
        <v>218.749070297463</v>
      </c>
      <c r="E89" s="172" t="n">
        <f aca="false">E86*E88</f>
        <v>464.936523058377</v>
      </c>
      <c r="F89" s="172" t="n">
        <f aca="false">F86*F88</f>
        <v>712.02720927508</v>
      </c>
      <c r="G89" s="172" t="n">
        <f aca="false">G86*G88</f>
        <v>858.459446076903</v>
      </c>
      <c r="H89" s="172" t="n">
        <f aca="false">H86*H88</f>
        <v>959.351234514334</v>
      </c>
      <c r="I89" s="172" t="n">
        <f aca="false">I86*I88</f>
        <v>1012.3319116327</v>
      </c>
      <c r="J89" s="172" t="n">
        <f aca="false">J86*J88</f>
        <v>1072.75070024904</v>
      </c>
      <c r="K89" s="172" t="n">
        <f aca="false">K86*K88</f>
        <v>1130.68631570899</v>
      </c>
      <c r="L89" s="172" t="n">
        <f aca="false">L86*L88</f>
        <v>1209.99440535819</v>
      </c>
      <c r="M89" s="172" t="n">
        <f aca="false">M86*M88</f>
        <v>1288.63006295172</v>
      </c>
      <c r="N89" s="172" t="n">
        <f aca="false">N86*N88</f>
        <v>1354.70601340242</v>
      </c>
      <c r="O89" s="172" t="n">
        <f aca="false">O86*O88</f>
        <v>1441.63928866631</v>
      </c>
      <c r="P89" s="172" t="n">
        <f aca="false">P86*P88</f>
        <v>1509.03142288332</v>
      </c>
      <c r="Q89" s="172" t="n">
        <f aca="false">Q86*Q88</f>
        <v>2038.68556584718</v>
      </c>
      <c r="R89" s="172" t="n">
        <f aca="false">R86*R88</f>
        <v>2539.56925076858</v>
      </c>
      <c r="S89" s="172" t="n">
        <f aca="false">S86*S88</f>
        <v>2632.05471698322</v>
      </c>
      <c r="T89" s="172" t="n">
        <f aca="false">T86*T88</f>
        <v>2730.31019536339</v>
      </c>
      <c r="U89" s="172" t="n">
        <f aca="false">U86*U88</f>
        <v>2834.82695045355</v>
      </c>
    </row>
    <row r="90" customFormat="false" ht="12.75" hidden="false" customHeight="false" outlineLevel="0" collapsed="false">
      <c r="A90" s="24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</row>
    <row r="91" customFormat="false" ht="12.75" hidden="false" customHeight="false" outlineLevel="0" collapsed="false">
      <c r="A91" s="24" t="s">
        <v>214</v>
      </c>
      <c r="B91" s="172" t="n">
        <v>0</v>
      </c>
      <c r="C91" s="172" t="n">
        <f aca="false">B95</f>
        <v>0</v>
      </c>
      <c r="D91" s="172" t="n">
        <f aca="false">C95</f>
        <v>30.3453827156603</v>
      </c>
      <c r="E91" s="172" t="n">
        <f aca="false">D95</f>
        <v>0</v>
      </c>
      <c r="F91" s="172" t="n">
        <f aca="false">E95</f>
        <v>0</v>
      </c>
      <c r="G91" s="172" t="n">
        <f aca="false">F95</f>
        <v>0</v>
      </c>
      <c r="H91" s="172" t="n">
        <f aca="false">G95</f>
        <v>0</v>
      </c>
      <c r="I91" s="172" t="n">
        <f aca="false">H95</f>
        <v>0</v>
      </c>
      <c r="J91" s="172" t="n">
        <f aca="false">I95</f>
        <v>0</v>
      </c>
      <c r="K91" s="172" t="n">
        <f aca="false">J95</f>
        <v>0</v>
      </c>
      <c r="L91" s="172" t="n">
        <f aca="false">K95</f>
        <v>0</v>
      </c>
      <c r="M91" s="172" t="n">
        <f aca="false">L95</f>
        <v>0</v>
      </c>
      <c r="N91" s="172" t="n">
        <f aca="false">M95</f>
        <v>0</v>
      </c>
      <c r="O91" s="172" t="n">
        <f aca="false">N95</f>
        <v>0</v>
      </c>
      <c r="P91" s="172" t="n">
        <f aca="false">O95</f>
        <v>0</v>
      </c>
      <c r="Q91" s="172" t="n">
        <f aca="false">P95</f>
        <v>0</v>
      </c>
      <c r="R91" s="172" t="n">
        <v>0</v>
      </c>
      <c r="S91" s="172" t="n">
        <f aca="false">R95</f>
        <v>0</v>
      </c>
      <c r="T91" s="172" t="n">
        <f aca="false">S95</f>
        <v>0</v>
      </c>
      <c r="U91" s="172" t="n">
        <f aca="false">T95</f>
        <v>0</v>
      </c>
    </row>
    <row r="92" customFormat="false" ht="12.75" hidden="false" customHeight="false" outlineLevel="0" collapsed="false">
      <c r="A92" s="24" t="s">
        <v>215</v>
      </c>
      <c r="B92" s="172" t="n">
        <f aca="false">IF(B62&gt;2020,0,IF(B89&lt;0,-B89,0))</f>
        <v>0</v>
      </c>
      <c r="C92" s="172" t="n">
        <f aca="false">IF(C62&gt;2020,0,IF(C89&lt;0,-C89,0))</f>
        <v>30.3453827156603</v>
      </c>
      <c r="D92" s="172" t="n">
        <f aca="false">IF(D62&gt;2020,0,IF(D89&lt;0,-D89,0))</f>
        <v>0</v>
      </c>
      <c r="E92" s="172" t="n">
        <f aca="false">IF(E62&gt;2020,0,IF(E89&lt;0,-E89,0))</f>
        <v>0</v>
      </c>
      <c r="F92" s="172" t="n">
        <f aca="false">IF(F62&gt;2020,0,IF(F89&lt;0,-F89,0))</f>
        <v>0</v>
      </c>
      <c r="G92" s="172" t="n">
        <f aca="false">IF(G62&gt;2020,0,IF(G89&lt;0,-G89,0))</f>
        <v>0</v>
      </c>
      <c r="H92" s="172" t="n">
        <f aca="false">IF(H62&gt;2020,0,IF(H89&lt;0,-H89,0))</f>
        <v>0</v>
      </c>
      <c r="I92" s="172" t="n">
        <f aca="false">IF(I62&gt;2020,0,IF(I89&lt;0,-I89,0))</f>
        <v>0</v>
      </c>
      <c r="J92" s="172" t="n">
        <f aca="false">IF(J62&gt;2020,0,IF(J89&lt;0,-J89,0))</f>
        <v>0</v>
      </c>
      <c r="K92" s="172" t="n">
        <f aca="false">IF(K62&gt;2020,0,IF(K89&lt;0,-K89,0))</f>
        <v>0</v>
      </c>
      <c r="L92" s="172" t="n">
        <f aca="false">IF(L62&gt;2020,0,IF(L89&lt;0,-L89,0))</f>
        <v>0</v>
      </c>
      <c r="M92" s="172" t="n">
        <f aca="false">IF(M62&gt;2020,0,IF(M89&lt;0,-M89,0))</f>
        <v>0</v>
      </c>
      <c r="N92" s="172" t="n">
        <f aca="false">IF(N62&gt;2020,0,IF(N89&lt;0,-N89,0))</f>
        <v>0</v>
      </c>
      <c r="O92" s="172" t="n">
        <f aca="false">IF(O62&gt;2020,0,IF(O89&lt;0,-O89,0))</f>
        <v>0</v>
      </c>
      <c r="P92" s="172" t="n">
        <f aca="false">IF(P62&gt;2020,0,IF(P89&lt;0,-P89,0))</f>
        <v>0</v>
      </c>
      <c r="Q92" s="172" t="n">
        <f aca="false">IF(Q62&gt;2020,0,IF(Q89&lt;0,-Q89,0))</f>
        <v>0</v>
      </c>
      <c r="R92" s="172" t="n">
        <f aca="false">IF(R62&gt;2020,0,IF(R89&lt;0,-R89,0))</f>
        <v>0</v>
      </c>
      <c r="S92" s="172" t="n">
        <f aca="false">IF(S62&gt;2020,0,IF(S89&lt;0,-S89,0))</f>
        <v>0</v>
      </c>
      <c r="T92" s="172" t="n">
        <f aca="false">IF(T62&gt;2020,0,IF(T89&lt;0,-T89,0))</f>
        <v>0</v>
      </c>
      <c r="U92" s="172" t="n">
        <f aca="false">IF(U62&gt;2020,0,IF(U89&lt;0,-U89,0))</f>
        <v>0</v>
      </c>
    </row>
    <row r="93" customFormat="false" ht="12.75" hidden="false" customHeight="false" outlineLevel="0" collapsed="false">
      <c r="A93" s="24" t="s">
        <v>216</v>
      </c>
      <c r="B93" s="345" t="n">
        <v>0</v>
      </c>
      <c r="C93" s="345" t="n">
        <v>0</v>
      </c>
      <c r="D93" s="345" t="n">
        <v>0</v>
      </c>
      <c r="E93" s="345" t="n">
        <v>0</v>
      </c>
      <c r="F93" s="345" t="n">
        <v>0</v>
      </c>
      <c r="G93" s="345" t="n">
        <v>0</v>
      </c>
      <c r="H93" s="345" t="n">
        <v>0</v>
      </c>
      <c r="I93" s="345" t="n">
        <v>0</v>
      </c>
      <c r="J93" s="345" t="n">
        <v>0</v>
      </c>
      <c r="K93" s="345" t="n">
        <v>0</v>
      </c>
      <c r="L93" s="345" t="n">
        <v>0</v>
      </c>
      <c r="M93" s="345" t="n">
        <v>0</v>
      </c>
      <c r="N93" s="345" t="n">
        <v>0</v>
      </c>
      <c r="O93" s="345" t="n">
        <v>0</v>
      </c>
      <c r="P93" s="345" t="n">
        <v>0</v>
      </c>
      <c r="Q93" s="345" t="n">
        <v>0</v>
      </c>
      <c r="R93" s="345" t="n">
        <v>0</v>
      </c>
      <c r="S93" s="345" t="n">
        <v>0</v>
      </c>
      <c r="T93" s="172" t="n">
        <f aca="false">IF(L92&gt;(SUM(M94:S94)+SUM(L93:S93))*-1,L92-(SUM(L94:S94)+SUM(L93:S93))*-1,0)</f>
        <v>0</v>
      </c>
      <c r="U93" s="172" t="n">
        <f aca="false">IF(M92&gt;(SUM(N94:T94)+SUM(M93:T93))*-1,M92-(SUM(M94:T94)+SUM(M93:T93))*-1,0)</f>
        <v>0</v>
      </c>
    </row>
    <row r="94" customFormat="false" ht="12.75" hidden="false" customHeight="false" outlineLevel="0" collapsed="false">
      <c r="A94" s="12" t="s">
        <v>189</v>
      </c>
      <c r="B94" s="197" t="n">
        <f aca="false">IF(B89&lt;0,0,IF(B91&gt;B89,-B89,-B91))</f>
        <v>-0</v>
      </c>
      <c r="C94" s="197" t="n">
        <f aca="false">IF(C89&lt;0,0,IF(C91&gt;C89,-C89,-C91))</f>
        <v>0</v>
      </c>
      <c r="D94" s="197" t="n">
        <f aca="false">IF(D89&lt;0,0,IF(D91&gt;D89,-D89,-D91))</f>
        <v>-30.3453827156603</v>
      </c>
      <c r="E94" s="197" t="n">
        <f aca="false">IF(E89&lt;0,0,IF(E91&gt;E89,-E89,-E91))</f>
        <v>-0</v>
      </c>
      <c r="F94" s="197" t="n">
        <f aca="false">IF(F89&lt;0,0,IF(F91&gt;F89,-F89,-F91))</f>
        <v>-0</v>
      </c>
      <c r="G94" s="197" t="n">
        <f aca="false">IF(G89&lt;0,0,IF(G91&gt;G89,-G89,-G91))</f>
        <v>-0</v>
      </c>
      <c r="H94" s="197" t="n">
        <f aca="false">IF(H89&lt;0,0,IF(H91&gt;H89,-H89,-H91))</f>
        <v>-0</v>
      </c>
      <c r="I94" s="197" t="n">
        <f aca="false">IF(I89&lt;0,0,IF(I91&gt;I89,-I89,-I91))</f>
        <v>-0</v>
      </c>
      <c r="J94" s="197" t="n">
        <f aca="false">IF(J89&lt;0,0,IF(J91&gt;J89,-J89,-J91))</f>
        <v>-0</v>
      </c>
      <c r="K94" s="197" t="n">
        <f aca="false">IF(K89&lt;0,0,IF(K91&gt;K89,-K89,-K91))</f>
        <v>-0</v>
      </c>
      <c r="L94" s="197" t="n">
        <f aca="false">IF(L89&lt;0,0,IF(L91&gt;L89,-L89,-L91))</f>
        <v>-0</v>
      </c>
      <c r="M94" s="197" t="n">
        <f aca="false">IF(M89&lt;0,0,IF(M91&gt;M89,-M89,-M91))</f>
        <v>-0</v>
      </c>
      <c r="N94" s="197" t="n">
        <f aca="false">IF(N89&lt;0,0,IF(N91&gt;N89,-N89,-N91))</f>
        <v>-0</v>
      </c>
      <c r="O94" s="197" t="n">
        <f aca="false">IF(O89&lt;0,0,IF(O91&gt;O89,-O89,-O91))</f>
        <v>-0</v>
      </c>
      <c r="P94" s="197" t="n">
        <f aca="false">IF(P89&lt;0,0,IF(P91&gt;P89,-P89,-P91))</f>
        <v>-0</v>
      </c>
      <c r="Q94" s="197" t="n">
        <f aca="false">IF(Q89&lt;0,0,IF(Q91&gt;Q89,-Q89,-Q91))</f>
        <v>-0</v>
      </c>
      <c r="R94" s="197" t="n">
        <f aca="false">IF(R89&lt;0,0,IF(R91&gt;R89,-R89,-R91))</f>
        <v>-0</v>
      </c>
      <c r="S94" s="197" t="n">
        <f aca="false">IF(S89&lt;0,0,IF(S91&gt;S89,-S89,-S91))</f>
        <v>-0</v>
      </c>
      <c r="T94" s="197" t="n">
        <f aca="false">IF(T89&lt;0,0,IF(T91&gt;T89,-T89,-T91))</f>
        <v>-0</v>
      </c>
      <c r="U94" s="197" t="n">
        <f aca="false">IF(U89&lt;0,0,IF(U91&gt;U89,-U89,-U91))</f>
        <v>-0</v>
      </c>
    </row>
    <row r="95" customFormat="false" ht="12.75" hidden="false" customHeight="false" outlineLevel="0" collapsed="false">
      <c r="A95" s="12" t="s">
        <v>217</v>
      </c>
      <c r="B95" s="197" t="n">
        <f aca="false">SUM(B91:B94)</f>
        <v>0</v>
      </c>
      <c r="C95" s="197" t="n">
        <f aca="false">SUM(C91:C94)</f>
        <v>30.3453827156603</v>
      </c>
      <c r="D95" s="197" t="n">
        <f aca="false">SUM(D91:D94)</f>
        <v>0</v>
      </c>
      <c r="E95" s="197" t="n">
        <f aca="false">SUM(E91:E94)</f>
        <v>0</v>
      </c>
      <c r="F95" s="197" t="n">
        <f aca="false">SUM(F91:F94)</f>
        <v>0</v>
      </c>
      <c r="G95" s="197" t="n">
        <f aca="false">SUM(G91:G94)</f>
        <v>0</v>
      </c>
      <c r="H95" s="197" t="n">
        <f aca="false">SUM(H91:H94)</f>
        <v>0</v>
      </c>
      <c r="I95" s="197" t="n">
        <f aca="false">SUM(I91:I94)</f>
        <v>0</v>
      </c>
      <c r="J95" s="197" t="n">
        <f aca="false">SUM(J91:J94)</f>
        <v>0</v>
      </c>
      <c r="K95" s="197" t="n">
        <f aca="false">SUM(K91:K94)</f>
        <v>0</v>
      </c>
      <c r="L95" s="197" t="n">
        <f aca="false">SUM(L91:L94)</f>
        <v>0</v>
      </c>
      <c r="M95" s="197" t="n">
        <f aca="false">SUM(M91:M94)</f>
        <v>0</v>
      </c>
      <c r="N95" s="197" t="n">
        <f aca="false">SUM(N91:N94)</f>
        <v>0</v>
      </c>
      <c r="O95" s="197" t="n">
        <f aca="false">SUM(O91:O94)</f>
        <v>0</v>
      </c>
      <c r="P95" s="197" t="n">
        <f aca="false">SUM(P91:P94)</f>
        <v>0</v>
      </c>
      <c r="Q95" s="197" t="n">
        <f aca="false">SUM(Q91:Q94)</f>
        <v>0</v>
      </c>
      <c r="R95" s="197" t="n">
        <f aca="false">SUM(R91:R94)</f>
        <v>0</v>
      </c>
      <c r="S95" s="197" t="n">
        <f aca="false">SUM(S91:S94)</f>
        <v>0</v>
      </c>
      <c r="T95" s="197" t="n">
        <f aca="false">SUM(T91:T94)</f>
        <v>0</v>
      </c>
      <c r="U95" s="197" t="n">
        <f aca="false">SUM(U91:U94)</f>
        <v>0</v>
      </c>
    </row>
    <row r="96" customFormat="false" ht="12.75" hidden="false" customHeight="false" outlineLevel="0" collapsed="false">
      <c r="A96" s="1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</row>
    <row r="97" customFormat="false" ht="13.5" hidden="false" customHeight="false" outlineLevel="0" collapsed="false">
      <c r="A97" s="40" t="s">
        <v>179</v>
      </c>
      <c r="B97" s="303" t="n">
        <f aca="false">IF(B89&lt;0,0,B89+B94)</f>
        <v>496.990140561417</v>
      </c>
      <c r="C97" s="303" t="n">
        <f aca="false">IF(C89&lt;0,0,C89+C94)</f>
        <v>0</v>
      </c>
      <c r="D97" s="303" t="n">
        <f aca="false">IF(D89&lt;0,0,D89+D94)</f>
        <v>188.403687581803</v>
      </c>
      <c r="E97" s="303" t="n">
        <f aca="false">IF(E89&lt;0,0,E89+E94)</f>
        <v>464.936523058377</v>
      </c>
      <c r="F97" s="303" t="n">
        <f aca="false">IF(F89&lt;0,0,F89+F94)</f>
        <v>712.02720927508</v>
      </c>
      <c r="G97" s="303" t="n">
        <f aca="false">IF(G89&lt;0,0,G89+G94)</f>
        <v>858.459446076903</v>
      </c>
      <c r="H97" s="303" t="n">
        <f aca="false">IF(H89&lt;0,0,H89+H94)</f>
        <v>959.351234514334</v>
      </c>
      <c r="I97" s="303" t="n">
        <f aca="false">IF(I89&lt;0,0,I89+I94)</f>
        <v>1012.3319116327</v>
      </c>
      <c r="J97" s="303" t="n">
        <f aca="false">IF(J89&lt;0,0,J89+J94)</f>
        <v>1072.75070024904</v>
      </c>
      <c r="K97" s="303" t="n">
        <f aca="false">IF(K89&lt;0,0,K89+K94)</f>
        <v>1130.68631570899</v>
      </c>
      <c r="L97" s="303" t="n">
        <f aca="false">IF(L89&lt;0,0,L89+L94)</f>
        <v>1209.99440535819</v>
      </c>
      <c r="M97" s="303" t="n">
        <f aca="false">IF(M89&lt;0,0,M89+M94)</f>
        <v>1288.63006295172</v>
      </c>
      <c r="N97" s="303" t="n">
        <f aca="false">IF(N89&lt;0,0,N89+N94)</f>
        <v>1354.70601340242</v>
      </c>
      <c r="O97" s="303" t="n">
        <f aca="false">IF(O89&lt;0,0,O89+O94)</f>
        <v>1441.63928866631</v>
      </c>
      <c r="P97" s="303" t="n">
        <f aca="false">IF(P89&lt;0,0,P89+P94)</f>
        <v>1509.03142288332</v>
      </c>
      <c r="Q97" s="303" t="n">
        <f aca="false">IF(Q89&lt;0,0,Q89+Q94)</f>
        <v>2038.68556584718</v>
      </c>
      <c r="R97" s="303" t="n">
        <f aca="false">IF(R89&lt;0,0,R89+R94)</f>
        <v>2539.56925076858</v>
      </c>
      <c r="S97" s="303" t="n">
        <f aca="false">IF(S89&lt;0,0,S89+S94)</f>
        <v>2632.05471698322</v>
      </c>
      <c r="T97" s="303" t="n">
        <f aca="false">IF(T89&lt;0,0,T89+T94)</f>
        <v>2730.31019536339</v>
      </c>
      <c r="U97" s="303" t="n">
        <f aca="false">IF(U89&lt;0,0,U89+U94)</f>
        <v>2834.82695045355</v>
      </c>
      <c r="W97" s="335" t="n">
        <f aca="false">SUM(B97:U97)</f>
        <v>26475.3850413365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Jon Hoff</dc:creator>
  <dc:description/>
  <dc:language>en-US</dc:language>
  <cp:lastModifiedBy>Jon Hoff</cp:lastModifiedBy>
  <cp:lastPrinted>2000-08-14T15:16:47Z</cp:lastPrinted>
  <cp:revision>0</cp:revision>
  <dc:subject/>
  <dc:title/>
</cp:coreProperties>
</file>