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1.xml.rels" ContentType="application/vnd.openxmlformats-package.relationships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mmary Output" sheetId="1" state="visible" r:id="rId3"/>
    <sheet name="Assumptions" sheetId="2" state="visible" r:id="rId4"/>
    <sheet name="Power Price Assumption" sheetId="3" state="visible" r:id="rId5"/>
    <sheet name="IS" sheetId="4" state="visible" r:id="rId6"/>
    <sheet name="Debt" sheetId="5" state="visible" r:id="rId7"/>
    <sheet name="CF" sheetId="6" state="visible" r:id="rId8"/>
    <sheet name="Depreciation" sheetId="7" state="visible" r:id="rId9"/>
    <sheet name="Tax" sheetId="8" state="visible" r:id="rId10"/>
    <sheet name="Gleason" sheetId="9" state="visible" r:id="rId11"/>
    <sheet name="Wheatland" sheetId="10" state="visible" r:id="rId12"/>
    <sheet name="Wilton" sheetId="11" state="visible" r:id="rId13"/>
    <sheet name="Allocation" sheetId="12" state="visible" r:id="rId14"/>
  </sheets>
  <externalReferences>
    <externalReference r:id="rId15"/>
    <externalReference r:id="rId16"/>
    <externalReference r:id="rId17"/>
  </externalReferences>
  <definedNames>
    <definedName function="false" hidden="false" localSheetId="11" name="_xlnm.Print_Area" vbProcedure="false">Allocation!$A$1:$E$10</definedName>
    <definedName function="false" hidden="false" localSheetId="1" name="_xlnm.Print_Area" vbProcedure="false">Assumptions!$A$1:$G$42</definedName>
    <definedName function="false" hidden="false" localSheetId="5" name="_xlnm.Print_Area" vbProcedure="false">CF!$A$1:$V$33</definedName>
    <definedName function="false" hidden="false" localSheetId="4" name="_xlnm.Print_Area" vbProcedure="false">Debt!$A$1:$U$88</definedName>
    <definedName function="false" hidden="false" localSheetId="6" name="_xlnm.Print_Area" vbProcedure="false">Depreciation!$A$2:$V$65</definedName>
    <definedName function="false" hidden="false" localSheetId="8" name="_xlnm.Print_Area" vbProcedure="false">Gleason!$A$2:$U$97</definedName>
    <definedName function="false" hidden="false" localSheetId="3" name="_xlnm.Print_Area" vbProcedure="false">IS!$A$2:$U$40</definedName>
    <definedName function="false" hidden="false" localSheetId="7" name="_xlnm.Print_Area" vbProcedure="false">Tax!$A$2:$U$20</definedName>
    <definedName function="false" hidden="false" localSheetId="9" name="_xlnm.Print_Area" vbProcedure="false">Wheatland!$A$2:$U$98</definedName>
    <definedName function="false" hidden="false" localSheetId="10" name="_xlnm.Print_Area" vbProcedure="false">Wilton!$A$2:$U$91</definedName>
    <definedName function="false" hidden="false" name="a" vbProcedure="false">{"Income Statement",#N/A,FALSE,"CFMODEL";"Balance Sheet",#N/A,FALSE,"CFMODEL"}</definedName>
    <definedName function="false" hidden="false" name="b" vbProcedure="false">{"SourcesUses",#N/A,TRUE,"CFMODEL";"TransOverview",#N/A,TRUE,"CFMODEL"}</definedName>
    <definedName function="false" hidden="false" name="d" vbProcedure="false">{"SourcesUses",#N/A,TRUE,#N/A;"TransOverview",#N/A,TRUE,"CFMODEL"}</definedName>
    <definedName function="false" hidden="false" name="e" vbProcedure="false">{"SourcesUses",#N/A,TRUE,"FundsFlow";"TransOverview",#N/A,TRUE,"FundsFlow"}</definedName>
    <definedName function="false" hidden="false" name="wrn_test1_" vbProcedure="false">{"Income Statement",#N/A,FALSE,"CFMODEL";"Balance Sheet",#N/A,FALSE,"CFMODEL"}</definedName>
    <definedName function="false" hidden="false" name="wrn_test2_" vbProcedure="false">{"SourcesUses",#N/A,TRUE,"CFMODEL";"TransOverview",#N/A,TRUE,"CFMODEL"}</definedName>
    <definedName function="false" hidden="false" name="wrn_test3_" vbProcedure="false">{"SourcesUses",#N/A,TRUE,#N/A;"TransOverview",#N/A,TRUE,"CFMODEL"}</definedName>
    <definedName function="false" hidden="false" name="wrn_test4_" vbProcedure="false">{"SourcesUses",#N/A,TRUE,"FundsFlow";"TransOverview",#N/A,TRUE,"FundsFlow"}</definedName>
    <definedName function="false" hidden="false" localSheetId="4" name="solver_adj" vbProcedure="false">Debt!$B$14,Debt!$B$34,Debt!$B$54</definedName>
    <definedName function="false" hidden="false" localSheetId="4" name="solver_cvg" vbProcedure="false">0.001</definedName>
    <definedName function="false" hidden="false" localSheetId="4" name="solver_drv" vbProcedure="false">1</definedName>
    <definedName function="false" hidden="false" localSheetId="4" name="solver_est" vbProcedure="false">1</definedName>
    <definedName function="false" hidden="false" localSheetId="4" name="solver_itr" vbProcedure="false">100</definedName>
    <definedName function="false" hidden="false" localSheetId="4" name="solver_lin" vbProcedure="false">2</definedName>
    <definedName function="false" hidden="false" localSheetId="4" name="solver_neg" vbProcedure="false">2</definedName>
    <definedName function="false" hidden="false" localSheetId="4" name="solver_num" vbProcedure="false">0</definedName>
    <definedName function="false" hidden="false" localSheetId="4" name="solver_nwt" vbProcedure="false">1</definedName>
    <definedName function="false" hidden="false" localSheetId="4" name="solver_opt" vbProcedure="false">Debt!$B$2</definedName>
    <definedName function="false" hidden="false" localSheetId="4" name="solver_pre" vbProcedure="false">0.000001</definedName>
    <definedName function="false" hidden="false" localSheetId="4" name="solver_scl" vbProcedure="false">2</definedName>
    <definedName function="false" hidden="false" localSheetId="4" name="solver_sho" vbProcedure="false">2</definedName>
    <definedName function="false" hidden="false" localSheetId="4" name="solver_tim" vbProcedure="false">100</definedName>
    <definedName function="false" hidden="false" localSheetId="4" name="solver_tol" vbProcedure="false">0.05</definedName>
    <definedName function="false" hidden="false" localSheetId="4" name="solver_typ" vbProcedure="false">3</definedName>
    <definedName function="false" hidden="false" localSheetId="4" name="solver_val" vbProcedure="false">0</definedName>
    <definedName function="false" hidden="false" localSheetId="6" name="AnnualHours" vbProcedure="false">[3]Assumptions!$BG$73</definedName>
    <definedName function="false" hidden="false" localSheetId="6" name="Begin_Op" vbProcedure="false">'[1]Consol Summary'!$N$7</definedName>
    <definedName function="false" hidden="false" localSheetId="6" name="chillers" vbProcedure="false">'[1]Consol Summary'!$M$65</definedName>
    <definedName function="false" hidden="false" localSheetId="6" name="Maint_Accrual" vbProcedure="false">[3]Assumptions!$BG$73</definedName>
    <definedName function="false" hidden="false" localSheetId="6" name="Main_Table" vbProcedure="false">'[1]Consol Summary'!$D$22:$I$45</definedName>
    <definedName function="false" hidden="false" localSheetId="6" name="PERIOD1" vbProcedure="false">'[1]Consol Summary'!$BG$68</definedName>
    <definedName function="false" hidden="false" localSheetId="6" name="PERIOD2" vbProcedure="false">'[1]Consol Summary'!$BG$68</definedName>
    <definedName function="false" hidden="false" localSheetId="6" name="principal" vbProcedure="false">'[1]Consol Summary'!$BG$68</definedName>
    <definedName function="false" hidden="false" localSheetId="6" name="StartMWh" vbProcedure="false">'[1]Consol Summary'!$BG$68</definedName>
    <definedName function="false" hidden="false" localSheetId="6" name="Variable" vbProcedure="false">[3]Assumptions!$BG$73</definedName>
    <definedName function="false" hidden="false" localSheetId="6" name="WaterTreatmentVar" vbProcedure="false">[3]Assumptions!$BG$73</definedName>
    <definedName function="false" hidden="false" localSheetId="6" name="wrn_test1_" vbProcedure="false">{"Income Statement",#N/A,FALSE,"CFMODEL";"Balance Sheet",#N/A,FALSE,"CFMODEL"}</definedName>
    <definedName function="false" hidden="false" localSheetId="6" name="wrn_test2_" vbProcedure="false">{"SourcesUses",#N/A,TRUE,"CFMODEL";"TransOverview",#N/A,TRUE,"CFMODEL"}</definedName>
    <definedName function="false" hidden="false" localSheetId="6" name="wrn_test3_" vbProcedure="false">{"SourcesUses",#N/A,TRUE,#N/A;"TransOverview",#N/A,TRUE,"CFMODEL"}</definedName>
    <definedName function="false" hidden="false" localSheetId="6" name="wrn_test4_" vbProcedure="false">{"SourcesUses",#N/A,TRUE,"FundsFlow";"TransOverview",#N/A,TRUE,"FundsFlow"}</definedName>
    <definedName function="false" hidden="false" localSheetId="8" name="blm_share" vbProcedure="false">#REF!</definedName>
    <definedName function="false" hidden="false" localSheetId="8" name="coso" vbProcedure="false">#REF!</definedName>
    <definedName function="false" hidden="false" localSheetId="8" name="Coso_Distributable_Cash" vbProcedure="false">#REF!</definedName>
    <definedName function="false" hidden="false" localSheetId="8" name="Coso_Net_ATCash" vbProcedure="false">#REF!</definedName>
    <definedName function="false" hidden="false" localSheetId="8" name="Coso_Net_Income" vbProcedure="false">#REF!</definedName>
    <definedName function="false" hidden="false" localSheetId="8" name="Distributable_Cash" vbProcedure="false">#REF!</definedName>
    <definedName function="false" hidden="false" localSheetId="8" name="Energy_Credit_Coso" vbProcedure="false">#REF!</definedName>
    <definedName function="false" hidden="false" localSheetId="8" name="Energy_Credit_Imperial" vbProcedure="false">#REF!</definedName>
    <definedName function="false" hidden="false" localSheetId="8" name="FPOC_Distributable_Cash" vbProcedure="false">#REF!</definedName>
    <definedName function="false" hidden="false" localSheetId="8" name="FPOC_Net_ATCash" vbProcedure="false">#REF!</definedName>
    <definedName function="false" hidden="false" localSheetId="8" name="FPOC_Net_Income" vbProcedure="false">#REF!</definedName>
    <definedName function="false" hidden="false" localSheetId="8" name="FSGC_ATCash" vbProcedure="false">#REF!</definedName>
    <definedName function="false" hidden="false" localSheetId="8" name="FSGC_Distributable_Cash" vbProcedure="false">#REF!</definedName>
    <definedName function="false" hidden="false" localSheetId="8" name="FSGC_Net_Income" vbProcedure="false">#REF!</definedName>
    <definedName function="false" hidden="false" localSheetId="8" name="Imperial_Distributable_Cash" vbProcedure="false">#REF!</definedName>
    <definedName function="false" hidden="false" localSheetId="8" name="Imperial_Geothermal" vbProcedure="false">#REF!</definedName>
    <definedName function="false" hidden="false" localSheetId="8" name="Imperial_Net_ATCash" vbProcedure="false">#REF!</definedName>
    <definedName function="false" hidden="false" localSheetId="8" name="Imperial_Net_Income" vbProcedure="false">#REF!</definedName>
    <definedName function="false" hidden="false" localSheetId="8" name="Minerals" vbProcedure="false">#REF!</definedName>
    <definedName function="false" hidden="false" localSheetId="8" name="Minerals_Distributable_Cash" vbProcedure="false">#REF!</definedName>
    <definedName function="false" hidden="false" localSheetId="8" name="Minerals_Net_ATCash" vbProcedure="false">#REF!</definedName>
    <definedName function="false" hidden="false" localSheetId="8" name="Minerals_Net_Income" vbProcedure="false">#REF!</definedName>
    <definedName function="false" hidden="false" localSheetId="8" name="navyII_share" vbProcedure="false">#REF!</definedName>
    <definedName function="false" hidden="false" localSheetId="8" name="navyi_share" vbProcedure="false">#REF!</definedName>
    <definedName function="false" hidden="false" localSheetId="8" name="Net_ATCash" vbProcedure="false">#REF!</definedName>
    <definedName function="false" hidden="false" localSheetId="8" name="Net_Income_Unlevered" vbProcedure="false">#REF!</definedName>
    <definedName function="false" hidden="false" localSheetId="8" name="Norcon_Distributable_Cash" vbProcedure="false">#REF!</definedName>
    <definedName function="false" hidden="false" localSheetId="8" name="Norcon_Net_ATCash" vbProcedure="false">#REF!</definedName>
    <definedName function="false" hidden="false" localSheetId="8" name="Norcon_Net_Income" vbProcedure="false">#REF!</definedName>
    <definedName function="false" hidden="false" localSheetId="8" name="PRI_Cash_Taxes" vbProcedure="false">#REF!</definedName>
    <definedName function="false" hidden="false" localSheetId="8" name="PRI_Net_ATCash" vbProcedure="false">#REF!</definedName>
    <definedName function="false" hidden="false" localSheetId="8" name="PRI_Net_Income" vbProcedure="false">#REF!</definedName>
    <definedName function="false" hidden="false" localSheetId="8" name="Saranac_Distributable_Cash" vbProcedure="false">#REF!</definedName>
    <definedName function="false" hidden="false" localSheetId="8" name="Saranac_Net_ATCash" vbProcedure="false">#REF!</definedName>
    <definedName function="false" hidden="false" localSheetId="8" name="Saranac_Net_Income" vbProcedure="false">#REF!</definedName>
    <definedName function="false" hidden="false" localSheetId="8" name="Taxable_Income" vbProcedure="false">#REF!</definedName>
    <definedName function="false" hidden="false" localSheetId="8" name="Tax_Depreciation" vbProcedure="false">#REF!</definedName>
    <definedName function="false" hidden="false" localSheetId="8" name="Yuma_Distributable_Cash" vbProcedure="false">#REF!</definedName>
    <definedName function="false" hidden="false" localSheetId="8" name="Yuma_Net_ATCash" vbProcedure="false">#REF!</definedName>
    <definedName function="false" hidden="false" localSheetId="8" name="Yuma_Net_Income" vbProcedure="false">#REF!</definedName>
    <definedName function="false" hidden="false" localSheetId="8" name="zinc" vbProcedure="false">Gleason!$X$14</definedName>
    <definedName function="false" hidden="false" localSheetId="8" name="Zinc_Distributable_Cash" vbProcedure="false">#REF!</definedName>
    <definedName function="false" hidden="false" localSheetId="8" name="Zinc_Net_ATCash" vbProcedure="false">#REF!</definedName>
    <definedName function="false" hidden="false" localSheetId="8" name="Zinc_Net_Income" vbProcedure="false">#REF!</definedName>
    <definedName function="false" hidden="false" localSheetId="9" name="blm_share" vbProcedure="false">#REF!</definedName>
    <definedName function="false" hidden="false" localSheetId="9" name="coso" vbProcedure="false">#REF!</definedName>
    <definedName function="false" hidden="false" localSheetId="9" name="Coso_Distributable_Cash" vbProcedure="false">#REF!</definedName>
    <definedName function="false" hidden="false" localSheetId="9" name="Coso_Net_ATCash" vbProcedure="false">#REF!</definedName>
    <definedName function="false" hidden="false" localSheetId="9" name="Coso_Net_Income" vbProcedure="false">#REF!</definedName>
    <definedName function="false" hidden="false" localSheetId="9" name="Distributable_Cash" vbProcedure="false">#REF!</definedName>
    <definedName function="false" hidden="false" localSheetId="9" name="Energy_Credit_Coso" vbProcedure="false">#REF!</definedName>
    <definedName function="false" hidden="false" localSheetId="9" name="Energy_Credit_Imperial" vbProcedure="false">#REF!</definedName>
    <definedName function="false" hidden="false" localSheetId="9" name="FPOC_Distributable_Cash" vbProcedure="false">#REF!</definedName>
    <definedName function="false" hidden="false" localSheetId="9" name="FPOC_Net_ATCash" vbProcedure="false">#REF!</definedName>
    <definedName function="false" hidden="false" localSheetId="9" name="FPOC_Net_Income" vbProcedure="false">#REF!</definedName>
    <definedName function="false" hidden="false" localSheetId="9" name="FSGC_ATCash" vbProcedure="false">#REF!</definedName>
    <definedName function="false" hidden="false" localSheetId="9" name="FSGC_Distributable_Cash" vbProcedure="false">#REF!</definedName>
    <definedName function="false" hidden="false" localSheetId="9" name="FSGC_Net_Income" vbProcedure="false">#REF!</definedName>
    <definedName function="false" hidden="false" localSheetId="9" name="Imperial_Distributable_Cash" vbProcedure="false">#REF!</definedName>
    <definedName function="false" hidden="false" localSheetId="9" name="Imperial_Geothermal" vbProcedure="false">#REF!</definedName>
    <definedName function="false" hidden="false" localSheetId="9" name="Imperial_Net_ATCash" vbProcedure="false">#REF!</definedName>
    <definedName function="false" hidden="false" localSheetId="9" name="Imperial_Net_Income" vbProcedure="false">#REF!</definedName>
    <definedName function="false" hidden="false" localSheetId="9" name="Minerals" vbProcedure="false">#REF!</definedName>
    <definedName function="false" hidden="false" localSheetId="9" name="Minerals_Distributable_Cash" vbProcedure="false">#REF!</definedName>
    <definedName function="false" hidden="false" localSheetId="9" name="Minerals_Net_ATCash" vbProcedure="false">#REF!</definedName>
    <definedName function="false" hidden="false" localSheetId="9" name="Minerals_Net_Income" vbProcedure="false">#REF!</definedName>
    <definedName function="false" hidden="false" localSheetId="9" name="navyII_share" vbProcedure="false">#REF!</definedName>
    <definedName function="false" hidden="false" localSheetId="9" name="navyi_share" vbProcedure="false">#REF!</definedName>
    <definedName function="false" hidden="false" localSheetId="9" name="Net_ATCash" vbProcedure="false">#REF!</definedName>
    <definedName function="false" hidden="false" localSheetId="9" name="Net_Income_Unlevered" vbProcedure="false">#REF!</definedName>
    <definedName function="false" hidden="false" localSheetId="9" name="Norcon_Distributable_Cash" vbProcedure="false">#REF!</definedName>
    <definedName function="false" hidden="false" localSheetId="9" name="Norcon_Net_ATCash" vbProcedure="false">#REF!</definedName>
    <definedName function="false" hidden="false" localSheetId="9" name="Norcon_Net_Income" vbProcedure="false">#REF!</definedName>
    <definedName function="false" hidden="false" localSheetId="9" name="PRI_Cash_Taxes" vbProcedure="false">#REF!</definedName>
    <definedName function="false" hidden="false" localSheetId="9" name="PRI_Net_ATCash" vbProcedure="false">#REF!</definedName>
    <definedName function="false" hidden="false" localSheetId="9" name="PRI_Net_Income" vbProcedure="false">#REF!</definedName>
    <definedName function="false" hidden="false" localSheetId="9" name="Saranac_Distributable_Cash" vbProcedure="false">#REF!</definedName>
    <definedName function="false" hidden="false" localSheetId="9" name="Saranac_Net_ATCash" vbProcedure="false">#REF!</definedName>
    <definedName function="false" hidden="false" localSheetId="9" name="Saranac_Net_Income" vbProcedure="false">#REF!</definedName>
    <definedName function="false" hidden="false" localSheetId="9" name="Taxable_Income" vbProcedure="false">#REF!</definedName>
    <definedName function="false" hidden="false" localSheetId="9" name="Tax_Depreciation" vbProcedure="false">#REF!</definedName>
    <definedName function="false" hidden="false" localSheetId="9" name="Yuma_Distributable_Cash" vbProcedure="false">#REF!</definedName>
    <definedName function="false" hidden="false" localSheetId="9" name="Yuma_Net_ATCash" vbProcedure="false">#REF!</definedName>
    <definedName function="false" hidden="false" localSheetId="9" name="Yuma_Net_Income" vbProcedure="false">#REF!</definedName>
    <definedName function="false" hidden="false" localSheetId="9" name="zinc" vbProcedure="false">Wheatland!$X$11</definedName>
    <definedName function="false" hidden="false" localSheetId="9" name="Zinc_Distributable_Cash" vbProcedure="false">Wheatland!$D$99:$U$99</definedName>
    <definedName function="false" hidden="false" localSheetId="9" name="Zinc_Net_ATCash" vbProcedure="false">Wheatland!$D$100:$U$100</definedName>
    <definedName function="false" hidden="false" localSheetId="9" name="Zinc_Net_Income" vbProcedure="false">Wheatland!$D$98:$U$98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<sst xmlns="http://schemas.openxmlformats.org/spreadsheetml/2006/main" count="499" uniqueCount="238">
  <si>
    <t xml:space="preserve">SUMMARY OUTPUT</t>
  </si>
  <si>
    <t xml:space="preserve">SOURCES &amp; USES:</t>
  </si>
  <si>
    <t xml:space="preserve">Sources of Funds</t>
  </si>
  <si>
    <t xml:space="preserve">%</t>
  </si>
  <si>
    <t xml:space="preserve">000 $</t>
  </si>
  <si>
    <t xml:space="preserve">Uses of Funds</t>
  </si>
  <si>
    <t xml:space="preserve">Total Equity </t>
  </si>
  <si>
    <t xml:space="preserve">2000 Plants</t>
  </si>
  <si>
    <t xml:space="preserve">Bond Proceeds</t>
  </si>
  <si>
    <t xml:space="preserve">Total Sources</t>
  </si>
  <si>
    <t xml:space="preserve">Total Uses</t>
  </si>
  <si>
    <t xml:space="preserve">FINANCING ASSUMPTIONS:</t>
  </si>
  <si>
    <t xml:space="preserve">Tranche 1</t>
  </si>
  <si>
    <t xml:space="preserve">Tranche 2</t>
  </si>
  <si>
    <t xml:space="preserve">Tranche 3</t>
  </si>
  <si>
    <t xml:space="preserve">Total</t>
  </si>
  <si>
    <t xml:space="preserve">Debt Financing Summary:</t>
  </si>
  <si>
    <t xml:space="preserve">Debt Closing Date</t>
  </si>
  <si>
    <t xml:space="preserve">Amount ('000 $)</t>
  </si>
  <si>
    <t xml:space="preserve">Term (yrs)</t>
  </si>
  <si>
    <t xml:space="preserve">Final Maturity</t>
  </si>
  <si>
    <t xml:space="preserve">Average Life (yrs)</t>
  </si>
  <si>
    <t xml:space="preserve">Treasury Rate (%) </t>
  </si>
  <si>
    <t xml:space="preserve">Spread (%)</t>
  </si>
  <si>
    <t xml:space="preserve">All-in Coupon Rate (%)</t>
  </si>
  <si>
    <t xml:space="preserve">Interest Income Rate</t>
  </si>
  <si>
    <t xml:space="preserve">Equity Financing Summary:</t>
  </si>
  <si>
    <t xml:space="preserve">Equity Closing Date</t>
  </si>
  <si>
    <t xml:space="preserve">Required After-Tax Rate of Return (%)</t>
  </si>
  <si>
    <t xml:space="preserve">DEPRECIATION ASSUMPTIONS:</t>
  </si>
  <si>
    <t xml:space="preserve">Initial Basis (000 $)</t>
  </si>
  <si>
    <t xml:space="preserve">Year</t>
  </si>
  <si>
    <t xml:space="preserve">Method</t>
  </si>
  <si>
    <t xml:space="preserve">Residual (%)</t>
  </si>
  <si>
    <t xml:space="preserve">Federal &amp; State Tax Depreciation</t>
  </si>
  <si>
    <t xml:space="preserve">Total Project Cost less Power Contract Liability</t>
  </si>
  <si>
    <t xml:space="preserve">MACRS</t>
  </si>
  <si>
    <t xml:space="preserve">Book Depreciation</t>
  </si>
  <si>
    <t xml:space="preserve">Total Project Cost</t>
  </si>
  <si>
    <t xml:space="preserve">SL</t>
  </si>
  <si>
    <t xml:space="preserve">SUMMARY OUTPUT:</t>
  </si>
  <si>
    <t xml:space="preserve">DSCR</t>
  </si>
  <si>
    <t xml:space="preserve">Min</t>
  </si>
  <si>
    <t xml:space="preserve">Avg.</t>
  </si>
  <si>
    <t xml:space="preserve">Merchant Price Period</t>
  </si>
  <si>
    <t xml:space="preserve">Weighted Average Heat Rate (Btu/kWh)</t>
  </si>
  <si>
    <t xml:space="preserve">Summer Capacity (MW)</t>
  </si>
  <si>
    <t xml:space="preserve">Salvage Value (2 x EBITDA) at the end of 20 years ($/kW)</t>
  </si>
  <si>
    <t xml:space="preserve">Equity's After-Tax Returns with Salvage Value (20 yrs)</t>
  </si>
  <si>
    <t xml:space="preserve">GenCo EBITDA (000 $)</t>
  </si>
  <si>
    <t xml:space="preserve">GenCo Net Income (000 $)</t>
  </si>
  <si>
    <t xml:space="preserve">GenCo Pre-Tax Cashflow (000 $)</t>
  </si>
  <si>
    <t xml:space="preserve">GenCo After-Tax Cashflow (000 $)</t>
  </si>
  <si>
    <t xml:space="preserve">ASSUMPTIONS</t>
  </si>
  <si>
    <t xml:space="preserve">TECHNICAL ASSUMPTIONS:</t>
  </si>
  <si>
    <t xml:space="preserve">2000 PROJECTS</t>
  </si>
  <si>
    <t xml:space="preserve">Gleason</t>
  </si>
  <si>
    <t xml:space="preserve">Wheatland</t>
  </si>
  <si>
    <t xml:space="preserve">Wilton</t>
  </si>
  <si>
    <t xml:space="preserve">Number of Turbines</t>
  </si>
  <si>
    <r>
      <rPr>
        <sz val="10"/>
        <rFont val="Arial"/>
        <family val="2"/>
      </rPr>
      <t xml:space="preserve">Summer Capacity (MW)</t>
    </r>
    <r>
      <rPr>
        <vertAlign val="superscript"/>
        <sz val="10"/>
        <rFont val="Arial"/>
        <family val="2"/>
      </rPr>
      <t xml:space="preserve">(1)</t>
    </r>
  </si>
  <si>
    <t xml:space="preserve">Summer Heat Rate (HHV, Btu/kWh)</t>
  </si>
  <si>
    <t xml:space="preserve">Numbers of Starts</t>
  </si>
  <si>
    <t xml:space="preserve">PRICING ASSUMPTIONS:</t>
  </si>
  <si>
    <t xml:space="preserve">Fixed Price Demand Charge ($/kW-month)</t>
  </si>
  <si>
    <t xml:space="preserve">Energy Charge ($/MWh)</t>
  </si>
  <si>
    <t xml:space="preserve">Start Charge ($/Start/Turbine)</t>
  </si>
  <si>
    <t xml:space="preserve">Annual Generation (MWh)</t>
  </si>
  <si>
    <t xml:space="preserve">OPERATING COSTS ASSUMPTIONS:</t>
  </si>
  <si>
    <t xml:space="preserve">Variable O&amp;M ($/MWh)</t>
  </si>
  <si>
    <t xml:space="preserve">Major Maintenance ($/Start/Turbine)</t>
  </si>
  <si>
    <t xml:space="preserve">Annual Escalator</t>
  </si>
  <si>
    <t xml:space="preserve">Annual Cost (000$ in Year 2000)</t>
  </si>
  <si>
    <t xml:space="preserve">Fixed O&amp;M</t>
  </si>
  <si>
    <t xml:space="preserve">Variable O&amp;M</t>
  </si>
  <si>
    <t xml:space="preserve">Major Maintenance Per Plant</t>
  </si>
  <si>
    <t xml:space="preserve">Owner's Expense</t>
  </si>
  <si>
    <t xml:space="preserve">Property Tax Liability</t>
  </si>
  <si>
    <t xml:space="preserve">TAX ASSUMPTIONS:</t>
  </si>
  <si>
    <t xml:space="preserve">Federal Income Tax Rate</t>
  </si>
  <si>
    <t xml:space="preserve">State Income Tax Rate</t>
  </si>
  <si>
    <t xml:space="preserve">Adjusted Gross Income Tax</t>
  </si>
  <si>
    <t xml:space="preserve">N/A</t>
  </si>
  <si>
    <t xml:space="preserve">Gross Receipts Tax Rate</t>
  </si>
  <si>
    <t xml:space="preserve">Franchise Tax Rate (Year 1)</t>
  </si>
  <si>
    <t xml:space="preserve">Franchise Tax Rate (Year 2-20)</t>
  </si>
  <si>
    <t xml:space="preserve">POWER PRICE ASSUMPTION</t>
  </si>
  <si>
    <t xml:space="preserve">MERCHANT PRICE PERIOD</t>
  </si>
  <si>
    <t xml:space="preserve">ICF Capacity Price Escalator</t>
  </si>
  <si>
    <t xml:space="preserve">TVA Capacity Curves:</t>
  </si>
  <si>
    <t xml:space="preserve">(for Gleason)</t>
  </si>
  <si>
    <t xml:space="preserve">1998 $</t>
  </si>
  <si>
    <t xml:space="preserve">ICF Base ($/kW-year)</t>
  </si>
  <si>
    <t xml:space="preserve">Nominal $</t>
  </si>
  <si>
    <t xml:space="preserve">ICF Base ($/kW-year )</t>
  </si>
  <si>
    <t xml:space="preserve">Gleason Capacity Price Curve</t>
  </si>
  <si>
    <t xml:space="preserve">Southern ECAR Capacity Curves:</t>
  </si>
  <si>
    <t xml:space="preserve">(for Wheatland)</t>
  </si>
  <si>
    <t xml:space="preserve">Wheatland Capacity Price Curve</t>
  </si>
  <si>
    <t xml:space="preserve">Com Ed Capacity Curves:</t>
  </si>
  <si>
    <t xml:space="preserve">(for Wilton Center)</t>
  </si>
  <si>
    <t xml:space="preserve">Wilton Capacity Price Curve</t>
  </si>
  <si>
    <t xml:space="preserve">GENCO INCOME STATEMENT</t>
  </si>
  <si>
    <t xml:space="preserve">('000 $)</t>
  </si>
  <si>
    <t xml:space="preserve">Revenue</t>
  </si>
  <si>
    <t xml:space="preserve">Merchant Period:</t>
  </si>
  <si>
    <t xml:space="preserve">Demand Payment</t>
  </si>
  <si>
    <t xml:space="preserve">Variable Revenue </t>
  </si>
  <si>
    <t xml:space="preserve">Interest Income</t>
  </si>
  <si>
    <t xml:space="preserve">Total Revenue</t>
  </si>
  <si>
    <t xml:space="preserve">Expense</t>
  </si>
  <si>
    <t xml:space="preserve">Major Maintenance</t>
  </si>
  <si>
    <t xml:space="preserve">Property Taxes</t>
  </si>
  <si>
    <t xml:space="preserve">Franchise Tax </t>
  </si>
  <si>
    <t xml:space="preserve">Total Expense</t>
  </si>
  <si>
    <t xml:space="preserve">EBITDA</t>
  </si>
  <si>
    <t xml:space="preserve">Depreciation &amp; Amortization</t>
  </si>
  <si>
    <t xml:space="preserve">EBIT</t>
  </si>
  <si>
    <t xml:space="preserve">Interest Expense</t>
  </si>
  <si>
    <t xml:space="preserve">EBT</t>
  </si>
  <si>
    <t xml:space="preserve">Book State Tax Benefit / (Expense)</t>
  </si>
  <si>
    <t xml:space="preserve">Shareholder Fed. Tax Benefit / (Expense)</t>
  </si>
  <si>
    <t xml:space="preserve">Net Income</t>
  </si>
  <si>
    <t xml:space="preserve">DEBT ISSUANCE</t>
  </si>
  <si>
    <t xml:space="preserve">Principal</t>
  </si>
  <si>
    <t xml:space="preserve">Check</t>
  </si>
  <si>
    <t xml:space="preserve">Beginning Balance</t>
  </si>
  <si>
    <t xml:space="preserve">Interest Payment </t>
  </si>
  <si>
    <t xml:space="preserve">Ending Balance</t>
  </si>
  <si>
    <t xml:space="preserve">Amortization %</t>
  </si>
  <si>
    <t xml:space="preserve">Principal Payment </t>
  </si>
  <si>
    <t xml:space="preserve">Total Debt</t>
  </si>
  <si>
    <t xml:space="preserve">Principal Payments</t>
  </si>
  <si>
    <t xml:space="preserve">Net Debt Service</t>
  </si>
  <si>
    <t xml:space="preserve">ACTUAL DSCR</t>
  </si>
  <si>
    <t xml:space="preserve">Merchant Price Period:</t>
  </si>
  <si>
    <t xml:space="preserve">Minimum</t>
  </si>
  <si>
    <t xml:space="preserve">Average</t>
  </si>
  <si>
    <t xml:space="preserve">Accrued Interest</t>
  </si>
  <si>
    <t xml:space="preserve">Treasury (%)</t>
  </si>
  <si>
    <t xml:space="preserve">All In Coupon Rate (%)</t>
  </si>
  <si>
    <t xml:space="preserve">Term (years)</t>
  </si>
  <si>
    <t xml:space="preserve">Average Life (years)</t>
  </si>
  <si>
    <t xml:space="preserve">Total amount ($ '000)</t>
  </si>
  <si>
    <t xml:space="preserve">Time Factor</t>
  </si>
  <si>
    <t xml:space="preserve">Average Life</t>
  </si>
  <si>
    <t xml:space="preserve">ANNUAL CASH FLOW AND IRR</t>
  </si>
  <si>
    <t xml:space="preserve">GENCO CASH FLOW</t>
  </si>
  <si>
    <t xml:space="preserve">Close</t>
  </si>
  <si>
    <t xml:space="preserve">Plus Property Tax Liability</t>
  </si>
  <si>
    <t xml:space="preserve">Less Property Tax Expense</t>
  </si>
  <si>
    <t xml:space="preserve">Less Principal Payments</t>
  </si>
  <si>
    <t xml:space="preserve">Less Interest Payments</t>
  </si>
  <si>
    <t xml:space="preserve">Pre-Tax Cash Flow</t>
  </si>
  <si>
    <t xml:space="preserve">  GenCo's State Tax Benefit/(Expense)</t>
  </si>
  <si>
    <t xml:space="preserve">  GenCo's Federal Tax Benefit/(Expense)</t>
  </si>
  <si>
    <t xml:space="preserve">After-Tax Cash Flow</t>
  </si>
  <si>
    <t xml:space="preserve">IRR Calculation</t>
  </si>
  <si>
    <t xml:space="preserve">Equity's Contribution</t>
  </si>
  <si>
    <t xml:space="preserve">Equity's After-Tax Cashflow</t>
  </si>
  <si>
    <t xml:space="preserve">Salvage Value</t>
  </si>
  <si>
    <t xml:space="preserve">Equity's Net Cashflow</t>
  </si>
  <si>
    <t xml:space="preserve">   IRR</t>
  </si>
  <si>
    <t xml:space="preserve">GENCO DEPRECIATION</t>
  </si>
  <si>
    <t xml:space="preserve">Initial Book Value</t>
  </si>
  <si>
    <t xml:space="preserve">No. of Months in Operation</t>
  </si>
  <si>
    <t xml:space="preserve">% Depreciated</t>
  </si>
  <si>
    <t xml:space="preserve">Beginning Book Value</t>
  </si>
  <si>
    <t xml:space="preserve">Depreciation</t>
  </si>
  <si>
    <t xml:space="preserve">Ending Book Value</t>
  </si>
  <si>
    <t xml:space="preserve">15 Year MACRS Table</t>
  </si>
  <si>
    <t xml:space="preserve">GenCo</t>
  </si>
  <si>
    <t xml:space="preserve">Tax Depreciation</t>
  </si>
  <si>
    <t xml:space="preserve">Project Cost</t>
  </si>
  <si>
    <t xml:space="preserve">Beginning Value</t>
  </si>
  <si>
    <t xml:space="preserve">Ending Value</t>
  </si>
  <si>
    <t xml:space="preserve">Tax Depreciation From Above</t>
  </si>
  <si>
    <t xml:space="preserve">Tax Depreciation From 6 Plants</t>
  </si>
  <si>
    <t xml:space="preserve">Difference</t>
  </si>
  <si>
    <t xml:space="preserve">GENCO FEDERAL TAXES</t>
  </si>
  <si>
    <t xml:space="preserve">STATE TAXES</t>
  </si>
  <si>
    <t xml:space="preserve">Total State Taxes Utilizing NOLs</t>
  </si>
  <si>
    <t xml:space="preserve">FEDERAL TAXES</t>
  </si>
  <si>
    <t xml:space="preserve">Pretax Book Income</t>
  </si>
  <si>
    <t xml:space="preserve">Plus Book Depreciation &amp; Amortization</t>
  </si>
  <si>
    <t xml:space="preserve">Less: Tax Depreciation</t>
  </si>
  <si>
    <t xml:space="preserve">Less: State Taxes</t>
  </si>
  <si>
    <t xml:space="preserve">Federal Taxable Income</t>
  </si>
  <si>
    <t xml:space="preserve">Federal Tax Rate</t>
  </si>
  <si>
    <t xml:space="preserve">Federal Tax Expense/ (Benefit)</t>
  </si>
  <si>
    <t xml:space="preserve">NOL Carryforward</t>
  </si>
  <si>
    <t xml:space="preserve">NOL Utilization</t>
  </si>
  <si>
    <t xml:space="preserve">Total Federal Cash Taxes Payable/(Benefit)</t>
  </si>
  <si>
    <t xml:space="preserve">INCOME STATEMENT - GLEASON</t>
  </si>
  <si>
    <t xml:space="preserve">Property Taxes Liability</t>
  </si>
  <si>
    <t xml:space="preserve">Franchise Tax</t>
  </si>
  <si>
    <t xml:space="preserve">After Tax Book Income</t>
  </si>
  <si>
    <t xml:space="preserve">CASH FLOW - GLEASON</t>
  </si>
  <si>
    <t xml:space="preserve">Debt Service</t>
  </si>
  <si>
    <t xml:space="preserve">Pre Tax Cash Flow</t>
  </si>
  <si>
    <t xml:space="preserve"> State Cash Taxes Benefit (Expense)</t>
  </si>
  <si>
    <t xml:space="preserve"> Federal Cash Taxes Benefit (Expense)</t>
  </si>
  <si>
    <t xml:space="preserve">After Tax Cash Flow</t>
  </si>
  <si>
    <t xml:space="preserve">STATE TAX &amp; FRANCHISE TAX - GLEASON</t>
  </si>
  <si>
    <t xml:space="preserve">FRANCHISE TAX</t>
  </si>
  <si>
    <t xml:space="preserve">Book Value of Assets</t>
  </si>
  <si>
    <t xml:space="preserve">Paid-In-Capital</t>
  </si>
  <si>
    <t xml:space="preserve">Retained Earnings</t>
  </si>
  <si>
    <t xml:space="preserve">Outstanding Debt</t>
  </si>
  <si>
    <t xml:space="preserve">Total Capitalization</t>
  </si>
  <si>
    <t xml:space="preserve">Greater of Book Value and Capitalization</t>
  </si>
  <si>
    <t xml:space="preserve">State Franchise Tax Rate</t>
  </si>
  <si>
    <t xml:space="preserve">State Franchise Tax Liability</t>
  </si>
  <si>
    <t xml:space="preserve">Less Tax Depreciation</t>
  </si>
  <si>
    <t xml:space="preserve">State Taxable Income</t>
  </si>
  <si>
    <t xml:space="preserve">Current State Income Tax Expense (Benefit)</t>
  </si>
  <si>
    <t xml:space="preserve">Beginning NOL's</t>
  </si>
  <si>
    <t xml:space="preserve">New NOL's</t>
  </si>
  <si>
    <t xml:space="preserve">Expired NOL's</t>
  </si>
  <si>
    <t xml:space="preserve">Ending NOL's</t>
  </si>
  <si>
    <t xml:space="preserve">INCOME STATEMENT - WHEATLAND</t>
  </si>
  <si>
    <t xml:space="preserve">CASH FLOW - WHEATLAND</t>
  </si>
  <si>
    <t xml:space="preserve">STATE TAX &amp; SUPPLEMENTAL TAX - WHEATLAND</t>
  </si>
  <si>
    <t xml:space="preserve">SUPPLEMENTAL TAXES</t>
  </si>
  <si>
    <t xml:space="preserve">Adjusted Gross Income Rate</t>
  </si>
  <si>
    <t xml:space="preserve">State Adjusted Gross Income Tax</t>
  </si>
  <si>
    <t xml:space="preserve">State Gross Receipts Taxes</t>
  </si>
  <si>
    <t xml:space="preserve">Gross Receipts</t>
  </si>
  <si>
    <t xml:space="preserve">Gross Receipts Tax Liability</t>
  </si>
  <si>
    <t xml:space="preserve">Greater of Adjusted or Gross Receipts</t>
  </si>
  <si>
    <t xml:space="preserve">Total State &amp; Misc. Taxes</t>
  </si>
  <si>
    <t xml:space="preserve">INCOME STATEMENT - WILTON</t>
  </si>
  <si>
    <t xml:space="preserve">CASH FLOW - WILTON</t>
  </si>
  <si>
    <t xml:space="preserve">STATE TAX &amp; FRANCHISE TAX - WILTON</t>
  </si>
  <si>
    <t xml:space="preserve">ALLOCATION</t>
  </si>
  <si>
    <t xml:space="preserve">Project</t>
  </si>
  <si>
    <t xml:space="preserve">By Project Cost</t>
  </si>
  <si>
    <t xml:space="preserve">By Cashflow</t>
  </si>
</sst>
</file>

<file path=xl/styles.xml><?xml version="1.0" encoding="utf-8"?>
<styleSheet xmlns="http://schemas.openxmlformats.org/spreadsheetml/2006/main">
  <numFmts count="90">
    <numFmt numFmtId="164" formatCode="General"/>
    <numFmt numFmtId="165" formatCode="\$#,##0.0000000000_);&quot;($&quot;#,##0.0000000000\)"/>
    <numFmt numFmtId="166" formatCode="0.00000000000000%"/>
    <numFmt numFmtId="167" formatCode="\$#,##0.00000"/>
    <numFmt numFmtId="168" formatCode="[$-409]m/d/yyyy"/>
    <numFmt numFmtId="169" formatCode="mm/dd/yy"/>
    <numFmt numFmtId="170" formatCode="[$-409]#,##0_);[RED]\(#,##0\)"/>
    <numFmt numFmtId="171" formatCode="\$#,##0_);[RED]&quot;($&quot;#,##0\)"/>
    <numFmt numFmtId="172" formatCode="_(* #,##0.000000_);_(* \(#,##0.000000\);_(* \-??_);_(@_)"/>
    <numFmt numFmtId="173" formatCode="0.000000000_)"/>
    <numFmt numFmtId="174" formatCode="0.000E+00_)"/>
    <numFmt numFmtId="175" formatCode="\$#,##0;[RED]\$#,##0"/>
    <numFmt numFmtId="176" formatCode="\$#,##0.0000000_);[RED]&quot;($&quot;#,##0.0000000\)"/>
    <numFmt numFmtId="177" formatCode="0.000000\x_);\(0.000000&quot;x)&quot;"/>
    <numFmt numFmtId="178" formatCode="0.0000000%"/>
    <numFmt numFmtId="179" formatCode="0.000000%"/>
    <numFmt numFmtId="180" formatCode="[$-409]#,##0.00_);[RED]\(#,##0.00\)"/>
    <numFmt numFmtId="181" formatCode="\$#,##0.00_);[RED]&quot;($&quot;#,##0.00\)"/>
    <numFmt numFmtId="182" formatCode="_(\$* #,##0.000_);_(\$* \(#,##0.000\);_(\$* \-??_);_(@_)"/>
    <numFmt numFmtId="183" formatCode="0.0000000000"/>
    <numFmt numFmtId="184" formatCode="m/yy"/>
    <numFmt numFmtId="185" formatCode="_(* #,##0.0000_);_(* \(#,##0.0000\);_(* \-????_);_(@_)"/>
    <numFmt numFmtId="186" formatCode="_(* #,##0_);_(* \(#,##0\);_(* \-_);_(@_)"/>
    <numFmt numFmtId="187" formatCode="\$#,##0.0000000_);&quot;($&quot;#,##0.0000000\)"/>
    <numFmt numFmtId="188" formatCode="0.000000000000000%"/>
    <numFmt numFmtId="189" formatCode="_ &quot;$ &quot;* #,##0_ ;_ &quot;$ &quot;* \-#,##0_ ;_ &quot;$ &quot;* \-_ ;_ @_ "/>
    <numFmt numFmtId="190" formatCode="\$#,##0;&quot;($&quot;#,##0\)"/>
    <numFmt numFmtId="191" formatCode="#,##0.0000000000_);[RED]\(#,##0.0000000000\)"/>
    <numFmt numFmtId="192" formatCode="0.000"/>
    <numFmt numFmtId="193" formatCode="_ * #,##0_ ;_ * \-#,##0_ ;_ * \-_ ;_ @_ "/>
    <numFmt numFmtId="194" formatCode="_(* #,##0.0_);_(* \(#,##0.0\);_(* \-?_);_(@_)"/>
    <numFmt numFmtId="195" formatCode="_(* #,##0.00_);_(* \(#,##0.00\);_(* \-??_);_(@_)"/>
    <numFmt numFmtId="196" formatCode="#,##0.00"/>
    <numFmt numFmtId="197" formatCode="#,##0.00000000_);[RED]\(#,##0.00000000\)"/>
    <numFmt numFmtId="198" formatCode="0_);[RED]\(0\)"/>
    <numFmt numFmtId="199" formatCode="0E+00"/>
    <numFmt numFmtId="200" formatCode="_ * #,##0.00_ ;_ * \-#,##0.00_ ;_ * \-??_ ;_ @_ "/>
    <numFmt numFmtId="201" formatCode="0.000000%;\-0.000000%;&quot; -&quot;_%;@_%"/>
    <numFmt numFmtId="202" formatCode="_(\$* #,##0_);_(\$* \(#,##0\);_(\$* \-_);_(@_)"/>
    <numFmt numFmtId="203" formatCode="mmm\-dd"/>
    <numFmt numFmtId="204" formatCode="_(* #,##0.0000000000_);_(* \(#,##0.0000000000\);_(* \-_);_(@_)"/>
    <numFmt numFmtId="205" formatCode="0.00000000000000000%"/>
    <numFmt numFmtId="206" formatCode="0.0000_)"/>
    <numFmt numFmtId="207" formatCode="#,##0.000_);\(#,##0.000\)"/>
    <numFmt numFmtId="208" formatCode="_(\$* #,##0.00000_);_(\$* \(#,##0.00000\);_(\$* \-??_);_(@_)"/>
    <numFmt numFmtId="209" formatCode="#,##0.000000_);[RED]\(#,##0.000000\)"/>
    <numFmt numFmtId="210" formatCode="#,##0;\(#,##0\)"/>
    <numFmt numFmtId="211" formatCode="\$#,##0.000000000_);&quot;($&quot;#,##0.000000000\)"/>
    <numFmt numFmtId="212" formatCode="General_)"/>
    <numFmt numFmtId="213" formatCode="_(* #,##0.0000_);_(* \(#,##0.0000\);_(* \-??_);_(@_)"/>
    <numFmt numFmtId="214" formatCode="_(* #,##0.00000000_);_(* \(#,##0.00000000\);_(* \-??_);_(@_)"/>
    <numFmt numFmtId="215" formatCode="_(\$* #,##0.00_);_(\$* \(#,##0.00\);_(\$* \-??_);_(@_)"/>
    <numFmt numFmtId="216" formatCode="_(* #,##0.000000000000_);_(* \(#,##0.000000000000\);_(* \-_);_(@_)"/>
    <numFmt numFmtId="217" formatCode="#,##0.000_);[RED]\(#,##0.000\)"/>
    <numFmt numFmtId="218" formatCode="0.000000000"/>
    <numFmt numFmtId="219" formatCode="#,##0.0000000_);[RED]\(#,##0.0000000\)"/>
    <numFmt numFmtId="220" formatCode="yyyy"/>
    <numFmt numFmtId="221" formatCode="##0.000&quot; ¢&quot;"/>
    <numFmt numFmtId="222" formatCode="\$#,##0.000000_);[RED]&quot;($&quot;#,##0.000000\)"/>
    <numFmt numFmtId="223" formatCode="0.0E+00"/>
    <numFmt numFmtId="224" formatCode="dd\-mmm_)"/>
    <numFmt numFmtId="225" formatCode="0.00"/>
    <numFmt numFmtId="226" formatCode="[$-409]d\-mmm\-yy"/>
    <numFmt numFmtId="227" formatCode=";;;"/>
    <numFmt numFmtId="228" formatCode="_ &quot;$ &quot;* #,##0.00_ ;_ &quot;$ &quot;* \-#,##0.00_ ;_ &quot;$ &quot;* \-??_ ;_ @_ "/>
    <numFmt numFmtId="229" formatCode="_(* #,##0.000_);_(* \(#,##0.000\);_(* \-???_);_(@_)"/>
    <numFmt numFmtId="230" formatCode="mmmm\ d&quot;, &quot;yyyy"/>
    <numFmt numFmtId="231" formatCode="[$-409]#,##0_);\(#,##0\)"/>
    <numFmt numFmtId="232" formatCode="0.00_)"/>
    <numFmt numFmtId="233" formatCode="0.0000000_)"/>
    <numFmt numFmtId="234" formatCode="#,##0"/>
    <numFmt numFmtId="235" formatCode="#,##0.0_);\(#,##0.0\)"/>
    <numFmt numFmtId="236" formatCode="#,##0.0000_);[RED]\(#,##0.0000\)"/>
    <numFmt numFmtId="237" formatCode="0"/>
    <numFmt numFmtId="238" formatCode="0.00%"/>
    <numFmt numFmtId="239" formatCode="0%"/>
    <numFmt numFmtId="240" formatCode="0.0%;\-0.0%;&quot; -&quot;_%;@_%"/>
    <numFmt numFmtId="241" formatCode="0.0%"/>
    <numFmt numFmtId="242" formatCode="_ &quot;$ &quot;* #,##0.0_ ;_ &quot;$ &quot;* \-#,##0.0_ ;_ &quot;$ &quot;* \-??_ ;_ @_ "/>
    <numFmt numFmtId="243" formatCode="[$-409]#,##0.00_);\(#,##0.00\)"/>
    <numFmt numFmtId="244" formatCode="0.000%"/>
    <numFmt numFmtId="245" formatCode="0.00\x"/>
    <numFmt numFmtId="246" formatCode="_(* #,##0_);_(* \(#,##0\);_(* \-??_);_(@_)"/>
    <numFmt numFmtId="247" formatCode="\$#,##0.00_);&quot;($&quot;#,##0.00\)"/>
    <numFmt numFmtId="248" formatCode="0.0"/>
    <numFmt numFmtId="249" formatCode="0.00\x_);\(0.00&quot;x)&quot;"/>
    <numFmt numFmtId="250" formatCode="_(* #,##0.0_);_(* \(#,##0.0\);_(* \-??_);_(@_)"/>
    <numFmt numFmtId="251" formatCode="0.0000"/>
    <numFmt numFmtId="252" formatCode="_(\$* #,##0_);_(\$* \(#,##0\);_(\$* \-??_);_(@_)"/>
    <numFmt numFmtId="253" formatCode="[$-409]mmm\-yy"/>
  </numFmts>
  <fonts count="8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MS Sans Serif"/>
      <family val="2"/>
    </font>
    <font>
      <sz val="12"/>
      <name val="???"/>
      <family val="3"/>
      <charset val="129"/>
    </font>
    <font>
      <sz val="12"/>
      <name val="???"/>
      <family val="1"/>
      <charset val="129"/>
    </font>
    <font>
      <sz val="10"/>
      <name val="???"/>
      <family val="3"/>
      <charset val="129"/>
    </font>
    <font>
      <sz val="11"/>
      <name val="??"/>
      <family val="3"/>
      <charset val="129"/>
    </font>
    <font>
      <sz val="10"/>
      <name val="Arial"/>
      <family val="2"/>
    </font>
    <font>
      <sz val="11"/>
      <name val="???"/>
      <family val="1"/>
      <charset val="129"/>
    </font>
    <font>
      <sz val="11"/>
      <name val="???"/>
      <family val="3"/>
      <charset val="129"/>
    </font>
    <font>
      <sz val="8"/>
      <name val="Arial"/>
      <family val="2"/>
    </font>
    <font>
      <b val="true"/>
      <u val="single"/>
      <sz val="11"/>
      <color rgb="FF800000"/>
      <name val="Arial"/>
      <family val="2"/>
    </font>
    <font>
      <sz val="10"/>
      <color rgb="FF0000FF"/>
      <name val="Arial"/>
      <family val="2"/>
    </font>
    <font>
      <u val="single"/>
      <sz val="8.4"/>
      <color rgb="FF0000FF"/>
      <name val="Arial"/>
      <family val="2"/>
    </font>
    <font>
      <sz val="7"/>
      <name val="Small Fonts"/>
      <family val="0"/>
    </font>
    <font>
      <b val="true"/>
      <i val="true"/>
      <sz val="16"/>
      <name val="Arial"/>
      <family val="0"/>
    </font>
    <font>
      <sz val="12"/>
      <name val="Arial"/>
      <family val="2"/>
    </font>
    <font>
      <sz val="10"/>
      <name val="Courier New"/>
      <family val="0"/>
    </font>
    <font>
      <sz val="12"/>
      <color rgb="FF000000"/>
      <name val="Arial MT"/>
      <family val="0"/>
    </font>
    <font>
      <sz val="10"/>
      <name val="MS Sans Serif"/>
      <family val="0"/>
    </font>
    <font>
      <sz val="12"/>
      <name val="Courier New"/>
      <family val="3"/>
    </font>
    <font>
      <sz val="8"/>
      <name val="Courier New"/>
      <family val="3"/>
    </font>
    <font>
      <sz val="10"/>
      <name val="Geneva"/>
      <family val="2"/>
    </font>
    <font>
      <sz val="8"/>
      <name val="Arial"/>
      <family val="0"/>
    </font>
    <font>
      <sz val="10"/>
      <name val="Book Antiqua"/>
      <family val="1"/>
    </font>
    <font>
      <sz val="10"/>
      <name val="Times New Roman"/>
      <family val="0"/>
    </font>
    <font>
      <sz val="10"/>
      <name val="Times New Roman"/>
      <family val="1"/>
    </font>
    <font>
      <sz val="8"/>
      <name val=""/>
      <family val="0"/>
    </font>
    <font>
      <sz val="8"/>
      <name val="MS Sans Serif"/>
      <family val="2"/>
    </font>
    <font>
      <sz val="10"/>
      <color rgb="FF000000"/>
      <name val="Arial"/>
      <family val="2"/>
    </font>
    <font>
      <sz val="12"/>
      <name val="Times New Roman"/>
      <family val="1"/>
    </font>
    <font>
      <sz val="10"/>
      <name val="Courier New"/>
      <family val="3"/>
    </font>
    <font>
      <sz val="10"/>
      <name val="Univers (W1)"/>
      <family val="0"/>
    </font>
    <font>
      <sz val="12"/>
      <name val="Times New Roman"/>
      <family val="0"/>
    </font>
    <font>
      <sz val="10"/>
      <name val="Univers (W1)"/>
      <family val="2"/>
    </font>
    <font>
      <b val="true"/>
      <sz val="14"/>
      <name val="Times New Roman"/>
      <family val="1"/>
    </font>
    <font>
      <b val="true"/>
      <sz val="14"/>
      <name val="Times New Roman"/>
      <family val="0"/>
    </font>
    <font>
      <sz val="10"/>
      <name val="Geneva"/>
      <family val="0"/>
    </font>
    <font>
      <sz val="14"/>
      <name val="AngsanaUPC"/>
      <family val="1"/>
    </font>
    <font>
      <sz val="9"/>
      <name val="Arial Narrow"/>
      <family val="2"/>
    </font>
    <font>
      <sz val="7"/>
      <name val="Arial"/>
      <family val="2"/>
    </font>
    <font>
      <sz val="7"/>
      <name val="Arial"/>
      <family val="0"/>
    </font>
    <font>
      <sz val="12"/>
      <name val="EucrosiaUPC"/>
      <family val="1"/>
    </font>
    <font>
      <sz val="14"/>
      <name val="CordiaUPC"/>
      <family val="1"/>
    </font>
    <font>
      <sz val="10"/>
      <name val="Advisor SSi"/>
      <family val="1"/>
    </font>
    <font>
      <sz val="14"/>
      <name val="FreesiaUPC"/>
      <family val="1"/>
    </font>
    <font>
      <sz val="12"/>
      <name val="PathWay Access 3.0"/>
      <family val="3"/>
    </font>
    <font>
      <sz val="12"/>
      <name val="Arial"/>
      <family val="0"/>
    </font>
    <font>
      <sz val="8.5"/>
      <name val="MS Sans Serif"/>
      <family val="2"/>
    </font>
    <font>
      <sz val="10"/>
      <name val="Arial Narrow"/>
      <family val="2"/>
    </font>
    <font>
      <sz val="10"/>
      <color rgb="FF000000"/>
      <name val="MS Sans Serif"/>
      <family val="0"/>
    </font>
    <font>
      <sz val="9"/>
      <name val="Arial"/>
      <family val="0"/>
    </font>
    <font>
      <sz val="11"/>
      <name val="Book Antiqua"/>
      <family val="1"/>
    </font>
    <font>
      <sz val="8"/>
      <name val="Times New Roman"/>
      <family val="0"/>
    </font>
    <font>
      <sz val="10"/>
      <name val="TimesNewRomanPS"/>
      <family val="1"/>
    </font>
    <font>
      <sz val="8"/>
      <name val="Times New Roman"/>
      <family val="1"/>
    </font>
    <font>
      <sz val="8"/>
      <color rgb="FF0000FF"/>
      <name val="Arial"/>
      <family val="2"/>
    </font>
    <font>
      <b val="true"/>
      <sz val="10"/>
      <name val="Arial"/>
      <family val="2"/>
    </font>
    <font>
      <b val="true"/>
      <u val="single"/>
      <sz val="10"/>
      <name val="Arial"/>
      <family val="2"/>
    </font>
    <font>
      <u val="single"/>
      <sz val="10"/>
      <name val="Arial"/>
      <family val="2"/>
    </font>
    <font>
      <b val="true"/>
      <i val="true"/>
      <sz val="10"/>
      <name val="Arial"/>
      <family val="2"/>
    </font>
    <font>
      <vertAlign val="superscript"/>
      <sz val="10"/>
      <name val="Arial"/>
      <family val="2"/>
    </font>
    <font>
      <b val="true"/>
      <sz val="10"/>
      <color rgb="FF000000"/>
      <name val="Arial"/>
      <family val="2"/>
    </font>
    <font>
      <i val="true"/>
      <u val="single"/>
      <sz val="10"/>
      <name val="Arial"/>
      <family val="2"/>
    </font>
    <font>
      <b val="true"/>
      <sz val="10"/>
      <color rgb="FF0000FF"/>
      <name val="Arial"/>
      <family val="2"/>
    </font>
    <font>
      <b val="true"/>
      <sz val="14"/>
      <name val="Arial"/>
      <family val="2"/>
    </font>
    <font>
      <b val="true"/>
      <sz val="10"/>
      <color rgb="FFFF0000"/>
      <name val="Arial"/>
      <family val="2"/>
    </font>
    <font>
      <b val="true"/>
      <sz val="10"/>
      <color rgb="FF800080"/>
      <name val="Arial"/>
      <family val="2"/>
    </font>
    <font>
      <b val="true"/>
      <sz val="12"/>
      <name val="Arial"/>
      <family val="2"/>
    </font>
    <font>
      <b val="true"/>
      <sz val="12"/>
      <color rgb="FFFF0000"/>
      <name val="Arial"/>
      <family val="2"/>
    </font>
    <font>
      <i val="true"/>
      <sz val="10"/>
      <name val="Arial"/>
      <family val="2"/>
    </font>
    <font>
      <b val="true"/>
      <sz val="10"/>
      <color rgb="FFFFFFFF"/>
      <name val="Arial"/>
      <family val="2"/>
    </font>
    <font>
      <b val="true"/>
      <i val="true"/>
      <sz val="10"/>
      <color rgb="FFFF0000"/>
      <name val="Arial"/>
      <family val="2"/>
    </font>
    <font>
      <i val="true"/>
      <sz val="10"/>
      <color rgb="FFFF0000"/>
      <name val="Arial"/>
      <family val="2"/>
    </font>
    <font>
      <b val="true"/>
      <u val="single"/>
      <sz val="10"/>
      <color rgb="FFFF0000"/>
      <name val="Arial"/>
      <family val="2"/>
    </font>
    <font>
      <u val="single"/>
      <sz val="10"/>
      <color rgb="FF800080"/>
      <name val="Arial"/>
      <family val="2"/>
    </font>
    <font>
      <sz val="10"/>
      <color rgb="FFFF0000"/>
      <name val="Arial"/>
      <family val="2"/>
    </font>
    <font>
      <b val="true"/>
      <sz val="14"/>
      <color rgb="FF000000"/>
      <name val="Arial"/>
      <family val="2"/>
    </font>
    <font>
      <sz val="10"/>
      <color rgb="FFFFFFFF"/>
      <name val="Arial"/>
      <family val="2"/>
    </font>
    <font>
      <b val="true"/>
      <sz val="8"/>
      <name val="Arial"/>
      <family val="2"/>
    </font>
    <font>
      <u val="single"/>
      <sz val="8"/>
      <name val="Arial"/>
      <family val="2"/>
    </font>
    <font>
      <u val="single"/>
      <sz val="10"/>
      <color rgb="FF000000"/>
      <name val="Arial"/>
      <family val="2"/>
    </font>
    <font>
      <b val="true"/>
      <sz val="11"/>
      <name val="Arial"/>
      <family val="2"/>
    </font>
    <font>
      <b val="true"/>
      <u val="single"/>
      <sz val="8"/>
      <name val="Arial"/>
      <family val="2"/>
    </font>
    <font>
      <i val="true"/>
      <u val="single"/>
      <sz val="8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99CCFF"/>
        <bgColor rgb="FFCCCCFF"/>
      </patternFill>
    </fill>
    <fill>
      <patternFill patternType="solid">
        <fgColor rgb="FF00FFFF"/>
        <bgColor rgb="FF00FFFF"/>
      </patternFill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  <fill>
      <patternFill patternType="solid">
        <fgColor rgb="FF003300"/>
        <bgColor rgb="FF333300"/>
      </patternFill>
    </fill>
    <fill>
      <patternFill patternType="solid">
        <fgColor rgb="FFFFFF99"/>
        <bgColor rgb="FFFFFFCC"/>
      </patternFill>
    </fill>
    <fill>
      <patternFill patternType="solid">
        <fgColor rgb="FFCCFFCC"/>
        <bgColor rgb="FFCCFFFF"/>
      </patternFill>
    </fill>
    <fill>
      <patternFill patternType="solid">
        <fgColor rgb="FFFFCC00"/>
        <bgColor rgb="FFFFFF00"/>
      </patternFill>
    </fill>
    <fill>
      <patternFill patternType="solid">
        <fgColor rgb="FFCCFFFF"/>
        <bgColor rgb="FFCCFFFF"/>
      </patternFill>
    </fill>
  </fills>
  <borders count="25">
    <border diagonalUp="false" diagonalDown="false">
      <left/>
      <right/>
      <top/>
      <bottom/>
      <diagonal/>
    </border>
    <border diagonalUp="false" diagonalDown="false">
      <left style="double"/>
      <right/>
      <top/>
      <bottom style="hair"/>
      <diagonal/>
    </border>
    <border diagonalUp="false" diagonalDown="false">
      <left style="double"/>
      <right style="double"/>
      <top style="double"/>
      <bottom style="double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/>
      <top style="thin"/>
      <bottom style="medium"/>
      <diagonal/>
    </border>
    <border diagonalUp="false" diagonalDown="false">
      <left/>
      <right/>
      <top style="thin"/>
      <bottom style="double"/>
      <diagonal/>
    </border>
  </borders>
  <cellStyleXfs count="1556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21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239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0" fillId="0" borderId="0" applyFont="true" applyBorder="false" applyAlignment="false" applyProtection="false"/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false" applyAlignment="false" applyProtection="false"/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0" fillId="0" borderId="0" applyFont="true" applyBorder="false" applyAlignment="false" applyProtection="false"/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0" fillId="0" borderId="0" applyFont="true" applyBorder="false" applyAlignment="false" applyProtection="false"/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0" fillId="2" borderId="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92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3" borderId="0" applyFont="true" applyBorder="false" applyAlignment="false" applyProtection="false"/>
    <xf numFmtId="194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70" fontId="4" fillId="0" borderId="0" applyFont="true" applyBorder="false" applyAlignment="false" applyProtection="false"/>
    <xf numFmtId="170" fontId="4" fillId="0" borderId="0" applyFont="true" applyBorder="false" applyAlignment="false" applyProtection="false"/>
    <xf numFmtId="170" fontId="4" fillId="0" borderId="0" applyFont="true" applyBorder="false" applyAlignment="false" applyProtection="false"/>
    <xf numFmtId="170" fontId="4" fillId="0" borderId="0" applyFont="true" applyBorder="false" applyAlignment="false" applyProtection="false"/>
    <xf numFmtId="170" fontId="4" fillId="0" borderId="0" applyFont="true" applyBorder="false" applyAlignment="false" applyProtection="false"/>
    <xf numFmtId="170" fontId="4" fillId="0" borderId="0" applyFont="true" applyBorder="false" applyAlignment="false" applyProtection="false"/>
    <xf numFmtId="170" fontId="4" fillId="0" borderId="0" applyFont="true" applyBorder="false" applyAlignment="false" applyProtection="false"/>
    <xf numFmtId="19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3" borderId="0" applyFont="true" applyBorder="false" applyAlignment="false" applyProtection="false"/>
    <xf numFmtId="183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3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70" fontId="4" fillId="0" borderId="0" applyFont="true" applyBorder="false" applyAlignment="false" applyProtection="false"/>
    <xf numFmtId="170" fontId="4" fillId="0" borderId="0" applyFont="true" applyBorder="false" applyAlignment="false" applyProtection="false"/>
    <xf numFmtId="170" fontId="4" fillId="0" borderId="0" applyFont="true" applyBorder="false" applyAlignment="false" applyProtection="false"/>
    <xf numFmtId="170" fontId="4" fillId="0" borderId="0" applyFont="true" applyBorder="false" applyAlignment="false" applyProtection="false"/>
    <xf numFmtId="170" fontId="4" fillId="0" borderId="0" applyFont="true" applyBorder="false" applyAlignment="false" applyProtection="false"/>
    <xf numFmtId="170" fontId="4" fillId="0" borderId="0" applyFont="true" applyBorder="false" applyAlignment="false" applyProtection="false"/>
    <xf numFmtId="170" fontId="4" fillId="0" borderId="0" applyFont="true" applyBorder="false" applyAlignment="false" applyProtection="false"/>
    <xf numFmtId="170" fontId="4" fillId="0" borderId="0" applyFont="true" applyBorder="false" applyAlignment="false" applyProtection="false"/>
    <xf numFmtId="197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3" borderId="0" applyFont="true" applyBorder="false" applyAlignment="false" applyProtection="false"/>
    <xf numFmtId="195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80" fontId="0" fillId="3" borderId="0" applyFont="true" applyBorder="false" applyAlignment="false" applyProtection="false"/>
    <xf numFmtId="195" fontId="9" fillId="0" borderId="0" applyFont="true" applyBorder="false" applyAlignment="false" applyProtection="false"/>
    <xf numFmtId="194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80" fontId="0" fillId="3" borderId="0" applyFont="true" applyBorder="false" applyAlignment="false" applyProtection="false"/>
    <xf numFmtId="180" fontId="0" fillId="3" borderId="0" applyFont="true" applyBorder="false" applyAlignment="false" applyProtection="false"/>
    <xf numFmtId="194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3" borderId="0" applyFont="true" applyBorder="false" applyAlignment="false" applyProtection="false"/>
    <xf numFmtId="194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3" borderId="0" applyFont="true" applyBorder="false" applyAlignment="false" applyProtection="false"/>
    <xf numFmtId="196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80" fontId="0" fillId="3" borderId="0" applyFont="true" applyBorder="false" applyAlignment="false" applyProtection="false"/>
    <xf numFmtId="180" fontId="0" fillId="3" borderId="0" applyFont="true" applyBorder="false" applyAlignment="false" applyProtection="false"/>
    <xf numFmtId="194" fontId="0" fillId="0" borderId="0" applyFont="true" applyBorder="false" applyAlignment="false" applyProtection="false"/>
    <xf numFmtId="180" fontId="0" fillId="3" borderId="0" applyFont="true" applyBorder="false" applyAlignment="false" applyProtection="false"/>
    <xf numFmtId="180" fontId="0" fillId="3" borderId="0" applyFont="true" applyBorder="false" applyAlignment="false" applyProtection="false"/>
    <xf numFmtId="180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80" fontId="0" fillId="3" borderId="0" applyFont="true" applyBorder="false" applyAlignment="false" applyProtection="false"/>
    <xf numFmtId="180" fontId="0" fillId="3" borderId="0" applyFont="true" applyBorder="false" applyAlignment="false" applyProtection="false"/>
    <xf numFmtId="197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70" fontId="4" fillId="0" borderId="0" applyFont="true" applyBorder="false" applyAlignment="false" applyProtection="false"/>
    <xf numFmtId="194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80" fontId="0" fillId="3" borderId="0" applyFont="true" applyBorder="false" applyAlignment="false" applyProtection="false"/>
    <xf numFmtId="180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218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218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22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222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22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23" fontId="0" fillId="0" borderId="0" applyFont="true" applyBorder="false" applyAlignment="false" applyProtection="false"/>
    <xf numFmtId="22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23" fontId="0" fillId="0" borderId="0" applyFont="true" applyBorder="false" applyAlignment="false" applyProtection="false"/>
    <xf numFmtId="225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22" fontId="0" fillId="0" borderId="0" applyFont="true" applyBorder="false" applyAlignment="false" applyProtection="false"/>
    <xf numFmtId="223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2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27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28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171" fontId="8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87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228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229" fontId="0" fillId="0" borderId="0" applyFont="true" applyBorder="false" applyAlignment="false" applyProtection="false"/>
    <xf numFmtId="230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2" fillId="4" borderId="0" applyFont="true" applyBorder="false" applyAlignment="false" applyProtection="false"/>
    <xf numFmtId="164" fontId="13" fillId="0" borderId="0" applyFont="true" applyBorder="false" applyAlignment="false" applyProtection="false"/>
    <xf numFmtId="168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4" fillId="0" borderId="2" applyFont="true" applyBorder="true" applyAlignment="false" applyProtection="false"/>
    <xf numFmtId="164" fontId="15" fillId="0" borderId="0" applyFont="true" applyBorder="false" applyAlignment="false" applyProtection="false"/>
    <xf numFmtId="164" fontId="12" fillId="5" borderId="0" applyFont="true" applyBorder="false" applyAlignment="false" applyProtection="false"/>
    <xf numFmtId="231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2" fontId="1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5" fillId="0" borderId="0" applyFont="true" applyBorder="false" applyAlignment="false" applyProtection="false"/>
    <xf numFmtId="231" fontId="25" fillId="0" borderId="0" applyFont="true" applyBorder="false" applyAlignment="false" applyProtection="false"/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5" fillId="0" borderId="0" applyFont="true" applyBorder="false" applyAlignment="false" applyProtection="false"/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5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5" fillId="0" borderId="0" applyFont="true" applyBorder="false" applyAlignment="false" applyProtection="false"/>
    <xf numFmtId="231" fontId="2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5" fillId="0" borderId="0" applyFont="true" applyBorder="false" applyAlignment="false" applyProtection="false"/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231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5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5" fillId="0" borderId="0" applyFont="true" applyBorder="false" applyAlignment="false" applyProtection="false"/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5" fillId="0" borderId="0" applyFont="true" applyBorder="false" applyAlignment="false" applyProtection="false"/>
    <xf numFmtId="231" fontId="25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0" fillId="0" borderId="0" applyFont="true" applyBorder="true" applyAlignment="false" applyProtection="true">
      <protection locked="true" hidden="false"/>
    </xf>
    <xf numFmtId="231" fontId="25" fillId="0" borderId="0" applyFont="true" applyBorder="false" applyAlignment="false" applyProtection="false"/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false" applyProtection="true"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false" applyProtection="true">
      <protection locked="true" hidden="false"/>
    </xf>
    <xf numFmtId="234" fontId="0" fillId="0" borderId="0" applyFont="true" applyBorder="true" applyAlignment="false" applyProtection="true"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1" fillId="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5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false" applyProtection="true"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false" applyProtection="true"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0" fillId="0" borderId="0" applyFont="true" applyBorder="true" applyAlignment="false" applyProtection="true"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6" fontId="0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231" fontId="3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false" applyProtection="false"/>
    <xf numFmtId="164" fontId="34" fillId="0" borderId="3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3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6" fillId="0" borderId="3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3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3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4" fillId="0" borderId="3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6" fillId="0" borderId="3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231" fontId="3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3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3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2" fontId="4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5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5" fillId="0" borderId="0" applyFont="true" applyBorder="false" applyAlignment="false" applyProtection="false"/>
    <xf numFmtId="164" fontId="0" fillId="0" borderId="0" applyFont="true" applyBorder="true" applyAlignment="false" applyProtection="true">
      <protection locked="true" hidden="false"/>
    </xf>
    <xf numFmtId="234" fontId="0" fillId="0" borderId="0" applyFont="true" applyBorder="true" applyAlignment="false" applyProtection="true"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5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5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37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9" fillId="4" borderId="0" xfId="126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0" fillId="0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1" fillId="0" borderId="7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6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1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1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7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239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9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38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9" fontId="6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61" fillId="0" borderId="8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39" fontId="6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61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6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0" fillId="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239" fontId="60" fillId="0" borderId="1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60" fillId="0" borderId="1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9" fontId="60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60" fillId="0" borderId="1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38" fontId="61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238" fontId="61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1" fontId="9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9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2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9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226" fontId="9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31" fontId="9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31" fontId="5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9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7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25" fontId="5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3" fontId="5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4" fontId="9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4" fontId="59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1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4" fontId="61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4" fontId="60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38" fontId="9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25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9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8" fontId="9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1" fontId="59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241" fontId="59" fillId="7" borderId="1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1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8" fontId="5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5" fontId="9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39" fontId="9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38" fontId="9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9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9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5" fontId="9" fillId="0" borderId="1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39" fontId="9" fillId="0" borderId="1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5" fontId="9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1" fontId="5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8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2" fillId="4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9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9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34" fontId="9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9" fillId="7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34" fontId="9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9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9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3" fontId="9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34" fontId="9" fillId="7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1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9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9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7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243" fontId="9" fillId="7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38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38" fontId="9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38" fontId="9" fillId="0" borderId="8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3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34" fontId="9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6" fontId="9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34" fontId="9" fillId="7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34" fontId="9" fillId="0" borderId="1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1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38" fontId="9" fillId="7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38" fontId="9" fillId="7" borderId="1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15" fontId="9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7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0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6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8" fontId="64" fillId="0" borderId="12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95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8" fontId="64" fillId="0" borderId="0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25" fontId="66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95" fontId="9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239" fontId="6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5" fontId="9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59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9" fillId="8" borderId="14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0" fontId="9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237" fontId="66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95" fontId="61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0" fontId="61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95" fontId="61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67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46" fontId="5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46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9" fillId="0" borderId="1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9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6" fontId="59" fillId="9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46" fontId="9" fillId="9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246" fontId="5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9" fillId="9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46" fontId="59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6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6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9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6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6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5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7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246" fontId="71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8" fontId="7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9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7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7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6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3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46" fontId="6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7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46" fontId="7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34" fontId="5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1" fontId="9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3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34" fontId="6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34" fontId="5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34" fontId="6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34" fontId="6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4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9" fontId="64" fillId="2" borderId="1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249" fontId="64" fillId="2" borderId="1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9" fontId="6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246" fontId="64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246" fontId="6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6" fontId="64" fillId="0" borderId="1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9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9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9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9" fillId="0" borderId="1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249" fontId="59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9" fillId="0" borderId="2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9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9" fontId="59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6" fontId="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9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4" fontId="9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244" fontId="61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2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4" fontId="9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1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25" fontId="31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1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6" fontId="9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31" fontId="9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5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0" fontId="6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5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9" fillId="7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7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9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5" fontId="59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246" fontId="9" fillId="7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6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6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5" fontId="9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0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9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9" fillId="7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7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59" fillId="7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7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1" fontId="59" fillId="10" borderId="12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41" fontId="78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9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46" fontId="3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9" fillId="4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48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9" fillId="0" borderId="1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9" fillId="0" borderId="1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1" fontId="9" fillId="0" borderId="2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9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246" fontId="9" fillId="0" borderId="3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251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2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41" fontId="61" fillId="0" borderId="2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12" fillId="0" borderId="2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1" fontId="9" fillId="0" borderId="22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46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39" fontId="9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9" fillId="4" borderId="0" xfId="126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1" fontId="12" fillId="0" borderId="0" xfId="129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2" fillId="0" borderId="0" xfId="1292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231" fontId="12" fillId="0" borderId="0" xfId="129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80" fillId="0" borderId="0" xfId="129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80" fillId="0" borderId="0" xfId="1292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231" fontId="12" fillId="0" borderId="0" xfId="1292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3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0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6" fontId="59" fillId="0" borderId="2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8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1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8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9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239" fontId="6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9" fontId="1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9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59" fillId="0" borderId="2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9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6" fontId="60" fillId="9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61" fillId="9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9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4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5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5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6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7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6" fontId="4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9" fillId="7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61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6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5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9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5" fontId="7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0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6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0" fontId="3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6" fontId="8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3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8" fontId="8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6" fontId="64" fillId="7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8" fontId="3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6" fontId="7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8" fontId="6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1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9" fillId="9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4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5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1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52" fontId="12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2" fontId="9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8" fontId="6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52" fontId="59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6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6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7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6" fontId="59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1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5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95" fontId="5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53" fontId="5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6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52" fontId="81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7" fillId="4" borderId="0" xfId="126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0" fillId="0" borderId="0" xfId="126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9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38" fontId="9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8" fontId="61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8" fontId="59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9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8" fontId="59" fillId="0" borderId="24" xfId="19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1731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?? [0]_94???" xfId="20"/>
    <cellStyle name="?? [0]_94???_demand analysisrevised" xfId="21"/>
    <cellStyle name="?? [0]_??" xfId="22"/>
    <cellStyle name="?? [0]_???" xfId="23"/>
    <cellStyle name="?? [0]_?????" xfId="24"/>
    <cellStyle name="?? [0]_?????_???" xfId="25"/>
    <cellStyle name="?? [0]_?????_???_demand analysisrevised" xfId="26"/>
    <cellStyle name="?? [0]_?????_???_demand analysisrevised_BasePowerModel-2-7-00" xfId="27"/>
    <cellStyle name="?? [0]_?????_demand analysisrevised" xfId="28"/>
    <cellStyle name="?? [0]_?????_demand analysisrevised_BasePowerModel-2-7-00" xfId="29"/>
    <cellStyle name="?? [0]_???_demand analysisrevised" xfId="30"/>
    <cellStyle name="?? [0]_???_demand analysisrevised_BasePowerModel-2-7-00" xfId="31"/>
    <cellStyle name="?? [0]_??_demand analysisrevised" xfId="32"/>
    <cellStyle name="?? [0]_??_demand analysisrevised_BasePowerModel-2-7-00" xfId="33"/>
    <cellStyle name="?? [0]_dimon" xfId="34"/>
    <cellStyle name="?? [0]_dimon_BasePowerModel-2-7-00" xfId="35"/>
    <cellStyle name="?? [0]_form" xfId="36"/>
    <cellStyle name="?? [0]_form_demand analysisrevised" xfId="37"/>
    <cellStyle name="?? [0]_form_demand analysisrevised_BasePowerModel-2-7-00" xfId="38"/>
    <cellStyle name="?? [0]_laroux" xfId="39"/>
    <cellStyle name="?? [0]_laroux_1" xfId="40"/>
    <cellStyle name="?? [0]_laroux_1_demand analysisrevised" xfId="41"/>
    <cellStyle name="?? [0]_laroux_2" xfId="42"/>
    <cellStyle name="?? [0]_laroux_demand analysisrevised" xfId="43"/>
    <cellStyle name="?? [0]_laroux_demand analysisrevised_BasePowerModel-2-7-00" xfId="44"/>
    <cellStyle name="?? [0]_PERSONAL" xfId="45"/>
    <cellStyle name="?? [0]_PERSONAL_1" xfId="46"/>
    <cellStyle name="?? [0]_PERSONAL_1_demand analysisrevised" xfId="47"/>
    <cellStyle name="?? [0]_PERSONAL_2" xfId="48"/>
    <cellStyle name="?? [0]_PERSONAL_2_demand analysisrevised" xfId="49"/>
    <cellStyle name="?? [0]_PERSONAL_3" xfId="50"/>
    <cellStyle name="?? [0]_PERSONAL_3_BasePowerModel-2-7-00" xfId="51"/>
    <cellStyle name="?? [0]_PERSONAL_demand analysisrevised" xfId="52"/>
    <cellStyle name="?? [0]_Sheet2" xfId="53"/>
    <cellStyle name="??_94???" xfId="54"/>
    <cellStyle name="??_94???_demand analysisrevised" xfId="55"/>
    <cellStyle name="??_970120" xfId="56"/>
    <cellStyle name="??_97???" xfId="57"/>
    <cellStyle name="??_?.????" xfId="58"/>
    <cellStyle name="??_??" xfId="59"/>
    <cellStyle name="??_???" xfId="60"/>
    <cellStyle name="??_????" xfId="61"/>
    <cellStyle name="??_?????" xfId="62"/>
    <cellStyle name="??_?????_1" xfId="63"/>
    <cellStyle name="??_?????_2" xfId="64"/>
    <cellStyle name="??_?????_???" xfId="65"/>
    <cellStyle name="??_?????_???_demand analysisrevised" xfId="66"/>
    <cellStyle name="??_?????_???_demand analysisrevised_1" xfId="67"/>
    <cellStyle name="??_?????_demand analysisrevised" xfId="68"/>
    <cellStyle name="??_?????_demand analysisrevised_1" xfId="69"/>
    <cellStyle name="??_????_1" xfId="70"/>
    <cellStyle name="??_???_demand analysisrevised" xfId="71"/>
    <cellStyle name="??_???_demand analysisrevised_1" xfId="72"/>
    <cellStyle name="??_??_1" xfId="73"/>
    <cellStyle name="??_??_????" xfId="74"/>
    <cellStyle name="??_??_????_demand analysisrevised" xfId="75"/>
    <cellStyle name="??_??_demand analysisrevised" xfId="76"/>
    <cellStyle name="??_??_demand analysisrevised_1" xfId="77"/>
    <cellStyle name="??_??_demand analysisrevised_2" xfId="78"/>
    <cellStyle name="??_BEBU_GI" xfId="79"/>
    <cellStyle name="??_dimon" xfId="80"/>
    <cellStyle name="??_dimon_demand analysisrevised" xfId="81"/>
    <cellStyle name="??_form" xfId="82"/>
    <cellStyle name="??_form_demand analysisrevised" xfId="83"/>
    <cellStyle name="??_form_demand analysisrevised_1" xfId="84"/>
    <cellStyle name="??_ga_PB" xfId="85"/>
    <cellStyle name="??_laroux" xfId="86"/>
    <cellStyle name="??_laroux_1" xfId="87"/>
    <cellStyle name="??_laroux_1_demand analysisrevised" xfId="88"/>
    <cellStyle name="??_laroux_1_demand analysisrevised_1" xfId="89"/>
    <cellStyle name="??_laroux_2" xfId="90"/>
    <cellStyle name="??_laroux_2_demand analysisrevised" xfId="91"/>
    <cellStyle name="??_laroux_3" xfId="92"/>
    <cellStyle name="??_laroux_4" xfId="93"/>
    <cellStyle name="??_laroux_5" xfId="94"/>
    <cellStyle name="??_laroux_6" xfId="95"/>
    <cellStyle name="??_laroux_7" xfId="96"/>
    <cellStyle name="??_laroux_8" xfId="97"/>
    <cellStyle name="??_laroux_demand analysisrevised" xfId="98"/>
    <cellStyle name="??_laroux_demand analysisrevised_1" xfId="99"/>
    <cellStyle name="??_PERSONAL" xfId="100"/>
    <cellStyle name="??_PERSONAL_1" xfId="101"/>
    <cellStyle name="??_PERSONAL_1_demand analysisrevised" xfId="102"/>
    <cellStyle name="??_PERSONAL_1_demand analysisrevised_1" xfId="103"/>
    <cellStyle name="??_PERSONAL_2" xfId="104"/>
    <cellStyle name="??_PERSONAL_2_demand analysisrevised" xfId="105"/>
    <cellStyle name="??_PERSONAL_2_demand analysisrevised_1" xfId="106"/>
    <cellStyle name="??_PERSONAL_3" xfId="107"/>
    <cellStyle name="??_PERSONAL_3_demand analysisrevised" xfId="108"/>
    <cellStyle name="??_PERSONAL_4" xfId="109"/>
    <cellStyle name="??_PERSONAL_demand analysisrevised" xfId="110"/>
    <cellStyle name="??_PERSONAL_demand analysisrevised_1" xfId="111"/>
    <cellStyle name="??_Query11" xfId="112"/>
    <cellStyle name="??_Sheet1" xfId="113"/>
    <cellStyle name="??_Sheet1 (2)" xfId="114"/>
    <cellStyle name="??_Sheet2" xfId="115"/>
    <cellStyle name="??_Sheet2_demand analysisrevised" xfId="116"/>
    <cellStyle name="Actual Date" xfId="117"/>
    <cellStyle name="Comma [0]_12matrix" xfId="118"/>
    <cellStyle name="Comma [0]_1995" xfId="119"/>
    <cellStyle name="Comma [0]_A" xfId="120"/>
    <cellStyle name="Comma [0]_A_dimon" xfId="121"/>
    <cellStyle name="Comma [0]_A_dimon_1" xfId="122"/>
    <cellStyle name="Comma [0]_ACTUAL" xfId="123"/>
    <cellStyle name="Comma [0]_ACTUAL NA -OBU" xfId="124"/>
    <cellStyle name="Comma [0]_Actual vs." xfId="125"/>
    <cellStyle name="Comma [0]_algasdefault" xfId="126"/>
    <cellStyle name="Comma [0]_Alternative1" xfId="127"/>
    <cellStyle name="Comma [0]_Alternative1_1" xfId="128"/>
    <cellStyle name="Comma [0]_App E" xfId="129"/>
    <cellStyle name="Comma [0]_Apr" xfId="130"/>
    <cellStyle name="Comma [0]_Arapahoe" xfId="131"/>
    <cellStyle name="Comma [0]_Assumptions" xfId="132"/>
    <cellStyle name="Comma [0]_Assumptions_dimon" xfId="133"/>
    <cellStyle name="Comma [0]_Assumptions_summary" xfId="134"/>
    <cellStyle name="Comma [0]_B" xfId="135"/>
    <cellStyle name="Comma [0]_bahiadefault" xfId="136"/>
    <cellStyle name="Comma [0]_Book3" xfId="137"/>
    <cellStyle name="Comma [0]_BOP" xfId="138"/>
    <cellStyle name="Comma [0]_BOPBAL1" xfId="139"/>
    <cellStyle name="Comma [0]_BOPCBU" xfId="140"/>
    <cellStyle name="Comma [0]_BOPCBU (2)" xfId="141"/>
    <cellStyle name="Comma [0]_BOPCBU96" xfId="142"/>
    <cellStyle name="Comma [0]_BSAPPE.XLS" xfId="143"/>
    <cellStyle name="Comma [0]_Calculations" xfId="144"/>
    <cellStyle name="Comma [0]_Calculations (2)" xfId="145"/>
    <cellStyle name="Comma [0]_Calculations II" xfId="146"/>
    <cellStyle name="Comma [0]_Calculations III" xfId="147"/>
    <cellStyle name="Comma [0]_Calculations_1" xfId="148"/>
    <cellStyle name="Comma [0]_CAPEX" xfId="149"/>
    <cellStyle name="Comma [0]_CAPEX94" xfId="150"/>
    <cellStyle name="Comma [0]_CapInt" xfId="151"/>
    <cellStyle name="Comma [0]_Cashflow" xfId="152"/>
    <cellStyle name="Comma [0]_CBU BOX CHART V PLAN" xfId="153"/>
    <cellStyle name="Comma [0]_CCA" xfId="154"/>
    <cellStyle name="Comma [0]_CCOCPX" xfId="155"/>
    <cellStyle name="Comma [0]_CFMODEL" xfId="156"/>
    <cellStyle name="Comma [0]_CFTEST49" xfId="157"/>
    <cellStyle name="Comma [0]_CHANGES.XLS" xfId="158"/>
    <cellStyle name="Comma [0]_Charts" xfId="159"/>
    <cellStyle name="Comma [0]_Comm File" xfId="160"/>
    <cellStyle name="Comma [0]_coperdefault" xfId="161"/>
    <cellStyle name="Comma [0]_Corp method" xfId="162"/>
    <cellStyle name="Comma [0]_CTCUR" xfId="163"/>
    <cellStyle name="Comma [0]_CUMPLTCH" xfId="164"/>
    <cellStyle name="Comma [0]_Curve_Economics" xfId="165"/>
    <cellStyle name="Comma [0]_DEFAULT" xfId="166"/>
    <cellStyle name="Comma [0]_DeskCurves" xfId="167"/>
    <cellStyle name="Comma [0]_dimon" xfId="168"/>
    <cellStyle name="Comma [0]_Dowell C1b" xfId="169"/>
    <cellStyle name="Comma [0]_Dowell-C1a" xfId="170"/>
    <cellStyle name="Comma [0]_E&amp;ONW1" xfId="171"/>
    <cellStyle name="Comma [0]_E&amp;ONW2" xfId="172"/>
    <cellStyle name="Comma [0]_E&amp;OOCPX" xfId="173"/>
    <cellStyle name="Comma [0]_emserdefault" xfId="174"/>
    <cellStyle name="Comma [0]_EVER1" xfId="175"/>
    <cellStyle name="Comma [0]_F&amp;COCPX" xfId="176"/>
    <cellStyle name="Comma [0]_FEBRUARY" xfId="177"/>
    <cellStyle name="Comma [0]_FF" xfId="178"/>
    <cellStyle name="Comma [0]_FP 20 A (1)" xfId="179"/>
    <cellStyle name="Comma [0]_FP 20 A (2)" xfId="180"/>
    <cellStyle name="Comma [0]_FP-20 (App. E)" xfId="181"/>
    <cellStyle name="Comma [0]_FP-20 (App.A) " xfId="182"/>
    <cellStyle name="Comma [0]_FP-20 (App.D)" xfId="183"/>
    <cellStyle name="Comma [0]_FP-20(App.B)" xfId="184"/>
    <cellStyle name="Comma [0]_FP-20(C1) (a)" xfId="185"/>
    <cellStyle name="Comma [0]_FP-20(C1) (a) (2)" xfId="186"/>
    <cellStyle name="Comma [0]_FP-20(C1) (b)" xfId="187"/>
    <cellStyle name="Comma [0]_FP-20(C1) (b) " xfId="188"/>
    <cellStyle name="Comma [0]_FP-20(C1) (b) (2)" xfId="189"/>
    <cellStyle name="Comma [0]_GASDATA1" xfId="190"/>
    <cellStyle name="Comma [0]_GASDATA1 (2)" xfId="191"/>
    <cellStyle name="Comma [0]_GCM" xfId="192"/>
    <cellStyle name="Comma [0]_GenAssum" xfId="193"/>
    <cellStyle name="Comma [0]_GenMod" xfId="194"/>
    <cellStyle name="Comma [0]_GP C1a" xfId="195"/>
    <cellStyle name="Comma [0]_GP C1b" xfId="196"/>
    <cellStyle name="Comma [0]_GP_EI_3" xfId="197"/>
    <cellStyle name="Comma [0]_GQ C1A" xfId="198"/>
    <cellStyle name="Comma [0]_GQ C1B" xfId="199"/>
    <cellStyle name="Comma [0]_H" xfId="200"/>
    <cellStyle name="Comma [0]_Inputs" xfId="201"/>
    <cellStyle name="Comma [0]_Int. Data Table" xfId="202"/>
    <cellStyle name="Comma [0]_IPM C1b" xfId="203"/>
    <cellStyle name="Comma [0]_IPMC1a" xfId="204"/>
    <cellStyle name="Comma [0]_IPP" xfId="205"/>
    <cellStyle name="Comma [0]_IS-Hold" xfId="206"/>
    <cellStyle name="Comma [0]_ITOCPX" xfId="207"/>
    <cellStyle name="Comma [0]_jancf" xfId="208"/>
    <cellStyle name="Comma [0]_JUNMTH55" xfId="209"/>
    <cellStyle name="Comma [0]_JUNMTH57" xfId="210"/>
    <cellStyle name="Comma [0]_JUNYTD55" xfId="211"/>
    <cellStyle name="Comma [0]_JUNYTD57" xfId="212"/>
    <cellStyle name="Comma [0]_laroux" xfId="213"/>
    <cellStyle name="Comma [0]_laroux_1" xfId="214"/>
    <cellStyle name="Comma [0]_laroux_1995" xfId="215"/>
    <cellStyle name="Comma [0]_laroux_1_dimon" xfId="216"/>
    <cellStyle name="Comma [0]_laroux_1_dimon_1" xfId="217"/>
    <cellStyle name="Comma [0]_laroux_1_laroux" xfId="218"/>
    <cellStyle name="Comma [0]_laroux_1_pldt" xfId="219"/>
    <cellStyle name="Comma [0]_laroux_1_PLDT_dimon" xfId="220"/>
    <cellStyle name="Comma [0]_laroux_1_VERA" xfId="221"/>
    <cellStyle name="Comma [0]_laroux_1_VIRUS-EDY" xfId="222"/>
    <cellStyle name="Comma [0]_laroux_2" xfId="223"/>
    <cellStyle name="Comma [0]_laroux_2_dimon" xfId="224"/>
    <cellStyle name="Comma [0]_laroux_2_dimon_1" xfId="225"/>
    <cellStyle name="Comma [0]_laroux_2_dimon_2" xfId="226"/>
    <cellStyle name="Comma [0]_laroux_2_laroux" xfId="227"/>
    <cellStyle name="Comma [0]_laroux_2_laroux_dimon" xfId="228"/>
    <cellStyle name="Comma [0]_laroux_2_pldt" xfId="229"/>
    <cellStyle name="Comma [0]_laroux_2_VERA" xfId="230"/>
    <cellStyle name="Comma [0]_laroux_3" xfId="231"/>
    <cellStyle name="Comma [0]_laroux_3_dimon" xfId="232"/>
    <cellStyle name="Comma [0]_laroux_dimon" xfId="233"/>
    <cellStyle name="Comma [0]_laroux_dimon_1" xfId="234"/>
    <cellStyle name="Comma [0]_laroux_laroux" xfId="235"/>
    <cellStyle name="Comma [0]_laroux_laroux_1" xfId="236"/>
    <cellStyle name="Comma [0]_laroux_laroux_dimon" xfId="237"/>
    <cellStyle name="Comma [0]_laroux_MATERAL2" xfId="238"/>
    <cellStyle name="Comma [0]_laroux_MATERAL2_dimon" xfId="239"/>
    <cellStyle name="Comma [0]_laroux_MATERAL2_laroux" xfId="240"/>
    <cellStyle name="Comma [0]_laroux_MATERAL2_laroux_dimon" xfId="241"/>
    <cellStyle name="Comma [0]_laroux_MATERAL2_pldt" xfId="242"/>
    <cellStyle name="Comma [0]_laroux_MATERAL2_VERA" xfId="243"/>
    <cellStyle name="Comma [0]_laroux_MATERAL2_VIRUS-EDY" xfId="244"/>
    <cellStyle name="Comma [0]_laroux_mud plant bolted" xfId="245"/>
    <cellStyle name="Comma [0]_laroux_mud plant bolted_dimon" xfId="246"/>
    <cellStyle name="Comma [0]_laroux_mud plant bolted_dimon_1" xfId="247"/>
    <cellStyle name="Comma [0]_laroux_pldt" xfId="248"/>
    <cellStyle name="Comma [0]_laroux_VERA" xfId="249"/>
    <cellStyle name="Comma [0]_laroux_VERA_1" xfId="250"/>
    <cellStyle name="Comma [0]_laroux_VIRUS-EDY" xfId="251"/>
    <cellStyle name="Comma [0]_MATERAL2" xfId="252"/>
    <cellStyle name="Comma [0]_MATERAL2_dimon" xfId="253"/>
    <cellStyle name="Comma [0]_MATERAL2_dimon_1" xfId="254"/>
    <cellStyle name="Comma [0]_MKGOCPX" xfId="255"/>
    <cellStyle name="Comma [0]_MOBCPX" xfId="256"/>
    <cellStyle name="Comma [0]_Module1" xfId="257"/>
    <cellStyle name="Comma [0]_mud plant bolted" xfId="258"/>
    <cellStyle name="Comma [0]_mud plant bolted_dimon" xfId="259"/>
    <cellStyle name="Comma [0]_mud plant bolted_laroux" xfId="260"/>
    <cellStyle name="Comma [0]_mud plant bolted_laroux_dimon" xfId="261"/>
    <cellStyle name="Comma [0]_mud plant bolted_pldt" xfId="262"/>
    <cellStyle name="Comma [0]_mud plant bolted_VERA" xfId="263"/>
    <cellStyle name="Comma [0]_mud plant bolted_VIRUS-EDY" xfId="264"/>
    <cellStyle name="Comma [0]_NA WITHOUT GOV'T &amp; PNX" xfId="265"/>
    <cellStyle name="Comma [0]_NAOBU10" xfId="266"/>
    <cellStyle name="Comma [0]_NAT ACCT" xfId="267"/>
    <cellStyle name="Comma [0]_NSACTUAL.XLS" xfId="268"/>
    <cellStyle name="Comma [0]_NX00" xfId="269"/>
    <cellStyle name="Comma [0]_Odner" xfId="270"/>
    <cellStyle name="Comma [0]_Odner (2)" xfId="271"/>
    <cellStyle name="Comma [0]_Odner (3)" xfId="272"/>
    <cellStyle name="Comma [0]_OFFDATA1" xfId="273"/>
    <cellStyle name="Comma [0]_OFFDATA1 (2)" xfId="274"/>
    <cellStyle name="Comma [0]_Operations" xfId="275"/>
    <cellStyle name="Comma [0]_opsmacro" xfId="276"/>
    <cellStyle name="Comma [0]_OSMOCPX" xfId="277"/>
    <cellStyle name="Comma [0]_Other Months" xfId="278"/>
    <cellStyle name="Comma [0]_Outlook" xfId="279"/>
    <cellStyle name="Comma [0]_pbdefault" xfId="280"/>
    <cellStyle name="Comma [0]_percentages" xfId="281"/>
    <cellStyle name="Comma [0]_PERSONAL" xfId="282"/>
    <cellStyle name="Comma [0]_PGMKOCPX" xfId="283"/>
    <cellStyle name="Comma [0]_PGNW1" xfId="284"/>
    <cellStyle name="Comma [0]_PGNW2" xfId="285"/>
    <cellStyle name="Comma [0]_PGNWOCPX" xfId="286"/>
    <cellStyle name="Comma [0]_Pink" xfId="287"/>
    <cellStyle name="Comma [0]_PKDATA1" xfId="288"/>
    <cellStyle name="Comma [0]_PKDATA1 (2)" xfId="289"/>
    <cellStyle name="Comma [0]_Plan" xfId="290"/>
    <cellStyle name="Comma [0]_PLANT" xfId="291"/>
    <cellStyle name="Comma [0]_PLDT" xfId="292"/>
    <cellStyle name="Comma [0]_pldt_1" xfId="293"/>
    <cellStyle name="Comma [0]_PLDT_1_dimon" xfId="294"/>
    <cellStyle name="Comma [0]_pldt_Calculations" xfId="295"/>
    <cellStyle name="Comma [0]_PLDT_dimon" xfId="296"/>
    <cellStyle name="Comma [0]_priccurv" xfId="297"/>
    <cellStyle name="Comma [0]_PriceCurve" xfId="298"/>
    <cellStyle name="Comma [0]_PriceCurve_1" xfId="299"/>
    <cellStyle name="Comma [0]_PROCDS&amp;G" xfId="300"/>
    <cellStyle name="Comma [0]_PROFILE4" xfId="301"/>
    <cellStyle name="Comma [0]_Projects" xfId="302"/>
    <cellStyle name="Comma [0]_Quarter End Months" xfId="303"/>
    <cellStyle name="Comma [0]_r1" xfId="304"/>
    <cellStyle name="Comma [0]_RFI" xfId="305"/>
    <cellStyle name="Comma [0]_RFI_1" xfId="306"/>
    <cellStyle name="Comma [0]_Sales Order" xfId="307"/>
    <cellStyle name="Comma [0]_SATOCPX" xfId="308"/>
    <cellStyle name="Comma [0]_ScreeningModel" xfId="309"/>
    <cellStyle name="Comma [0]_SELECT" xfId="310"/>
    <cellStyle name="Comma [0]_SHEET" xfId="311"/>
    <cellStyle name="Comma [0]_Sheet1" xfId="312"/>
    <cellStyle name="Comma [0]_Sheet1_dimon" xfId="313"/>
    <cellStyle name="Comma [0]_SHENREPT" xfId="314"/>
    <cellStyle name="Comma [0]_Snr. CO" xfId="315"/>
    <cellStyle name="Comma [0]_sprint contr" xfId="316"/>
    <cellStyle name="Comma [0]_Subcont File" xfId="317"/>
    <cellStyle name="Comma [0]_SUMMARY" xfId="318"/>
    <cellStyle name="Comma [0]_Summary Info" xfId="319"/>
    <cellStyle name="Comma [0]_SUMPAGE" xfId="320"/>
    <cellStyle name="Comma [0]_Template" xfId="321"/>
    <cellStyle name="Comma [0]_TMSNW1" xfId="322"/>
    <cellStyle name="Comma [0]_TMSNW2" xfId="323"/>
    <cellStyle name="Comma [0]_TMSOCPX" xfId="324"/>
    <cellStyle name="Comma [0]_TOTAL MTH" xfId="325"/>
    <cellStyle name="Comma [0]_TOTAL YTD" xfId="326"/>
    <cellStyle name="Comma [0]_TRANSDSC.XLS" xfId="327"/>
    <cellStyle name="Comma [0]_TRANSFXA.XLS" xfId="328"/>
    <cellStyle name="Comma [0]_TRANSFXA.XLS_1" xfId="329"/>
    <cellStyle name="Comma [0]_TRANSIME.XLS" xfId="330"/>
    <cellStyle name="Comma [0]_TRANSIME.XLS_TRANSDSC.XLS" xfId="331"/>
    <cellStyle name="Comma [0]_TRANSIME.XLS_TRANSFXA.XLS" xfId="332"/>
    <cellStyle name="Comma [0]_VIRUS-EDY" xfId="333"/>
    <cellStyle name="Comma [0]_White" xfId="334"/>
    <cellStyle name="Comma [0]_WO Var. &amp; Tot. Exp." xfId="335"/>
    <cellStyle name="Comma [0]_WSP" xfId="336"/>
    <cellStyle name="Comma [0]_yrcao" xfId="337"/>
    <cellStyle name="Comma [0]_YREND55" xfId="338"/>
    <cellStyle name="Comma [0]_YREND57" xfId="339"/>
    <cellStyle name="Comma [0]_YTDCUR" xfId="340"/>
    <cellStyle name="Comma_12matrix" xfId="341"/>
    <cellStyle name="Comma_1995" xfId="342"/>
    <cellStyle name="Comma_A" xfId="343"/>
    <cellStyle name="Comma_A_dimon" xfId="344"/>
    <cellStyle name="Comma_A_dimon_1" xfId="345"/>
    <cellStyle name="Comma_ACTUAL" xfId="346"/>
    <cellStyle name="Comma_ACTUAL NA -OBU" xfId="347"/>
    <cellStyle name="Comma_Actual vs." xfId="348"/>
    <cellStyle name="Comma_algasdefault" xfId="349"/>
    <cellStyle name="Comma_algasdefault_1" xfId="350"/>
    <cellStyle name="Comma_Alternative1" xfId="351"/>
    <cellStyle name="Comma_Alternative1_1" xfId="352"/>
    <cellStyle name="Comma_App E" xfId="353"/>
    <cellStyle name="Comma_Apr" xfId="354"/>
    <cellStyle name="Comma_Arapahoe" xfId="355"/>
    <cellStyle name="Comma_Assumptions" xfId="356"/>
    <cellStyle name="Comma_Assumptions_dimon" xfId="357"/>
    <cellStyle name="Comma_Assumptions_summary" xfId="358"/>
    <cellStyle name="Comma_B" xfId="359"/>
    <cellStyle name="Comma_bahiadefault" xfId="360"/>
    <cellStyle name="Comma_bahiadefault_1" xfId="361"/>
    <cellStyle name="Comma_Book3" xfId="362"/>
    <cellStyle name="Comma_BOP" xfId="363"/>
    <cellStyle name="Comma_BOPBAL1" xfId="364"/>
    <cellStyle name="Comma_BOPCBU" xfId="365"/>
    <cellStyle name="Comma_BOPCBU (2)" xfId="366"/>
    <cellStyle name="Comma_BOPCBU96" xfId="367"/>
    <cellStyle name="Comma_BSAPPE.XLS" xfId="368"/>
    <cellStyle name="Comma_C-Cap intensity" xfId="369"/>
    <cellStyle name="Comma_C-Capex%rev" xfId="370"/>
    <cellStyle name="Comma_C-Line per Staff" xfId="371"/>
    <cellStyle name="Comma_C-lines distribution" xfId="372"/>
    <cellStyle name="Comma_C-Orig PLDT lines" xfId="373"/>
    <cellStyle name="Comma_C-Ret on Rev" xfId="374"/>
    <cellStyle name="Comma_C-ROACE" xfId="375"/>
    <cellStyle name="Comma_Calculations" xfId="376"/>
    <cellStyle name="Comma_Calculations (2)" xfId="377"/>
    <cellStyle name="Comma_Calculations II" xfId="378"/>
    <cellStyle name="Comma_Calculations III" xfId="379"/>
    <cellStyle name="Comma_Calculations_1" xfId="380"/>
    <cellStyle name="Comma_Capex" xfId="381"/>
    <cellStyle name="Comma_Capex per line" xfId="382"/>
    <cellStyle name="Comma_Capex%rev" xfId="383"/>
    <cellStyle name="Comma_CAPEX94" xfId="384"/>
    <cellStyle name="Comma_CAPEX_dimon" xfId="385"/>
    <cellStyle name="Comma_CapInt" xfId="386"/>
    <cellStyle name="Comma_Cashflow" xfId="387"/>
    <cellStyle name="Comma_CBU BOX CHART V PLAN" xfId="388"/>
    <cellStyle name="Comma_CCA" xfId="389"/>
    <cellStyle name="Comma_CCOCPX" xfId="390"/>
    <cellStyle name="Comma_CFMODEL" xfId="391"/>
    <cellStyle name="Comma_CFMODEL_summary" xfId="392"/>
    <cellStyle name="Comma_CFtest3" xfId="393"/>
    <cellStyle name="Comma_CFTEST49" xfId="394"/>
    <cellStyle name="Comma_CHANGES.XLS" xfId="395"/>
    <cellStyle name="Comma_Charts" xfId="396"/>
    <cellStyle name="Comma_Cht-Capex per line" xfId="397"/>
    <cellStyle name="Comma_Cht-Cum Real Opr Cf" xfId="398"/>
    <cellStyle name="Comma_Cht-Dep%Rev" xfId="399"/>
    <cellStyle name="Comma_Cht-Real Opr Cf" xfId="400"/>
    <cellStyle name="Comma_Cht-Rev dist" xfId="401"/>
    <cellStyle name="Comma_Cht-Rev p line" xfId="402"/>
    <cellStyle name="Comma_Cht-Rev per Staff" xfId="403"/>
    <cellStyle name="Comma_Cht-Staff cost%revenue" xfId="404"/>
    <cellStyle name="Comma_Comm File" xfId="405"/>
    <cellStyle name="Comma_coperdefault" xfId="406"/>
    <cellStyle name="Comma_coperdefault_1" xfId="407"/>
    <cellStyle name="Comma_Corp method" xfId="408"/>
    <cellStyle name="Comma_CROCF" xfId="409"/>
    <cellStyle name="Comma_CTCUR" xfId="410"/>
    <cellStyle name="Comma_Cum Real Opr Cf" xfId="411"/>
    <cellStyle name="Comma_CUMPLTCH" xfId="412"/>
    <cellStyle name="Comma_Curve_Economics" xfId="413"/>
    <cellStyle name="Comma_DEFAULT" xfId="414"/>
    <cellStyle name="Comma_Demand Fcst." xfId="415"/>
    <cellStyle name="Comma_Dep%Rev" xfId="416"/>
    <cellStyle name="Comma_DeskCurves" xfId="417"/>
    <cellStyle name="Comma_dimon" xfId="418"/>
    <cellStyle name="Comma_dimon_1" xfId="419"/>
    <cellStyle name="Comma_Dowell C1b" xfId="420"/>
    <cellStyle name="Comma_Dowell-C1a" xfId="421"/>
    <cellStyle name="Comma_E&amp;ONW1" xfId="422"/>
    <cellStyle name="Comma_E&amp;ONW2" xfId="423"/>
    <cellStyle name="Comma_E&amp;OOCPX" xfId="424"/>
    <cellStyle name="Comma_emserdefault" xfId="425"/>
    <cellStyle name="Comma_emserdefault_1" xfId="426"/>
    <cellStyle name="Comma_EPS" xfId="427"/>
    <cellStyle name="Comma_EVER1" xfId="428"/>
    <cellStyle name="Comma_F&amp;COCPX" xfId="429"/>
    <cellStyle name="Comma_FEBRUARY" xfId="430"/>
    <cellStyle name="Comma_FF" xfId="431"/>
    <cellStyle name="Comma_FP 20 A (1)" xfId="432"/>
    <cellStyle name="Comma_FP 20 A (2)" xfId="433"/>
    <cellStyle name="Comma_FP-20 (App. E)" xfId="434"/>
    <cellStyle name="Comma_FP-20 (App.A) " xfId="435"/>
    <cellStyle name="Comma_FP-20 (App.D)" xfId="436"/>
    <cellStyle name="Comma_FP-20(App.B)" xfId="437"/>
    <cellStyle name="Comma_FP-20(C1) (a)" xfId="438"/>
    <cellStyle name="Comma_FP-20(C1) (a) (2)" xfId="439"/>
    <cellStyle name="Comma_FP-20(C1) (b)" xfId="440"/>
    <cellStyle name="Comma_FP-20(C1) (b) " xfId="441"/>
    <cellStyle name="Comma_FP-20(C1) (b) (2)" xfId="442"/>
    <cellStyle name="Comma_GASDATA1" xfId="443"/>
    <cellStyle name="Comma_GASDATA1 (2)" xfId="444"/>
    <cellStyle name="Comma_GASDATA1_1" xfId="445"/>
    <cellStyle name="Comma_GCM" xfId="446"/>
    <cellStyle name="Comma_GenAssum" xfId="447"/>
    <cellStyle name="Comma_GenMod" xfId="448"/>
    <cellStyle name="Comma_GP C1a" xfId="449"/>
    <cellStyle name="Comma_GP C1b" xfId="450"/>
    <cellStyle name="Comma_GP_EI_3" xfId="451"/>
    <cellStyle name="Comma_GQ C1A" xfId="452"/>
    <cellStyle name="Comma_GQ C1B" xfId="453"/>
    <cellStyle name="Comma_H" xfId="454"/>
    <cellStyle name="Comma_Inputs" xfId="455"/>
    <cellStyle name="Comma_Int. Data Table" xfId="456"/>
    <cellStyle name="Comma_IPM C1b" xfId="457"/>
    <cellStyle name="Comma_IPMC1a" xfId="458"/>
    <cellStyle name="Comma_IPP" xfId="459"/>
    <cellStyle name="Comma_IRR" xfId="460"/>
    <cellStyle name="Comma_IS-Hold" xfId="461"/>
    <cellStyle name="Comma_ITOCPX" xfId="462"/>
    <cellStyle name="Comma_jancf" xfId="463"/>
    <cellStyle name="Comma_JUNMTH55" xfId="464"/>
    <cellStyle name="Comma_JUNMTH57" xfId="465"/>
    <cellStyle name="Comma_JUNYTD55" xfId="466"/>
    <cellStyle name="Comma_JUNYTD57" xfId="467"/>
    <cellStyle name="Comma_laroux" xfId="468"/>
    <cellStyle name="Comma_laroux_1" xfId="469"/>
    <cellStyle name="Comma_laroux_1995" xfId="470"/>
    <cellStyle name="Comma_laroux_1_dimon" xfId="471"/>
    <cellStyle name="Comma_laroux_1_dimon_1" xfId="472"/>
    <cellStyle name="Comma_laroux_1_laroux" xfId="473"/>
    <cellStyle name="Comma_laroux_1_pldt" xfId="474"/>
    <cellStyle name="Comma_laroux_1_pldt_1" xfId="475"/>
    <cellStyle name="Comma_laroux_1_PLDT_dimon" xfId="476"/>
    <cellStyle name="Comma_laroux_1_VERA" xfId="477"/>
    <cellStyle name="Comma_laroux_1_VERA_1" xfId="478"/>
    <cellStyle name="Comma_laroux_1_VIRUS-EDY" xfId="479"/>
    <cellStyle name="Comma_laroux_2" xfId="480"/>
    <cellStyle name="Comma_laroux_2_dimon" xfId="481"/>
    <cellStyle name="Comma_laroux_2_dimon_1" xfId="482"/>
    <cellStyle name="Comma_laroux_2_dimon_2" xfId="483"/>
    <cellStyle name="Comma_laroux_2_laroux" xfId="484"/>
    <cellStyle name="Comma_laroux_2_laroux_dimon" xfId="485"/>
    <cellStyle name="Comma_laroux_2_pldt" xfId="486"/>
    <cellStyle name="Comma_laroux_2_pldt_1" xfId="487"/>
    <cellStyle name="Comma_laroux_2_PLDT_dimon" xfId="488"/>
    <cellStyle name="Comma_laroux_2_VERA" xfId="489"/>
    <cellStyle name="Comma_laroux_2_VERA_1" xfId="490"/>
    <cellStyle name="Comma_laroux_3" xfId="491"/>
    <cellStyle name="Comma_laroux_3_dimon" xfId="492"/>
    <cellStyle name="Comma_laroux_3_dimon_1" xfId="493"/>
    <cellStyle name="Comma_laroux_3_dimon_2" xfId="494"/>
    <cellStyle name="Comma_laroux_dimon" xfId="495"/>
    <cellStyle name="Comma_laroux_dimon_1" xfId="496"/>
    <cellStyle name="Comma_laroux_laroux" xfId="497"/>
    <cellStyle name="Comma_laroux_laroux_1" xfId="498"/>
    <cellStyle name="Comma_laroux_laroux_dimon" xfId="499"/>
    <cellStyle name="Comma_laroux_pldt" xfId="500"/>
    <cellStyle name="Comma_laroux_pldt_1" xfId="501"/>
    <cellStyle name="Comma_laroux_VERA" xfId="502"/>
    <cellStyle name="Comma_laroux_VERA_1" xfId="503"/>
    <cellStyle name="Comma_laroux_VIRUS-EDY" xfId="504"/>
    <cellStyle name="Comma_Line Inst." xfId="505"/>
    <cellStyle name="Comma_MATERAL2" xfId="506"/>
    <cellStyle name="Comma_MATERAL2_dimon" xfId="507"/>
    <cellStyle name="Comma_MATERAL2_dimon_1" xfId="508"/>
    <cellStyle name="Comma_MKGOCPX" xfId="509"/>
    <cellStyle name="Comma_Mkt Shr" xfId="510"/>
    <cellStyle name="Comma_MOBCPX" xfId="511"/>
    <cellStyle name="Comma_Module1" xfId="512"/>
    <cellStyle name="Comma_mud plant bolted" xfId="513"/>
    <cellStyle name="Comma_NA WITHOUT GOV'T &amp; PNX" xfId="514"/>
    <cellStyle name="Comma_NAOBU10" xfId="515"/>
    <cellStyle name="Comma_NAT ACCT" xfId="516"/>
    <cellStyle name="Comma_NCR-C&amp;W Val" xfId="517"/>
    <cellStyle name="Comma_NCR-Cap intensity" xfId="518"/>
    <cellStyle name="Comma_NCR-Line per Staff" xfId="519"/>
    <cellStyle name="Comma_NCR-Rev dist" xfId="520"/>
    <cellStyle name="Comma_NSACTUAL.XLS" xfId="521"/>
    <cellStyle name="Comma_NX00" xfId="522"/>
    <cellStyle name="Comma_Odner" xfId="523"/>
    <cellStyle name="Comma_Odner (2)" xfId="524"/>
    <cellStyle name="Comma_Odner (3)" xfId="525"/>
    <cellStyle name="Comma_OFFDATA1" xfId="526"/>
    <cellStyle name="Comma_OFFDATA1 (2)" xfId="527"/>
    <cellStyle name="Comma_OFFDATA1_1" xfId="528"/>
    <cellStyle name="Comma_Op Cost Break" xfId="529"/>
    <cellStyle name="Comma_Operations" xfId="530"/>
    <cellStyle name="Comma_opsmacro" xfId="531"/>
    <cellStyle name="Comma_OSMOCPX" xfId="532"/>
    <cellStyle name="Comma_Other Months" xfId="533"/>
    <cellStyle name="Comma_Outlook" xfId="534"/>
    <cellStyle name="Comma_pbdefault" xfId="535"/>
    <cellStyle name="Comma_pbdefault_1" xfId="536"/>
    <cellStyle name="Comma_percentages" xfId="537"/>
    <cellStyle name="Comma_PERSONAL" xfId="538"/>
    <cellStyle name="Comma_PGMKOCPX" xfId="539"/>
    <cellStyle name="Comma_PGNW1" xfId="540"/>
    <cellStyle name="Comma_PGNW2" xfId="541"/>
    <cellStyle name="Comma_PGNWOCPX" xfId="542"/>
    <cellStyle name="Comma_Pink" xfId="543"/>
    <cellStyle name="Comma_PKDATA1" xfId="544"/>
    <cellStyle name="Comma_PKDATA1 (2)" xfId="545"/>
    <cellStyle name="Comma_PKDATA1_1" xfId="546"/>
    <cellStyle name="Comma_Plan" xfId="547"/>
    <cellStyle name="Comma_PLANT" xfId="548"/>
    <cellStyle name="Comma_PLDT" xfId="549"/>
    <cellStyle name="Comma_pldt_1" xfId="550"/>
    <cellStyle name="Comma_PLDT_1_dimon" xfId="551"/>
    <cellStyle name="Comma_pldt_2" xfId="552"/>
    <cellStyle name="Comma_pldt_Calculations" xfId="553"/>
    <cellStyle name="Comma_PLDT_dimon" xfId="554"/>
    <cellStyle name="Comma_priccurv" xfId="555"/>
    <cellStyle name="Comma_PriceCurve" xfId="556"/>
    <cellStyle name="Comma_PriceCurve_1" xfId="557"/>
    <cellStyle name="Comma_PROCDS&amp;G" xfId="558"/>
    <cellStyle name="Comma_PROFILE4" xfId="559"/>
    <cellStyle name="Comma_Projects" xfId="560"/>
    <cellStyle name="Comma_Quarter End Months" xfId="561"/>
    <cellStyle name="Comma_r1" xfId="562"/>
    <cellStyle name="Comma_Real Opr Cf" xfId="563"/>
    <cellStyle name="Comma_Real Rev per Staff (1)" xfId="564"/>
    <cellStyle name="Comma_Real Rev per Staff (2)" xfId="565"/>
    <cellStyle name="Comma_Region 2-C&amp;W" xfId="566"/>
    <cellStyle name="Comma_Return on Rev" xfId="567"/>
    <cellStyle name="Comma_Rev p line" xfId="568"/>
    <cellStyle name="Comma_RFI" xfId="569"/>
    <cellStyle name="Comma_RFI_1" xfId="570"/>
    <cellStyle name="Comma_ROACE" xfId="571"/>
    <cellStyle name="Comma_ROCF (Tot)" xfId="572"/>
    <cellStyle name="Comma_Sales Order" xfId="573"/>
    <cellStyle name="Comma_Salton Sea 4" xfId="574"/>
    <cellStyle name="Comma_SATOCPX" xfId="575"/>
    <cellStyle name="Comma_ScreeningModel" xfId="576"/>
    <cellStyle name="Comma_SELECT" xfId="577"/>
    <cellStyle name="Comma_SHEET" xfId="578"/>
    <cellStyle name="Comma_Sheet1" xfId="579"/>
    <cellStyle name="Comma_Sheet1_dimon" xfId="580"/>
    <cellStyle name="Comma_SHENREPT" xfId="581"/>
    <cellStyle name="Comma_Snr. CO" xfId="582"/>
    <cellStyle name="Comma_SPC99-03" xfId="583"/>
    <cellStyle name="Comma_sprint contr" xfId="584"/>
    <cellStyle name="Comma_Staff cost%rev" xfId="585"/>
    <cellStyle name="Comma_Subcont File" xfId="586"/>
    <cellStyle name="Comma_SUMMARY" xfId="587"/>
    <cellStyle name="Comma_Summary Info" xfId="588"/>
    <cellStyle name="Comma_SUMPAGE" xfId="589"/>
    <cellStyle name="Comma_Template" xfId="590"/>
    <cellStyle name="Comma_TESTDATA" xfId="591"/>
    <cellStyle name="Comma_TMSNW1" xfId="592"/>
    <cellStyle name="Comma_TMSNW2" xfId="593"/>
    <cellStyle name="Comma_TMSOCPX" xfId="594"/>
    <cellStyle name="Comma_TOTAL MTH" xfId="595"/>
    <cellStyle name="Comma_TOTAL YTD" xfId="596"/>
    <cellStyle name="Comma_Total-Rev dist." xfId="597"/>
    <cellStyle name="Comma_TRANSDSC.XLS" xfId="598"/>
    <cellStyle name="Comma_TRANSFXA.XLS" xfId="599"/>
    <cellStyle name="Comma_TRANSFXA.XLS_1" xfId="600"/>
    <cellStyle name="Comma_TRANSIME.XLS" xfId="601"/>
    <cellStyle name="Comma_TRANSIME.XLS_TRANSDSC.XLS" xfId="602"/>
    <cellStyle name="Comma_TRANSIME.XLS_TRANSFXA.XLS" xfId="603"/>
    <cellStyle name="Comma_VIRUS-EDY" xfId="604"/>
    <cellStyle name="Comma_White" xfId="605"/>
    <cellStyle name="Comma_WO Var. &amp; Tot. Exp." xfId="606"/>
    <cellStyle name="Comma_WSP" xfId="607"/>
    <cellStyle name="Comma_yrcao" xfId="608"/>
    <cellStyle name="Comma_YREND55" xfId="609"/>
    <cellStyle name="Comma_YREND57" xfId="610"/>
    <cellStyle name="Comma_YTDCUR" xfId="611"/>
    <cellStyle name="Comma_Yuma CE Strategic" xfId="612"/>
    <cellStyle name="Currency [0]_12matrix" xfId="613"/>
    <cellStyle name="Currency [0]_1995" xfId="614"/>
    <cellStyle name="Currency [0]_A" xfId="615"/>
    <cellStyle name="Currency [0]_A_dimon" xfId="616"/>
    <cellStyle name="Currency [0]_A_dimon_1" xfId="617"/>
    <cellStyle name="Currency [0]_A_dimon_1_BasePowerModel-2-7-00" xfId="618"/>
    <cellStyle name="Currency [0]_ACTUAL" xfId="619"/>
    <cellStyle name="Currency [0]_ACTUAL NA -OBU" xfId="620"/>
    <cellStyle name="Currency [0]_Actual vs." xfId="621"/>
    <cellStyle name="Currency [0]_algasdefault" xfId="622"/>
    <cellStyle name="Currency [0]_Alternative1" xfId="623"/>
    <cellStyle name="Currency [0]_Alternative1_1" xfId="624"/>
    <cellStyle name="Currency [0]_App E" xfId="625"/>
    <cellStyle name="Currency [0]_Apr" xfId="626"/>
    <cellStyle name="Currency [0]_Arapahoe" xfId="627"/>
    <cellStyle name="Currency [0]_Assumptions" xfId="628"/>
    <cellStyle name="Currency [0]_Assumptions_dimon" xfId="629"/>
    <cellStyle name="Currency [0]_Assumptions_summary" xfId="630"/>
    <cellStyle name="Currency [0]_B" xfId="631"/>
    <cellStyle name="Currency [0]_bahiadefault" xfId="632"/>
    <cellStyle name="Currency [0]_Book3" xfId="633"/>
    <cellStyle name="Currency [0]_BOP" xfId="634"/>
    <cellStyle name="Currency [0]_BOPBAL1" xfId="635"/>
    <cellStyle name="Currency [0]_BOPCBU" xfId="636"/>
    <cellStyle name="Currency [0]_BOPCBU (2)" xfId="637"/>
    <cellStyle name="Currency [0]_BOPCBU96" xfId="638"/>
    <cellStyle name="Currency [0]_BSAPPE.XLS" xfId="639"/>
    <cellStyle name="Currency [0]_Calculations" xfId="640"/>
    <cellStyle name="Currency [0]_Calculations (2)" xfId="641"/>
    <cellStyle name="Currency [0]_Calculations II" xfId="642"/>
    <cellStyle name="Currency [0]_Calculations III" xfId="643"/>
    <cellStyle name="Currency [0]_Calculations_1" xfId="644"/>
    <cellStyle name="Currency [0]_CAPEX" xfId="645"/>
    <cellStyle name="Currency [0]_CAPEX94" xfId="646"/>
    <cellStyle name="Currency [0]_CapInt" xfId="647"/>
    <cellStyle name="Currency [0]_Cardig GHS" xfId="648"/>
    <cellStyle name="Currency [0]_Cardig GHS_BasePowerModel-2-7-00" xfId="649"/>
    <cellStyle name="Currency [0]_Cash Flows" xfId="650"/>
    <cellStyle name="Currency [0]_Cashflow" xfId="651"/>
    <cellStyle name="Currency [0]_CBU BOX CHART V PLAN" xfId="652"/>
    <cellStyle name="Currency [0]_CCA" xfId="653"/>
    <cellStyle name="Currency [0]_CCOCPX" xfId="654"/>
    <cellStyle name="Currency [0]_CFMODEL" xfId="655"/>
    <cellStyle name="Currency [0]_CFTEST49" xfId="656"/>
    <cellStyle name="Currency [0]_CHANGES.XLS" xfId="657"/>
    <cellStyle name="Currency [0]_Charts" xfId="658"/>
    <cellStyle name="Currency [0]_Comm File" xfId="659"/>
    <cellStyle name="Currency [0]_coperdefault" xfId="660"/>
    <cellStyle name="Currency [0]_Corp method" xfId="661"/>
    <cellStyle name="Currency [0]_Cost Code" xfId="662"/>
    <cellStyle name="Currency [0]_CTCUR" xfId="663"/>
    <cellStyle name="Currency [0]_CUMPLTCH" xfId="664"/>
    <cellStyle name="Currency [0]_Curve_Economics" xfId="665"/>
    <cellStyle name="Currency [0]_DEFAULT" xfId="666"/>
    <cellStyle name="Currency [0]_DeskCurves" xfId="667"/>
    <cellStyle name="Currency [0]_dimon" xfId="668"/>
    <cellStyle name="Currency [0]_dimon_1" xfId="669"/>
    <cellStyle name="Currency [0]_dimon_2" xfId="670"/>
    <cellStyle name="Currency [0]_Dowell C1b" xfId="671"/>
    <cellStyle name="Currency [0]_Dowell-C1a" xfId="672"/>
    <cellStyle name="Currency [0]_E&amp;ONW1" xfId="673"/>
    <cellStyle name="Currency [0]_E&amp;ONW2" xfId="674"/>
    <cellStyle name="Currency [0]_E&amp;OOCPX" xfId="675"/>
    <cellStyle name="Currency [0]_emserdefault" xfId="676"/>
    <cellStyle name="Currency [0]_EVER1" xfId="677"/>
    <cellStyle name="Currency [0]_F&amp;COCPX" xfId="678"/>
    <cellStyle name="Currency [0]_FEBRUARY" xfId="679"/>
    <cellStyle name="Currency [0]_FF" xfId="680"/>
    <cellStyle name="Currency [0]_FP 20 A (1)" xfId="681"/>
    <cellStyle name="Currency [0]_FP 20 A (2)" xfId="682"/>
    <cellStyle name="Currency [0]_FP-20 (App. E)" xfId="683"/>
    <cellStyle name="Currency [0]_FP-20 (App.A) " xfId="684"/>
    <cellStyle name="Currency [0]_FP-20 (App.D)" xfId="685"/>
    <cellStyle name="Currency [0]_FP-20(App.B)" xfId="686"/>
    <cellStyle name="Currency [0]_FP-20(C1) (a)" xfId="687"/>
    <cellStyle name="Currency [0]_FP-20(C1) (a) (2)" xfId="688"/>
    <cellStyle name="Currency [0]_FP-20(C1) (b)" xfId="689"/>
    <cellStyle name="Currency [0]_FP-20(C1) (b) " xfId="690"/>
    <cellStyle name="Currency [0]_FP-20(C1) (b) (2)" xfId="691"/>
    <cellStyle name="Currency [0]_GASDATA1" xfId="692"/>
    <cellStyle name="Currency [0]_GASDATA1 (2)" xfId="693"/>
    <cellStyle name="Currency [0]_GCM" xfId="694"/>
    <cellStyle name="Currency [0]_GenAssum" xfId="695"/>
    <cellStyle name="Currency [0]_GenMod" xfId="696"/>
    <cellStyle name="Currency [0]_GP C1a" xfId="697"/>
    <cellStyle name="Currency [0]_GP C1b" xfId="698"/>
    <cellStyle name="Currency [0]_GP_EI_3" xfId="699"/>
    <cellStyle name="Currency [0]_GQ C1A" xfId="700"/>
    <cellStyle name="Currency [0]_GQ C1B" xfId="701"/>
    <cellStyle name="Currency [0]_H" xfId="702"/>
    <cellStyle name="Currency [0]_Inputs" xfId="703"/>
    <cellStyle name="Currency [0]_Int. Data Table" xfId="704"/>
    <cellStyle name="Currency [0]_IPM C1b" xfId="705"/>
    <cellStyle name="Currency [0]_IPMC1a" xfId="706"/>
    <cellStyle name="Currency [0]_IPP" xfId="707"/>
    <cellStyle name="Currency [0]_IS-Hold" xfId="708"/>
    <cellStyle name="Currency [0]_ITOCPX" xfId="709"/>
    <cellStyle name="Currency [0]_jancf" xfId="710"/>
    <cellStyle name="Currency [0]_JUNMTH55" xfId="711"/>
    <cellStyle name="Currency [0]_JUNMTH57" xfId="712"/>
    <cellStyle name="Currency [0]_JUNYTD55" xfId="713"/>
    <cellStyle name="Currency [0]_JUNYTD57" xfId="714"/>
    <cellStyle name="Currency [0]_laroux" xfId="715"/>
    <cellStyle name="Currency [0]_laroux_1" xfId="716"/>
    <cellStyle name="Currency [0]_laroux_1995" xfId="717"/>
    <cellStyle name="Currency [0]_laroux_1_dimon" xfId="718"/>
    <cellStyle name="Currency [0]_laroux_1_dimon_1" xfId="719"/>
    <cellStyle name="Currency [0]_laroux_1_dimon_2" xfId="720"/>
    <cellStyle name="Currency [0]_laroux_1_dimon_3" xfId="721"/>
    <cellStyle name="Currency [0]_laroux_1_dimon_3_BasePowerModel-2-7-00" xfId="722"/>
    <cellStyle name="Currency [0]_laroux_1_laroux" xfId="723"/>
    <cellStyle name="Currency [0]_laroux_1_laroux_1" xfId="724"/>
    <cellStyle name="Currency [0]_laroux_1_laroux_dimon" xfId="725"/>
    <cellStyle name="Currency [0]_laroux_1_Locas" xfId="726"/>
    <cellStyle name="Currency [0]_laroux_1_pldt" xfId="727"/>
    <cellStyle name="Currency [0]_laroux_1_PLDT_dimon" xfId="728"/>
    <cellStyle name="Currency [0]_laroux_1_VERA" xfId="729"/>
    <cellStyle name="Currency [0]_laroux_1_VERA_1" xfId="730"/>
    <cellStyle name="Currency [0]_laroux_1_VIRUS-EDY" xfId="731"/>
    <cellStyle name="Currency [0]_laroux_2" xfId="732"/>
    <cellStyle name="Currency [0]_laroux_2_dimon" xfId="733"/>
    <cellStyle name="Currency [0]_laroux_2_dimon_1" xfId="734"/>
    <cellStyle name="Currency [0]_laroux_2_dimon_1_BasePowerModel-2-7-00" xfId="735"/>
    <cellStyle name="Currency [0]_laroux_2_dimon_2" xfId="736"/>
    <cellStyle name="Currency [0]_laroux_2_dimon_3" xfId="737"/>
    <cellStyle name="Currency [0]_laroux_2_laroux" xfId="738"/>
    <cellStyle name="Currency [0]_laroux_2_laroux_BasePowerModel-2-7-00" xfId="739"/>
    <cellStyle name="Currency [0]_laroux_2_laroux_dimon" xfId="740"/>
    <cellStyle name="Currency [0]_laroux_2_laroux_dimon_BasePowerModel-2-7-00" xfId="741"/>
    <cellStyle name="Currency [0]_laroux_2_Locas" xfId="742"/>
    <cellStyle name="Currency [0]_laroux_2_Locas_BasePowerModel-2-7-00" xfId="743"/>
    <cellStyle name="Currency [0]_laroux_2_pldt" xfId="744"/>
    <cellStyle name="Currency [0]_laroux_2_PLDT_dimon" xfId="745"/>
    <cellStyle name="Currency [0]_laroux_2_PLDT_dimon_BasePowerModel-2-7-00" xfId="746"/>
    <cellStyle name="Currency [0]_laroux_2_VIRUS-EDY" xfId="747"/>
    <cellStyle name="Currency [0]_laroux_2_VIRUS-EDY_BasePowerModel-2-7-00" xfId="748"/>
    <cellStyle name="Currency [0]_laroux_3" xfId="749"/>
    <cellStyle name="Currency [0]_laroux_3_dimon" xfId="750"/>
    <cellStyle name="Currency [0]_laroux_3_dimon_1" xfId="751"/>
    <cellStyle name="Currency [0]_laroux_3_dimon_2" xfId="752"/>
    <cellStyle name="Currency [0]_laroux_3_dimon_3" xfId="753"/>
    <cellStyle name="Currency [0]_laroux_3_dimon_3_BasePowerModel-2-7-00" xfId="754"/>
    <cellStyle name="Currency [0]_laroux_4" xfId="755"/>
    <cellStyle name="Currency [0]_laroux_4_dimon" xfId="756"/>
    <cellStyle name="Currency [0]_laroux_4_dimon_1" xfId="757"/>
    <cellStyle name="Currency [0]_laroux_4_dimon_1_BasePowerModel-2-7-00" xfId="758"/>
    <cellStyle name="Currency [0]_laroux_5" xfId="759"/>
    <cellStyle name="Currency [0]_laroux_6" xfId="760"/>
    <cellStyle name="Currency [0]_laroux_7" xfId="761"/>
    <cellStyle name="Currency [0]_laroux_dimon" xfId="762"/>
    <cellStyle name="Currency [0]_laroux_dimon_1" xfId="763"/>
    <cellStyle name="Currency [0]_laroux_dimon_2" xfId="764"/>
    <cellStyle name="Currency [0]_laroux_dimon_2_BasePowerModel-2-7-00" xfId="765"/>
    <cellStyle name="Currency [0]_laroux_dimon_3" xfId="766"/>
    <cellStyle name="Currency [0]_laroux_laroux" xfId="767"/>
    <cellStyle name="Currency [0]_laroux_laroux_1" xfId="768"/>
    <cellStyle name="Currency [0]_laroux_laroux_1_dimon" xfId="769"/>
    <cellStyle name="Currency [0]_laroux_laroux_BasePowerModel-2-7-00" xfId="770"/>
    <cellStyle name="Currency [0]_laroux_laroux_dimon" xfId="771"/>
    <cellStyle name="Currency [0]_laroux_laroux_dimon_BasePowerModel-2-7-00" xfId="772"/>
    <cellStyle name="Currency [0]_laroux_Locas" xfId="773"/>
    <cellStyle name="Currency [0]_laroux_MATERAL2" xfId="774"/>
    <cellStyle name="Currency [0]_laroux_MATERAL2_dimon" xfId="775"/>
    <cellStyle name="Currency [0]_laroux_MATERAL2_dimon_1" xfId="776"/>
    <cellStyle name="Currency [0]_laroux_MATERAL2_dimon_1_BasePowerModel-2-7-00" xfId="777"/>
    <cellStyle name="Currency [0]_laroux_MATERAL2_laroux" xfId="778"/>
    <cellStyle name="Currency [0]_laroux_MATERAL2_laroux_BasePowerModel-2-7-00" xfId="779"/>
    <cellStyle name="Currency [0]_laroux_MATERAL2_laroux_dimon" xfId="780"/>
    <cellStyle name="Currency [0]_laroux_MATERAL2_laroux_dimon_BasePowerModel-2-7-00" xfId="781"/>
    <cellStyle name="Currency [0]_laroux_MATERAL2_pldt" xfId="782"/>
    <cellStyle name="Currency [0]_laroux_MATERAL2_VERA" xfId="783"/>
    <cellStyle name="Currency [0]_laroux_MATERAL2_VERA_BasePowerModel-2-7-00" xfId="784"/>
    <cellStyle name="Currency [0]_laroux_MATERAL2_VIRUS-EDY" xfId="785"/>
    <cellStyle name="Currency [0]_laroux_MATERAL2_VIRUS-EDY_BasePowerModel-2-7-00" xfId="786"/>
    <cellStyle name="Currency [0]_laroux_mud plant bolted" xfId="787"/>
    <cellStyle name="Currency [0]_laroux_mud plant bolted_dimon" xfId="788"/>
    <cellStyle name="Currency [0]_laroux_mud plant bolted_dimon_1" xfId="789"/>
    <cellStyle name="Currency [0]_laroux_pldt" xfId="790"/>
    <cellStyle name="Currency [0]_laroux_pldt_1" xfId="791"/>
    <cellStyle name="Currency [0]_laroux_VERA" xfId="792"/>
    <cellStyle name="Currency [0]_laroux_VERA_1" xfId="793"/>
    <cellStyle name="Currency [0]_laroux_VIRUS-EDY" xfId="794"/>
    <cellStyle name="Currency [0]_List" xfId="795"/>
    <cellStyle name="Currency [0]_MATERAL2" xfId="796"/>
    <cellStyle name="Currency [0]_MATERAL2_dimon" xfId="797"/>
    <cellStyle name="Currency [0]_MATERAL2_dimon_1" xfId="798"/>
    <cellStyle name="Currency [0]_MKGOCPX" xfId="799"/>
    <cellStyle name="Currency [0]_MOBCPX" xfId="800"/>
    <cellStyle name="Currency [0]_Module1" xfId="801"/>
    <cellStyle name="Currency [0]_mud plant bolted" xfId="802"/>
    <cellStyle name="Currency [0]_mud plant bolted_dimon" xfId="803"/>
    <cellStyle name="Currency [0]_mud plant bolted_dimon_1" xfId="804"/>
    <cellStyle name="Currency [0]_mud plant bolted_dimon_1_BasePowerModel-2-7-00" xfId="805"/>
    <cellStyle name="Currency [0]_mud plant bolted_laroux" xfId="806"/>
    <cellStyle name="Currency [0]_mud plant bolted_laroux_BasePowerModel-2-7-00" xfId="807"/>
    <cellStyle name="Currency [0]_mud plant bolted_laroux_dimon" xfId="808"/>
    <cellStyle name="Currency [0]_mud plant bolted_laroux_dimon_BasePowerModel-2-7-00" xfId="809"/>
    <cellStyle name="Currency [0]_mud plant bolted_pldt" xfId="810"/>
    <cellStyle name="Currency [0]_mud plant bolted_VERA" xfId="811"/>
    <cellStyle name="Currency [0]_mud plant bolted_VERA_BasePowerModel-2-7-00" xfId="812"/>
    <cellStyle name="Currency [0]_mud plant bolted_VIRUS-EDY" xfId="813"/>
    <cellStyle name="Currency [0]_mud plant bolted_VIRUS-EDY_BasePowerModel-2-7-00" xfId="814"/>
    <cellStyle name="Currency [0]_NA WITHOUT GOV'T &amp; PNX" xfId="815"/>
    <cellStyle name="Currency [0]_NAOBU10" xfId="816"/>
    <cellStyle name="Currency [0]_NAT ACCT" xfId="817"/>
    <cellStyle name="Currency [0]_NSACTUAL.XLS" xfId="818"/>
    <cellStyle name="Currency [0]_NX00" xfId="819"/>
    <cellStyle name="Currency [0]_Odner" xfId="820"/>
    <cellStyle name="Currency [0]_Odner (2)" xfId="821"/>
    <cellStyle name="Currency [0]_Odner (3)" xfId="822"/>
    <cellStyle name="Currency [0]_OFFDATA1" xfId="823"/>
    <cellStyle name="Currency [0]_OFFDATA1 (2)" xfId="824"/>
    <cellStyle name="Currency [0]_Operations" xfId="825"/>
    <cellStyle name="Currency [0]_opsmacro" xfId="826"/>
    <cellStyle name="Currency [0]_OSMOCPX" xfId="827"/>
    <cellStyle name="Currency [0]_Other Months" xfId="828"/>
    <cellStyle name="Currency [0]_Other Months_BasePowerModel-2-7-00" xfId="829"/>
    <cellStyle name="Currency [0]_Outlook" xfId="830"/>
    <cellStyle name="Currency [0]_pbdefault" xfId="831"/>
    <cellStyle name="Currency [0]_percentages" xfId="832"/>
    <cellStyle name="Currency [0]_PERSONAL" xfId="833"/>
    <cellStyle name="Currency [0]_PERSONAL_BasePowerModel-2-7-00" xfId="834"/>
    <cellStyle name="Currency [0]_PGMKOCPX" xfId="835"/>
    <cellStyle name="Currency [0]_PGNW1" xfId="836"/>
    <cellStyle name="Currency [0]_PGNW2" xfId="837"/>
    <cellStyle name="Currency [0]_PGNWOCPX" xfId="838"/>
    <cellStyle name="Currency [0]_Pink" xfId="839"/>
    <cellStyle name="Currency [0]_Pink_BasePowerModel-2-7-00" xfId="840"/>
    <cellStyle name="Currency [0]_PKDATA1" xfId="841"/>
    <cellStyle name="Currency [0]_PKDATA1 (2)" xfId="842"/>
    <cellStyle name="Currency [0]_Plan" xfId="843"/>
    <cellStyle name="Currency [0]_PLANT" xfId="844"/>
    <cellStyle name="Currency [0]_PLDT" xfId="845"/>
    <cellStyle name="Currency [0]_pldt_1" xfId="846"/>
    <cellStyle name="Currency [0]_PLDT_1_dimon" xfId="847"/>
    <cellStyle name="Currency [0]_pldt_1_dimon_1" xfId="848"/>
    <cellStyle name="Currency [0]_pldt_1_dimon_1_BasePowerModel-2-7-00" xfId="849"/>
    <cellStyle name="Currency [0]_pldt_2" xfId="850"/>
    <cellStyle name="Currency [0]_pldt_Calculations" xfId="851"/>
    <cellStyle name="Currency [0]_PLDT_dimon" xfId="852"/>
    <cellStyle name="Currency [0]_pldt_dimon_1" xfId="853"/>
    <cellStyle name="Currency [0]_priccurv" xfId="854"/>
    <cellStyle name="Currency [0]_PriceCurve" xfId="855"/>
    <cellStyle name="Currency [0]_PriceCurve_1" xfId="856"/>
    <cellStyle name="Currency [0]_PROCDS&amp;G" xfId="857"/>
    <cellStyle name="Currency [0]_PROFILE4" xfId="858"/>
    <cellStyle name="Currency [0]_Projects" xfId="859"/>
    <cellStyle name="Currency [0]_Quarter End Months" xfId="860"/>
    <cellStyle name="Currency [0]_Quarter End Months_BasePowerModel-2-7-00" xfId="861"/>
    <cellStyle name="Currency [0]_r1" xfId="862"/>
    <cellStyle name="Currency [0]_RFI" xfId="863"/>
    <cellStyle name="Currency [0]_RFI_1" xfId="864"/>
    <cellStyle name="Currency [0]_RFI_BasePowerModel-2-7-00" xfId="865"/>
    <cellStyle name="Currency [0]_Sales Order" xfId="866"/>
    <cellStyle name="Currency [0]_SATOCPX" xfId="867"/>
    <cellStyle name="Currency [0]_ScreeningModel" xfId="868"/>
    <cellStyle name="Currency [0]_SELECT" xfId="869"/>
    <cellStyle name="Currency [0]_SHEET" xfId="870"/>
    <cellStyle name="Currency [0]_Sheet1" xfId="871"/>
    <cellStyle name="Currency [0]_Sheet1 (2)" xfId="872"/>
    <cellStyle name="Currency [0]_Sheet1 (2)_BasePowerModel-2-7-00" xfId="873"/>
    <cellStyle name="Currency [0]_Sheet1_dimon" xfId="874"/>
    <cellStyle name="Currency [0]_Sheet1_dimon_BasePowerModel-2-7-00" xfId="875"/>
    <cellStyle name="Currency [0]_SHENREPT" xfId="876"/>
    <cellStyle name="Currency [0]_Snr. CO" xfId="877"/>
    <cellStyle name="Currency [0]_sprint contr" xfId="878"/>
    <cellStyle name="Currency [0]_Subcont File" xfId="879"/>
    <cellStyle name="Currency [0]_SUMMARY" xfId="880"/>
    <cellStyle name="Currency [0]_Summary Info" xfId="881"/>
    <cellStyle name="Currency [0]_SUMPAGE" xfId="882"/>
    <cellStyle name="Currency [0]_Template" xfId="883"/>
    <cellStyle name="Currency [0]_TMSNW1" xfId="884"/>
    <cellStyle name="Currency [0]_TMSNW2" xfId="885"/>
    <cellStyle name="Currency [0]_TMSOCPX" xfId="886"/>
    <cellStyle name="Currency [0]_TOTAL MTH" xfId="887"/>
    <cellStyle name="Currency [0]_TOTAL YTD" xfId="888"/>
    <cellStyle name="Currency [0]_TRANSDSC.XLS" xfId="889"/>
    <cellStyle name="Currency [0]_TRANSFXA.XLS" xfId="890"/>
    <cellStyle name="Currency [0]_TRANSFXA.XLS_1" xfId="891"/>
    <cellStyle name="Currency [0]_TRANSIME.XLS" xfId="892"/>
    <cellStyle name="Currency [0]_TRANSIME.XLS_TRANSDSC.XLS" xfId="893"/>
    <cellStyle name="Currency [0]_TRANSIME.XLS_TRANSFXA.XLS" xfId="894"/>
    <cellStyle name="Currency [0]_VERA" xfId="895"/>
    <cellStyle name="Currency [0]_VIRUS-EDY" xfId="896"/>
    <cellStyle name="Currency [0]_VIRUS-EDY_1" xfId="897"/>
    <cellStyle name="Currency [0]_VIRUS-EDY_BasePowerModel-2-7-00" xfId="898"/>
    <cellStyle name="Currency [0]_White" xfId="899"/>
    <cellStyle name="Currency [0]_White_BasePowerModel-2-7-00" xfId="900"/>
    <cellStyle name="Currency [0]_WO Var. &amp; Tot. Exp." xfId="901"/>
    <cellStyle name="Currency [0]_WSP" xfId="902"/>
    <cellStyle name="Currency [0]_yrcao" xfId="903"/>
    <cellStyle name="Currency [0]_YREND55" xfId="904"/>
    <cellStyle name="Currency [0]_YREND57" xfId="905"/>
    <cellStyle name="Currency [0]_YTDCUR" xfId="906"/>
    <cellStyle name="Currency_12matrix" xfId="907"/>
    <cellStyle name="Currency_1995" xfId="908"/>
    <cellStyle name="Currency_A" xfId="909"/>
    <cellStyle name="Currency_A_dimon" xfId="910"/>
    <cellStyle name="Currency_A_dimon_1" xfId="911"/>
    <cellStyle name="Currency_ACTUAL" xfId="912"/>
    <cellStyle name="Currency_ACTUAL NA -OBU" xfId="913"/>
    <cellStyle name="Currency_Actual vs." xfId="914"/>
    <cellStyle name="Currency_algasdefault" xfId="915"/>
    <cellStyle name="Currency_algasdefault_1" xfId="916"/>
    <cellStyle name="Currency_Alternative1" xfId="917"/>
    <cellStyle name="Currency_Alternative1_1" xfId="918"/>
    <cellStyle name="Currency_App E" xfId="919"/>
    <cellStyle name="Currency_Apr" xfId="920"/>
    <cellStyle name="Currency_Arapahoe" xfId="921"/>
    <cellStyle name="Currency_Assumptions" xfId="922"/>
    <cellStyle name="Currency_Assumptions_dimon" xfId="923"/>
    <cellStyle name="Currency_Assumptions_summary" xfId="924"/>
    <cellStyle name="Currency_B" xfId="925"/>
    <cellStyle name="Currency_bahiadefault" xfId="926"/>
    <cellStyle name="Currency_bahiadefault_1" xfId="927"/>
    <cellStyle name="Currency_BIGOUT" xfId="928"/>
    <cellStyle name="Currency_Book3" xfId="929"/>
    <cellStyle name="Currency_BOP" xfId="930"/>
    <cellStyle name="Currency_BOPBAL1" xfId="931"/>
    <cellStyle name="Currency_BOPCBU" xfId="932"/>
    <cellStyle name="Currency_BOPCBU (2)" xfId="933"/>
    <cellStyle name="Currency_BOPCBU96" xfId="934"/>
    <cellStyle name="Currency_BSAPPE.XLS" xfId="935"/>
    <cellStyle name="Currency_Calculations" xfId="936"/>
    <cellStyle name="Currency_Calculations (2)" xfId="937"/>
    <cellStyle name="Currency_Calculations II" xfId="938"/>
    <cellStyle name="Currency_Calculations III" xfId="939"/>
    <cellStyle name="Currency_Calculations_1" xfId="940"/>
    <cellStyle name="Currency_CAPEX" xfId="941"/>
    <cellStyle name="Currency_CAPEX94" xfId="942"/>
    <cellStyle name="Currency_CapInt" xfId="943"/>
    <cellStyle name="Currency_Cardig GHS" xfId="944"/>
    <cellStyle name="Currency_Cash Flows" xfId="945"/>
    <cellStyle name="Currency_Cashflow" xfId="946"/>
    <cellStyle name="Currency_CBU BOX CHART V PLAN" xfId="947"/>
    <cellStyle name="Currency_CCA" xfId="948"/>
    <cellStyle name="Currency_CCOCPX" xfId="949"/>
    <cellStyle name="Currency_CFMODEL" xfId="950"/>
    <cellStyle name="Currency_CFtest3" xfId="951"/>
    <cellStyle name="Currency_CFTEST49" xfId="952"/>
    <cellStyle name="Currency_CHANGES.XLS" xfId="953"/>
    <cellStyle name="Currency_Charts" xfId="954"/>
    <cellStyle name="Currency_chase1026" xfId="955"/>
    <cellStyle name="Currency_Comm File" xfId="956"/>
    <cellStyle name="Currency_coperdefault" xfId="957"/>
    <cellStyle name="Currency_coperdefault_1" xfId="958"/>
    <cellStyle name="Currency_Corp method" xfId="959"/>
    <cellStyle name="Currency_Cost Code" xfId="960"/>
    <cellStyle name="Currency_CTCUR" xfId="961"/>
    <cellStyle name="Currency_CUMPLTCH" xfId="962"/>
    <cellStyle name="Currency_Curve_Economics" xfId="963"/>
    <cellStyle name="Currency_DEFAULT" xfId="964"/>
    <cellStyle name="Currency_DeskCurves" xfId="965"/>
    <cellStyle name="Currency_dimon" xfId="966"/>
    <cellStyle name="Currency_dimon_1" xfId="967"/>
    <cellStyle name="Currency_dimon_2" xfId="968"/>
    <cellStyle name="Currency_Dowell C1b" xfId="969"/>
    <cellStyle name="Currency_Dowell-C1a" xfId="970"/>
    <cellStyle name="Currency_E&amp;ONW1" xfId="971"/>
    <cellStyle name="Currency_E&amp;ONW2" xfId="972"/>
    <cellStyle name="Currency_E&amp;OOCPX" xfId="973"/>
    <cellStyle name="Currency_emserdefault" xfId="974"/>
    <cellStyle name="Currency_emserdefault_1" xfId="975"/>
    <cellStyle name="Currency_EVER1" xfId="976"/>
    <cellStyle name="Currency_F&amp;COCPX" xfId="977"/>
    <cellStyle name="Currency_FEBRUARY" xfId="978"/>
    <cellStyle name="Currency_FF" xfId="979"/>
    <cellStyle name="Currency_FP 20 A (1)" xfId="980"/>
    <cellStyle name="Currency_FP 20 A (2)" xfId="981"/>
    <cellStyle name="Currency_FP-20 (App. E)" xfId="982"/>
    <cellStyle name="Currency_FP-20 (App.A) " xfId="983"/>
    <cellStyle name="Currency_FP-20 (App.D)" xfId="984"/>
    <cellStyle name="Currency_FP-20(App.B)" xfId="985"/>
    <cellStyle name="Currency_FP-20(C1) (a)" xfId="986"/>
    <cellStyle name="Currency_FP-20(C1) (a) (2)" xfId="987"/>
    <cellStyle name="Currency_FP-20(C1) (b)" xfId="988"/>
    <cellStyle name="Currency_FP-20(C1) (b) " xfId="989"/>
    <cellStyle name="Currency_FP-20(C1) (b) (2)" xfId="990"/>
    <cellStyle name="Currency_GASDATA1" xfId="991"/>
    <cellStyle name="Currency_GASDATA1 (2)" xfId="992"/>
    <cellStyle name="Currency_GCM" xfId="993"/>
    <cellStyle name="Currency_GenAssum" xfId="994"/>
    <cellStyle name="Currency_GenMod" xfId="995"/>
    <cellStyle name="Currency_GP C1a" xfId="996"/>
    <cellStyle name="Currency_GP C1b" xfId="997"/>
    <cellStyle name="Currency_GP_EI_3" xfId="998"/>
    <cellStyle name="Currency_GQ C1A" xfId="999"/>
    <cellStyle name="Currency_GQ C1B" xfId="1000"/>
    <cellStyle name="Currency_H" xfId="1001"/>
    <cellStyle name="Currency_Inputs" xfId="1002"/>
    <cellStyle name="Currency_Int. Data Table" xfId="1003"/>
    <cellStyle name="Currency_IPM C1b" xfId="1004"/>
    <cellStyle name="Currency_IPMC1a" xfId="1005"/>
    <cellStyle name="Currency_IPP" xfId="1006"/>
    <cellStyle name="Currency_IS-Hold" xfId="1007"/>
    <cellStyle name="Currency_ITOCPX" xfId="1008"/>
    <cellStyle name="Currency_jancf" xfId="1009"/>
    <cellStyle name="Currency_JUNMTH55" xfId="1010"/>
    <cellStyle name="Currency_JUNMTH57" xfId="1011"/>
    <cellStyle name="Currency_JUNYTD55" xfId="1012"/>
    <cellStyle name="Currency_JUNYTD57" xfId="1013"/>
    <cellStyle name="Currency_laroux" xfId="1014"/>
    <cellStyle name="Currency_laroux_1" xfId="1015"/>
    <cellStyle name="Currency_laroux_1995" xfId="1016"/>
    <cellStyle name="Currency_laroux_1_dimon" xfId="1017"/>
    <cellStyle name="Currency_laroux_1_dimon_1" xfId="1018"/>
    <cellStyle name="Currency_laroux_1_dimon_2" xfId="1019"/>
    <cellStyle name="Currency_laroux_1_dimon_3" xfId="1020"/>
    <cellStyle name="Currency_laroux_1_laroux" xfId="1021"/>
    <cellStyle name="Currency_laroux_1_laroux_1" xfId="1022"/>
    <cellStyle name="Currency_laroux_1_laroux_dimon" xfId="1023"/>
    <cellStyle name="Currency_laroux_1_Locas" xfId="1024"/>
    <cellStyle name="Currency_laroux_1_pldt" xfId="1025"/>
    <cellStyle name="Currency_laroux_1_PLDT_dimon" xfId="1026"/>
    <cellStyle name="Currency_laroux_1_VERA" xfId="1027"/>
    <cellStyle name="Currency_laroux_1_VERA_1" xfId="1028"/>
    <cellStyle name="Currency_laroux_1_VIRUS-EDY" xfId="1029"/>
    <cellStyle name="Currency_laroux_2" xfId="1030"/>
    <cellStyle name="Currency_laroux_2_dimon" xfId="1031"/>
    <cellStyle name="Currency_laroux_2_dimon_1" xfId="1032"/>
    <cellStyle name="Currency_laroux_2_dimon_2" xfId="1033"/>
    <cellStyle name="Currency_laroux_2_dimon_3" xfId="1034"/>
    <cellStyle name="Currency_laroux_2_laroux" xfId="1035"/>
    <cellStyle name="Currency_laroux_2_laroux_dimon" xfId="1036"/>
    <cellStyle name="Currency_laroux_2_Locas" xfId="1037"/>
    <cellStyle name="Currency_laroux_2_pldt" xfId="1038"/>
    <cellStyle name="Currency_laroux_2_PLDT_dimon" xfId="1039"/>
    <cellStyle name="Currency_laroux_2_VIRUS-EDY" xfId="1040"/>
    <cellStyle name="Currency_laroux_3" xfId="1041"/>
    <cellStyle name="Currency_laroux_3_dimon" xfId="1042"/>
    <cellStyle name="Currency_laroux_3_dimon_1" xfId="1043"/>
    <cellStyle name="Currency_laroux_3_dimon_2" xfId="1044"/>
    <cellStyle name="Currency_laroux_3_dimon_3" xfId="1045"/>
    <cellStyle name="Currency_laroux_4" xfId="1046"/>
    <cellStyle name="Currency_laroux_4_dimon" xfId="1047"/>
    <cellStyle name="Currency_laroux_4_dimon_1" xfId="1048"/>
    <cellStyle name="Currency_laroux_5" xfId="1049"/>
    <cellStyle name="Currency_laroux_6" xfId="1050"/>
    <cellStyle name="Currency_laroux_7" xfId="1051"/>
    <cellStyle name="Currency_laroux_8" xfId="1052"/>
    <cellStyle name="Currency_laroux_dimon" xfId="1053"/>
    <cellStyle name="Currency_laroux_dimon_1" xfId="1054"/>
    <cellStyle name="Currency_laroux_dimon_2" xfId="1055"/>
    <cellStyle name="Currency_laroux_dimon_3" xfId="1056"/>
    <cellStyle name="Currency_laroux_laroux" xfId="1057"/>
    <cellStyle name="Currency_laroux_laroux_1" xfId="1058"/>
    <cellStyle name="Currency_laroux_laroux_1_dimon" xfId="1059"/>
    <cellStyle name="Currency_laroux_laroux_dimon" xfId="1060"/>
    <cellStyle name="Currency_laroux_Locas" xfId="1061"/>
    <cellStyle name="Currency_laroux_pldt" xfId="1062"/>
    <cellStyle name="Currency_laroux_pldt_1" xfId="1063"/>
    <cellStyle name="Currency_laroux_VERA" xfId="1064"/>
    <cellStyle name="Currency_laroux_VERA_1" xfId="1065"/>
    <cellStyle name="Currency_laroux_VIRUS-EDY" xfId="1066"/>
    <cellStyle name="Currency_List" xfId="1067"/>
    <cellStyle name="Currency_MATERAL2" xfId="1068"/>
    <cellStyle name="Currency_MATERAL2_dimon" xfId="1069"/>
    <cellStyle name="Currency_MATERAL2_dimon_1" xfId="1070"/>
    <cellStyle name="Currency_MKGOCPX" xfId="1071"/>
    <cellStyle name="Currency_MOBCPX" xfId="1072"/>
    <cellStyle name="Currency_Module1" xfId="1073"/>
    <cellStyle name="Currency_mud plant bolted" xfId="1074"/>
    <cellStyle name="Currency_mud plant bolted_dimon" xfId="1075"/>
    <cellStyle name="Currency_mud plant bolted_dimon_1" xfId="1076"/>
    <cellStyle name="Currency_mud plant bolted_PLDT" xfId="1077"/>
    <cellStyle name="Currency_mud plant bolted_VERA" xfId="1078"/>
    <cellStyle name="Currency_mud plant bolted_VERA_1" xfId="1079"/>
    <cellStyle name="Currency_NA WITHOUT GOV'T &amp; PNX" xfId="1080"/>
    <cellStyle name="Currency_NAOBU10" xfId="1081"/>
    <cellStyle name="Currency_NAT ACCT" xfId="1082"/>
    <cellStyle name="Currency_NSACTUAL.XLS" xfId="1083"/>
    <cellStyle name="Currency_NX00" xfId="1084"/>
    <cellStyle name="Currency_Odner" xfId="1085"/>
    <cellStyle name="Currency_Odner (2)" xfId="1086"/>
    <cellStyle name="Currency_Odner (3)" xfId="1087"/>
    <cellStyle name="Currency_OFFDATA1" xfId="1088"/>
    <cellStyle name="Currency_OFFDATA1 (2)" xfId="1089"/>
    <cellStyle name="Currency_Operations" xfId="1090"/>
    <cellStyle name="Currency_opsmacro" xfId="1091"/>
    <cellStyle name="Currency_OSMOCPX" xfId="1092"/>
    <cellStyle name="Currency_Other Months" xfId="1093"/>
    <cellStyle name="Currency_Outlook" xfId="1094"/>
    <cellStyle name="Currency_pbdefault" xfId="1095"/>
    <cellStyle name="Currency_pbdefault_1" xfId="1096"/>
    <cellStyle name="Currency_percentages" xfId="1097"/>
    <cellStyle name="Currency_PERSONAL" xfId="1098"/>
    <cellStyle name="Currency_PGMKOCPX" xfId="1099"/>
    <cellStyle name="Currency_PGNW1" xfId="1100"/>
    <cellStyle name="Currency_PGNW2" xfId="1101"/>
    <cellStyle name="Currency_PGNWOCPX" xfId="1102"/>
    <cellStyle name="Currency_Pink" xfId="1103"/>
    <cellStyle name="Currency_PKDATA1" xfId="1104"/>
    <cellStyle name="Currency_PKDATA1 (2)" xfId="1105"/>
    <cellStyle name="Currency_Plan" xfId="1106"/>
    <cellStyle name="Currency_PLANT" xfId="1107"/>
    <cellStyle name="Currency_PLDT" xfId="1108"/>
    <cellStyle name="Currency_pldt_1" xfId="1109"/>
    <cellStyle name="Currency_PLDT_1_dimon" xfId="1110"/>
    <cellStyle name="Currency_pldt_1_dimon_1" xfId="1111"/>
    <cellStyle name="Currency_pldt_2" xfId="1112"/>
    <cellStyle name="Currency_pldt_Calculations" xfId="1113"/>
    <cellStyle name="Currency_PLDT_dimon" xfId="1114"/>
    <cellStyle name="Currency_pldt_dimon_1" xfId="1115"/>
    <cellStyle name="Currency_priccurv" xfId="1116"/>
    <cellStyle name="Currency_PriceCurve" xfId="1117"/>
    <cellStyle name="Currency_PriceCurve_1" xfId="1118"/>
    <cellStyle name="Currency_PROCDS&amp;G" xfId="1119"/>
    <cellStyle name="Currency_PROFILE4" xfId="1120"/>
    <cellStyle name="Currency_Projects" xfId="1121"/>
    <cellStyle name="Currency_Quarter End Months" xfId="1122"/>
    <cellStyle name="Currency_r1" xfId="1123"/>
    <cellStyle name="Currency_RFI" xfId="1124"/>
    <cellStyle name="Currency_RFI_1" xfId="1125"/>
    <cellStyle name="Currency_Sales Order" xfId="1126"/>
    <cellStyle name="Currency_Salton Sea 4" xfId="1127"/>
    <cellStyle name="Currency_SATOCPX" xfId="1128"/>
    <cellStyle name="Currency_ScreeningModel" xfId="1129"/>
    <cellStyle name="Currency_SELECT" xfId="1130"/>
    <cellStyle name="Currency_SHEET" xfId="1131"/>
    <cellStyle name="Currency_Sheet1" xfId="1132"/>
    <cellStyle name="Currency_Sheet1 (2)" xfId="1133"/>
    <cellStyle name="Currency_Sheet1_dimon" xfId="1134"/>
    <cellStyle name="Currency_SHENREPT" xfId="1135"/>
    <cellStyle name="Currency_Snr. CO" xfId="1136"/>
    <cellStyle name="Currency_sprint contr" xfId="1137"/>
    <cellStyle name="Currency_Subcont File" xfId="1138"/>
    <cellStyle name="Currency_SUMMARY" xfId="1139"/>
    <cellStyle name="Currency_Summary Info" xfId="1140"/>
    <cellStyle name="Currency_SUMPAGE" xfId="1141"/>
    <cellStyle name="Currency_Template" xfId="1142"/>
    <cellStyle name="Currency_TMSNW1" xfId="1143"/>
    <cellStyle name="Currency_TMSNW2" xfId="1144"/>
    <cellStyle name="Currency_TMSOCPX" xfId="1145"/>
    <cellStyle name="Currency_TOTAL MTH" xfId="1146"/>
    <cellStyle name="Currency_TOTAL YTD" xfId="1147"/>
    <cellStyle name="Currency_TRANSDSC.XLS" xfId="1148"/>
    <cellStyle name="Currency_TRANSFXA.XLS" xfId="1149"/>
    <cellStyle name="Currency_TRANSFXA.XLS_1" xfId="1150"/>
    <cellStyle name="Currency_TRANSIME.XLS" xfId="1151"/>
    <cellStyle name="Currency_TRANSIME.XLS_TRANSDSC.XLS" xfId="1152"/>
    <cellStyle name="Currency_TRANSIME.XLS_TRANSFXA.XLS" xfId="1153"/>
    <cellStyle name="Currency_VERA" xfId="1154"/>
    <cellStyle name="Currency_VIRUS-EDY" xfId="1155"/>
    <cellStyle name="Currency_VIRUS-EDY_1" xfId="1156"/>
    <cellStyle name="Currency_White" xfId="1157"/>
    <cellStyle name="Currency_WO Var. &amp; Tot. Exp." xfId="1158"/>
    <cellStyle name="Currency_WSP" xfId="1159"/>
    <cellStyle name="Currency_yrcao" xfId="1160"/>
    <cellStyle name="Currency_YREND55" xfId="1161"/>
    <cellStyle name="Currency_YREND57" xfId="1162"/>
    <cellStyle name="Currency_YTDCUR" xfId="1163"/>
    <cellStyle name="Currency_Yuma CE Strategic" xfId="1164"/>
    <cellStyle name="Date" xfId="1165"/>
    <cellStyle name="Dezimal [0]_Compiling Utility Macros" xfId="1166"/>
    <cellStyle name="Dezimal [0]_FixerSetupDlg" xfId="1167"/>
    <cellStyle name="Dezimal [0]_TemplateInformation" xfId="1168"/>
    <cellStyle name="Dezimal_Compiling Utility Macros" xfId="1169"/>
    <cellStyle name="Dezimal_FixerSetupDlg" xfId="1170"/>
    <cellStyle name="Dezimal_TemplateInformation" xfId="1171"/>
    <cellStyle name="Fixed" xfId="1172"/>
    <cellStyle name="Grey" xfId="1173"/>
    <cellStyle name="HEADER" xfId="1174"/>
    <cellStyle name="Heading 1" xfId="1175"/>
    <cellStyle name="Heading2" xfId="1176"/>
    <cellStyle name="HIGHLIGHT" xfId="1177"/>
    <cellStyle name="Hyperlink_dimon" xfId="1178"/>
    <cellStyle name="Input [yellow]" xfId="1179"/>
    <cellStyle name="no dec" xfId="1180"/>
    <cellStyle name="Normal - Style1" xfId="1181"/>
    <cellStyle name="Normal - Style1_dimon" xfId="1182"/>
    <cellStyle name="Normal_03_06_98 list _ecm deals 030998 excel95" xfId="1183"/>
    <cellStyle name="Normal_12matrix" xfId="1184"/>
    <cellStyle name="Normal_20196" xfId="1185"/>
    <cellStyle name="Normal_4018fin" xfId="1186"/>
    <cellStyle name="Normal_4021fin" xfId="1187"/>
    <cellStyle name="Normal_95CHART" xfId="1188"/>
    <cellStyle name="Normal_A" xfId="1189"/>
    <cellStyle name="Normal_A (2)" xfId="1190"/>
    <cellStyle name="Normal_A_dimon" xfId="1191"/>
    <cellStyle name="Normal_A_dimon_1" xfId="1192"/>
    <cellStyle name="Normal_A_PriceCurve" xfId="1193"/>
    <cellStyle name="Normal_A_VERA" xfId="1194"/>
    <cellStyle name="Normal_ACTUAL" xfId="1195"/>
    <cellStyle name="Normal_ACTUAL NA -OBU" xfId="1196"/>
    <cellStyle name="Normal_Actual vs." xfId="1197"/>
    <cellStyle name="Normal_ACTUAL_1" xfId="1198"/>
    <cellStyle name="Normal_ACTUAL_NA WITHOUT GOV'T &amp; PNX" xfId="1199"/>
    <cellStyle name="Normal_algasdefault" xfId="1200"/>
    <cellStyle name="Normal_algasdefault_1" xfId="1201"/>
    <cellStyle name="Normal_Alternative1" xfId="1202"/>
    <cellStyle name="Normal_Alternative1_1" xfId="1203"/>
    <cellStyle name="Normal_AOPS" xfId="1204"/>
    <cellStyle name="Normal_App E" xfId="1205"/>
    <cellStyle name="Normal_APR" xfId="1206"/>
    <cellStyle name="Normal_APR_laroux" xfId="1207"/>
    <cellStyle name="Normal_Apr_pldt" xfId="1208"/>
    <cellStyle name="Normal_Arapahoe" xfId="1209"/>
    <cellStyle name="Normal_Assumptions" xfId="1210"/>
    <cellStyle name="Normal_Assumptions_dimon" xfId="1211"/>
    <cellStyle name="Normal_Assumptions_summary" xfId="1212"/>
    <cellStyle name="Normal_B" xfId="1213"/>
    <cellStyle name="Normal_bahiadefault" xfId="1214"/>
    <cellStyle name="Normal_bahiadefault_1" xfId="1215"/>
    <cellStyle name="Normal_BIGOUT" xfId="1216"/>
    <cellStyle name="Normal_Book Depr" xfId="1217"/>
    <cellStyle name="Normal_Book3" xfId="1218"/>
    <cellStyle name="Normal_Book3_dimon" xfId="1219"/>
    <cellStyle name="Normal_BOP" xfId="1220"/>
    <cellStyle name="Normal_BOPBAL1" xfId="1221"/>
    <cellStyle name="Normal_BOPCBU" xfId="1222"/>
    <cellStyle name="Normal_BOPCBU (2)" xfId="1223"/>
    <cellStyle name="Normal_BOPCBU96" xfId="1224"/>
    <cellStyle name="Normal_BREPAIR" xfId="1225"/>
    <cellStyle name="Normal_BSAPPE.XLS" xfId="1226"/>
    <cellStyle name="Normal_BUDGET" xfId="1227"/>
    <cellStyle name="Normal_C-Cap intensity" xfId="1228"/>
    <cellStyle name="Normal_C-Capex%rev" xfId="1229"/>
    <cellStyle name="Normal_C-Line per Staff" xfId="1230"/>
    <cellStyle name="Normal_C-lines distribution" xfId="1231"/>
    <cellStyle name="Normal_C-Orig PLDT lines" xfId="1232"/>
    <cellStyle name="Normal_C-Ret on Rev" xfId="1233"/>
    <cellStyle name="Normal_C-ROACE" xfId="1234"/>
    <cellStyle name="Normal_Calculations" xfId="1235"/>
    <cellStyle name="Normal_Calculations (2)" xfId="1236"/>
    <cellStyle name="Normal_Calculations II" xfId="1237"/>
    <cellStyle name="Normal_Calculations II_1" xfId="1238"/>
    <cellStyle name="Normal_Calculations III" xfId="1239"/>
    <cellStyle name="Normal_Calculations_1" xfId="1240"/>
    <cellStyle name="Normal_Calculations_2" xfId="1241"/>
    <cellStyle name="Normal_Capex" xfId="1242"/>
    <cellStyle name="Normal_Capex per line" xfId="1243"/>
    <cellStyle name="Normal_Capex%rev" xfId="1244"/>
    <cellStyle name="Normal_CAPEX2" xfId="1245"/>
    <cellStyle name="Normal_CAPEX94" xfId="1246"/>
    <cellStyle name="Normal_CAPEX_dimon" xfId="1247"/>
    <cellStyle name="Normal_CAPEX_VERA" xfId="1248"/>
    <cellStyle name="Normal_CAPEXPWI.XLS" xfId="1249"/>
    <cellStyle name="Normal_CAPEXPWO.XLS" xfId="1250"/>
    <cellStyle name="Normal_CapInt" xfId="1251"/>
    <cellStyle name="Normal_Cardig GHS" xfId="1252"/>
    <cellStyle name="Normal_Cash Flows" xfId="1253"/>
    <cellStyle name="Normal_Cashflow" xfId="1254"/>
    <cellStyle name="Normal_CBU BOX CHART V PLAN" xfId="1255"/>
    <cellStyle name="Normal_CBU BOX CHART V PLAN_1" xfId="1256"/>
    <cellStyle name="Normal_CCOCPX" xfId="1257"/>
    <cellStyle name="Normal_CEL-C-CO.XLS" xfId="1258"/>
    <cellStyle name="Normal_Certs Q2" xfId="1259"/>
    <cellStyle name="Normal_Certs Q2 (2)" xfId="1260"/>
    <cellStyle name="Normal_cf0402_ndf" xfId="1261"/>
    <cellStyle name="Normal_CFMACROS.XLM" xfId="1262"/>
    <cellStyle name="Normal_CFMODEL" xfId="1263"/>
    <cellStyle name="Normal_CFMODEL.XLS" xfId="1264"/>
    <cellStyle name="Normal_CFTEST49" xfId="1265"/>
    <cellStyle name="Normal_CHANGES.XLS" xfId="1266"/>
    <cellStyle name="Normal_CHANGES.XLS_1" xfId="1267"/>
    <cellStyle name="Normal_chase1026" xfId="1268"/>
    <cellStyle name="Normal_ChgLoan" xfId="1269"/>
    <cellStyle name="Normal_Cht-Capex per line" xfId="1270"/>
    <cellStyle name="Normal_Cht-Cum Real Opr Cf" xfId="1271"/>
    <cellStyle name="Normal_Cht-Dep%Rev" xfId="1272"/>
    <cellStyle name="Normal_Cht-Real Opr Cf" xfId="1273"/>
    <cellStyle name="Normal_Cht-Rev dist" xfId="1274"/>
    <cellStyle name="Normal_Cht-Rev p line" xfId="1275"/>
    <cellStyle name="Normal_Cht-Rev per Staff" xfId="1276"/>
    <cellStyle name="Normal_Cht-Staff cost%revenue" xfId="1277"/>
    <cellStyle name="Normal_Co-wide Monthly" xfId="1278"/>
    <cellStyle name="Normal_Co-wide Monthly_dimon" xfId="1279"/>
    <cellStyle name="Normal_Code" xfId="1280"/>
    <cellStyle name="Normal_COMOTH" xfId="1281"/>
    <cellStyle name="Normal_coperdefault" xfId="1282"/>
    <cellStyle name="Normal_coperdefault_1" xfId="1283"/>
    <cellStyle name="Normal_Corp method" xfId="1284"/>
    <cellStyle name="Normal_COSO Capex" xfId="1285"/>
    <cellStyle name="Normal_Cost Code" xfId="1286"/>
    <cellStyle name="Normal_CROCF" xfId="1287"/>
    <cellStyle name="Normal_CTCUR" xfId="1288"/>
    <cellStyle name="Normal_Cum Real Opr Cf" xfId="1289"/>
    <cellStyle name="Normal_CUMPLTCH" xfId="1290"/>
    <cellStyle name="Normal_CurrencySKorea" xfId="1291"/>
    <cellStyle name="Normal_Curve_Economics" xfId="1292"/>
    <cellStyle name="Normal_Curve_Economics_1" xfId="1293"/>
    <cellStyle name="Normal_DAS Imperial 12-24-98 5PM" xfId="1294"/>
    <cellStyle name="Normal_DEFAULT" xfId="1295"/>
    <cellStyle name="Normal_Demand Fcst." xfId="1296"/>
    <cellStyle name="Normal_Dep%Rev" xfId="1297"/>
    <cellStyle name="Normal_Depletion" xfId="1298"/>
    <cellStyle name="Normal_DeskCurves" xfId="1299"/>
    <cellStyle name="Normal_dimon" xfId="1300"/>
    <cellStyle name="Normal_dimon_1" xfId="1301"/>
    <cellStyle name="Normal_dimon_2" xfId="1302"/>
    <cellStyle name="Normal_dimon_3" xfId="1303"/>
    <cellStyle name="Normal_dimon_4" xfId="1304"/>
    <cellStyle name="Normal_DIV" xfId="1305"/>
    <cellStyle name="Normal_Dowell C1b" xfId="1306"/>
    <cellStyle name="Normal_Dowell-C1a" xfId="1307"/>
    <cellStyle name="Normal_DRAFT Order Summary" xfId="1308"/>
    <cellStyle name="Normal_Dummy1" xfId="1309"/>
    <cellStyle name="Normal_E&amp;ONW1" xfId="1310"/>
    <cellStyle name="Normal_E&amp;ONW2" xfId="1311"/>
    <cellStyle name="Normal_E&amp;OOCPX" xfId="1312"/>
    <cellStyle name="Normal_Effective Tax Rate" xfId="1313"/>
    <cellStyle name="Normal_emserdefault" xfId="1314"/>
    <cellStyle name="Normal_emserdefault_1" xfId="1315"/>
    <cellStyle name="Normal_EPS" xfId="1316"/>
    <cellStyle name="Normal_EQCON" xfId="1317"/>
    <cellStyle name="Normal_EVER1" xfId="1318"/>
    <cellStyle name="Normal_export 61898" xfId="1319"/>
    <cellStyle name="Normal_export deals 050898" xfId="1320"/>
    <cellStyle name="Normal_EXTEMP1" xfId="1321"/>
    <cellStyle name="Normal_F&amp;COCPX" xfId="1322"/>
    <cellStyle name="Normal_FEBRUARY" xfId="1323"/>
    <cellStyle name="Normal_FF" xfId="1324"/>
    <cellStyle name="Normal_FP 20 A (1)" xfId="1325"/>
    <cellStyle name="Normal_FP 20 A (2)" xfId="1326"/>
    <cellStyle name="Normal_FP-20 (App. E)" xfId="1327"/>
    <cellStyle name="Normal_FP-20 (App.A) " xfId="1328"/>
    <cellStyle name="Normal_FP-20 (App.A) _1" xfId="1329"/>
    <cellStyle name="Normal_FP-20(C1) (a)" xfId="1330"/>
    <cellStyle name="Normal_FP-20(C1) (a) (2)" xfId="1331"/>
    <cellStyle name="Normal_FP-20(C1) (a)_1" xfId="1332"/>
    <cellStyle name="Normal_FP-20(C1) (b)" xfId="1333"/>
    <cellStyle name="Normal_FP-20(C1) (b) " xfId="1334"/>
    <cellStyle name="Normal_FP-20(C1) (b) (2)" xfId="1335"/>
    <cellStyle name="Normal_FP-20(C1) (e)" xfId="1336"/>
    <cellStyle name="Normal_FP20_C1A" xfId="1337"/>
    <cellStyle name="Normal_FP20_C1B" xfId="1338"/>
    <cellStyle name="Normal_GASDATA1" xfId="1339"/>
    <cellStyle name="Normal_GASDATA1 (2)" xfId="1340"/>
    <cellStyle name="Normal_GASDATA1_1" xfId="1341"/>
    <cellStyle name="Normal_GCM" xfId="1342"/>
    <cellStyle name="Normal_GE03" xfId="1343"/>
    <cellStyle name="Normal_GE04" xfId="1344"/>
    <cellStyle name="Normal_GenAssum" xfId="1345"/>
    <cellStyle name="Normal_GenMod" xfId="1346"/>
    <cellStyle name="Normal_GP C1a" xfId="1347"/>
    <cellStyle name="Normal_GP C1b" xfId="1348"/>
    <cellStyle name="Normal_GP_EI_3" xfId="1349"/>
    <cellStyle name="Normal_GQ C1A" xfId="1350"/>
    <cellStyle name="Normal_GQ C1B" xfId="1351"/>
    <cellStyle name="Normal_H" xfId="1352"/>
    <cellStyle name="Normal_HC" xfId="1353"/>
    <cellStyle name="Normal_Igobox" xfId="1354"/>
    <cellStyle name="Normal_Igobox_1" xfId="1355"/>
    <cellStyle name="Normal_Igobox_2" xfId="1356"/>
    <cellStyle name="Normal_Igobox_Imacros" xfId="1357"/>
    <cellStyle name="Normal_Igobox_IPP" xfId="1358"/>
    <cellStyle name="Normal_Igobox_Iprintbox" xfId="1359"/>
    <cellStyle name="Normal_Imacros" xfId="1360"/>
    <cellStyle name="Normal_Imacros_1" xfId="1361"/>
    <cellStyle name="Normal_Imacros_2" xfId="1362"/>
    <cellStyle name="Normal_Input" xfId="1363"/>
    <cellStyle name="Normal_INPUT_1" xfId="1364"/>
    <cellStyle name="Normal_INPUT_GenAssum" xfId="1365"/>
    <cellStyle name="Normal_Inputs" xfId="1366"/>
    <cellStyle name="Normal_Inputs_dimon" xfId="1367"/>
    <cellStyle name="Normal_Int. Data Table" xfId="1368"/>
    <cellStyle name="Normal_Int. Data Table_1" xfId="1369"/>
    <cellStyle name="Normal_INVREV" xfId="1370"/>
    <cellStyle name="Normal_IPM C1b" xfId="1371"/>
    <cellStyle name="Normal_IPMC1a" xfId="1372"/>
    <cellStyle name="Normal_IPP" xfId="1373"/>
    <cellStyle name="Normal_IPP Summary" xfId="1374"/>
    <cellStyle name="Normal_IPP_1" xfId="1375"/>
    <cellStyle name="Normal_IPP_1_Igobox" xfId="1376"/>
    <cellStyle name="Normal_IPP_1_Imacros" xfId="1377"/>
    <cellStyle name="Normal_IPP_1_Iprintbox" xfId="1378"/>
    <cellStyle name="Normal_IPP_2" xfId="1379"/>
    <cellStyle name="Normal_IPP_dimon" xfId="1380"/>
    <cellStyle name="Normal_Iprintbox" xfId="1381"/>
    <cellStyle name="Normal_Iprintbox_1" xfId="1382"/>
    <cellStyle name="Normal_Iprintbox_2" xfId="1383"/>
    <cellStyle name="Normal_IRR" xfId="1384"/>
    <cellStyle name="Normal_IS-Hold" xfId="1385"/>
    <cellStyle name="Normal_Iterbox" xfId="1386"/>
    <cellStyle name="Normal_ITOCPX" xfId="1387"/>
    <cellStyle name="Normal_jancf" xfId="1388"/>
    <cellStyle name="Normal_JUNMTH55" xfId="1389"/>
    <cellStyle name="Normal_JUNMTH57" xfId="1390"/>
    <cellStyle name="Normal_JUNYTD55" xfId="1391"/>
    <cellStyle name="Normal_JUNYTD57" xfId="1392"/>
    <cellStyle name="Normal_laroux" xfId="1393"/>
    <cellStyle name="Normal_laroux_1" xfId="1394"/>
    <cellStyle name="Normal_laroux_1_dimon" xfId="1395"/>
    <cellStyle name="Normal_laroux_1_dimon_1" xfId="1396"/>
    <cellStyle name="Normal_laroux_1_dimon_2" xfId="1397"/>
    <cellStyle name="Normal_laroux_1_laroux" xfId="1398"/>
    <cellStyle name="Normal_laroux_1_laroux_1" xfId="1399"/>
    <cellStyle name="Normal_laroux_1_laroux_2" xfId="1400"/>
    <cellStyle name="Normal_laroux_1_Locas" xfId="1401"/>
    <cellStyle name="Normal_laroux_1_Locas_1" xfId="1402"/>
    <cellStyle name="Normal_laroux_1_pldt" xfId="1403"/>
    <cellStyle name="Normal_laroux_1_pldt_1" xfId="1404"/>
    <cellStyle name="Normal_laroux_1_pldt_2" xfId="1405"/>
    <cellStyle name="Normal_laroux_1_pldt_3" xfId="1406"/>
    <cellStyle name="Normal_laroux_1_PLDT_dimon" xfId="1407"/>
    <cellStyle name="Normal_laroux_1_VERA" xfId="1408"/>
    <cellStyle name="Normal_laroux_1_VERA_1" xfId="1409"/>
    <cellStyle name="Normal_laroux_1_VIRUS-EDY" xfId="1410"/>
    <cellStyle name="Normal_laroux_2" xfId="1411"/>
    <cellStyle name="Normal_laroux_2_dimon" xfId="1412"/>
    <cellStyle name="Normal_laroux_2_dimon_1" xfId="1413"/>
    <cellStyle name="Normal_laroux_2_dimon_2" xfId="1414"/>
    <cellStyle name="Normal_laroux_2_dimon_3" xfId="1415"/>
    <cellStyle name="Normal_laroux_2_laroux" xfId="1416"/>
    <cellStyle name="Normal_laroux_2_laroux_1" xfId="1417"/>
    <cellStyle name="Normal_laroux_2_laroux_2" xfId="1418"/>
    <cellStyle name="Normal_laroux_2_Locas" xfId="1419"/>
    <cellStyle name="Normal_laroux_2_Locas_1" xfId="1420"/>
    <cellStyle name="Normal_laroux_2_pldt" xfId="1421"/>
    <cellStyle name="Normal_laroux_2_pldt_1" xfId="1422"/>
    <cellStyle name="Normal_laroux_2_pldt_2" xfId="1423"/>
    <cellStyle name="Normal_laroux_2_VIRUS-EDY" xfId="1424"/>
    <cellStyle name="Normal_laroux_3" xfId="1425"/>
    <cellStyle name="Normal_laroux_3_dimon" xfId="1426"/>
    <cellStyle name="Normal_laroux_3_dimon_1" xfId="1427"/>
    <cellStyle name="Normal_laroux_3_dimon_2" xfId="1428"/>
    <cellStyle name="Normal_laroux_3_dimon_3" xfId="1429"/>
    <cellStyle name="Normal_laroux_3_dimon_4" xfId="1430"/>
    <cellStyle name="Normal_laroux_3_laroux" xfId="1431"/>
    <cellStyle name="Normal_laroux_3_laroux_1" xfId="1432"/>
    <cellStyle name="Normal_laroux_3_laroux_2" xfId="1433"/>
    <cellStyle name="Normal_laroux_3_laroux_dimon" xfId="1434"/>
    <cellStyle name="Normal_laroux_3_Locas" xfId="1435"/>
    <cellStyle name="Normal_laroux_3_pldt" xfId="1436"/>
    <cellStyle name="Normal_laroux_3_pldt_1" xfId="1437"/>
    <cellStyle name="Normal_laroux_3_PLDT_dimon" xfId="1438"/>
    <cellStyle name="Normal_laroux_3_VERA" xfId="1439"/>
    <cellStyle name="Normal_laroux_3_VERA_1" xfId="1440"/>
    <cellStyle name="Normal_laroux_3_VIRUS-EDY" xfId="1441"/>
    <cellStyle name="Normal_laroux_4" xfId="1442"/>
    <cellStyle name="Normal_laroux_4_dimon" xfId="1443"/>
    <cellStyle name="Normal_laroux_4_dimon_1" xfId="1444"/>
    <cellStyle name="Normal_laroux_4_dimon_2" xfId="1445"/>
    <cellStyle name="Normal_laroux_4_dimon_3" xfId="1446"/>
    <cellStyle name="Normal_laroux_4_laroux" xfId="1447"/>
    <cellStyle name="Normal_laroux_4_laroux_1" xfId="1448"/>
    <cellStyle name="Normal_laroux_4_laroux_2" xfId="1449"/>
    <cellStyle name="Normal_laroux_4_pldt" xfId="1450"/>
    <cellStyle name="Normal_laroux_4_pldt_1" xfId="1451"/>
    <cellStyle name="Normal_laroux_4_pldt_2" xfId="1452"/>
    <cellStyle name="Normal_laroux_4_PLDT_dimon" xfId="1453"/>
    <cellStyle name="Normal_laroux_4_VERA" xfId="1454"/>
    <cellStyle name="Normal_laroux_4_VIRUS-EDY" xfId="1455"/>
    <cellStyle name="Normal_laroux_5" xfId="1456"/>
    <cellStyle name="Normal_laroux_5_dimon" xfId="1457"/>
    <cellStyle name="Normal_laroux_5_dimon_1" xfId="1458"/>
    <cellStyle name="Normal_laroux_5_dimon_2" xfId="1459"/>
    <cellStyle name="Normal_laroux_5_dimon_3" xfId="1460"/>
    <cellStyle name="Normal_laroux_5_laroux" xfId="1461"/>
    <cellStyle name="Normal_laroux_5_laroux_1" xfId="1462"/>
    <cellStyle name="Normal_laroux_5_laroux_2" xfId="1463"/>
    <cellStyle name="Normal_laroux_5_pldt" xfId="1464"/>
    <cellStyle name="Normal_laroux_5_pldt_1" xfId="1465"/>
    <cellStyle name="Normal_laroux_5_pldt_2" xfId="1466"/>
    <cellStyle name="Normal_laroux_5_pldt_3" xfId="1467"/>
    <cellStyle name="Normal_laroux_5_PLDT_dimon" xfId="1468"/>
    <cellStyle name="Normal_laroux_5_VERA" xfId="1469"/>
    <cellStyle name="Normal_laroux_5_VIRUS-EDY" xfId="1470"/>
    <cellStyle name="Normal_laroux_6" xfId="1471"/>
    <cellStyle name="Normal_laroux_6_dimon" xfId="1472"/>
    <cellStyle name="Normal_laroux_6_dimon_1" xfId="1473"/>
    <cellStyle name="Normal_laroux_6_dimon_2" xfId="1474"/>
    <cellStyle name="Normal_laroux_6_dimon_3" xfId="1475"/>
    <cellStyle name="Normal_laroux_6_laroux" xfId="1476"/>
    <cellStyle name="Normal_laroux_6_laroux_1" xfId="1477"/>
    <cellStyle name="Normal_laroux_6_laroux_dimon" xfId="1478"/>
    <cellStyle name="Normal_laroux_6_pldt" xfId="1479"/>
    <cellStyle name="Normal_laroux_6_pldt_1" xfId="1480"/>
    <cellStyle name="Normal_laroux_6_pldt_2" xfId="1481"/>
    <cellStyle name="Normal_laroux_6_PLDT_dimon" xfId="1482"/>
    <cellStyle name="Normal_laroux_6_VERA" xfId="1483"/>
    <cellStyle name="Normal_laroux_6_VIRUS-EDY" xfId="1484"/>
    <cellStyle name="Normal_laroux_7" xfId="1485"/>
    <cellStyle name="Normal_laroux_7_dimon" xfId="1486"/>
    <cellStyle name="Normal_laroux_7_dimon_1" xfId="1487"/>
    <cellStyle name="Normal_laroux_7_dimon_2" xfId="1488"/>
    <cellStyle name="Normal_laroux_7_laroux" xfId="1489"/>
    <cellStyle name="Normal_laroux_7_pldt" xfId="1490"/>
    <cellStyle name="Normal_laroux_7_pldt_1" xfId="1491"/>
    <cellStyle name="Normal_laroux_7_VERA" xfId="1492"/>
    <cellStyle name="Normal_laroux_7_VIRUS-EDY" xfId="1493"/>
    <cellStyle name="Normal_laroux_8" xfId="1494"/>
    <cellStyle name="Normal_laroux_8_dimon" xfId="1495"/>
    <cellStyle name="Normal_laroux_8_dimon_1" xfId="1496"/>
    <cellStyle name="Normal_laroux_8_pldt" xfId="1497"/>
    <cellStyle name="Normal_laroux_8_pldt_1" xfId="1498"/>
    <cellStyle name="Normal_laroux_8_VERA" xfId="1499"/>
    <cellStyle name="Normal_laroux_9" xfId="1500"/>
    <cellStyle name="Normal_laroux_9_dimon" xfId="1501"/>
    <cellStyle name="Normal_laroux_9_dimon_1" xfId="1502"/>
    <cellStyle name="Normal_laroux_A" xfId="1503"/>
    <cellStyle name="Normal_laroux_B" xfId="1504"/>
    <cellStyle name="Normal_laroux_C" xfId="1505"/>
    <cellStyle name="Normal_laroux_D" xfId="1506"/>
    <cellStyle name="Normal_laroux_dimon" xfId="1507"/>
    <cellStyle name="Normal_laroux_dimon_1" xfId="1508"/>
    <cellStyle name="Normal_laroux_dimon_2" xfId="1509"/>
    <cellStyle name="Normal_laroux_dimon_3" xfId="1510"/>
    <cellStyle name="Normal_laroux_dimon_4" xfId="1511"/>
    <cellStyle name="Normal_laroux_dimon_5" xfId="1512"/>
    <cellStyle name="Normal_laroux_laroux" xfId="1513"/>
    <cellStyle name="Normal_laroux_laroux_1" xfId="1514"/>
    <cellStyle name="Normal_laroux_laroux_2" xfId="1515"/>
    <cellStyle name="Normal_laroux_Locas" xfId="1516"/>
    <cellStyle name="Normal_laroux_pldt" xfId="1517"/>
    <cellStyle name="Normal_laroux_pldt_1" xfId="1518"/>
    <cellStyle name="Normal_laroux_pldt_2" xfId="1519"/>
    <cellStyle name="Normal_laroux_pldt_3" xfId="1520"/>
    <cellStyle name="Normal_laroux_PLDT_dimon" xfId="1521"/>
    <cellStyle name="Normal_laroux_VERA" xfId="1522"/>
    <cellStyle name="Normal_laroux_VERA_1" xfId="1523"/>
    <cellStyle name="Normal_laroux_VIRUS-EDY" xfId="1524"/>
    <cellStyle name="Normal_Line Inst." xfId="1525"/>
    <cellStyle name="Normal_List" xfId="1526"/>
    <cellStyle name="Normal_Locas" xfId="1527"/>
    <cellStyle name="Normal_Locas_1" xfId="1528"/>
    <cellStyle name="Normal_Lock" xfId="1529"/>
    <cellStyle name="Normal_MAJREP" xfId="1530"/>
    <cellStyle name="Normal_Master" xfId="1531"/>
    <cellStyle name="Normal_MATERAL2" xfId="1532"/>
    <cellStyle name="Normal_MATERAL2_dimon" xfId="1533"/>
    <cellStyle name="Normal_MED-A-CO.XLS" xfId="1534"/>
    <cellStyle name="Normal_MID CURVE" xfId="1535"/>
    <cellStyle name="Normal_MKGOCPX" xfId="1536"/>
    <cellStyle name="Normal_Mkt Shr" xfId="1537"/>
    <cellStyle name="Normal_MOBCPX" xfId="1538"/>
    <cellStyle name="Normal_Module1" xfId="1539"/>
    <cellStyle name="Normal_Module1 (2)" xfId="1540"/>
    <cellStyle name="Normal_Module1 (2)_1" xfId="1541"/>
    <cellStyle name="Normal_MONTHLY" xfId="1542"/>
    <cellStyle name="Normal_MOR  - Supp" xfId="1543"/>
    <cellStyle name="Normal_mud plant bolted" xfId="1544"/>
    <cellStyle name="Normal_mud plant bolted_dimon" xfId="1545"/>
    <cellStyle name="Normal_Multikarya" xfId="1546"/>
    <cellStyle name="Normal_NA WITHOUT GOV'T &amp; PNX" xfId="1547"/>
    <cellStyle name="Normal_NAOBU10" xfId="1548"/>
    <cellStyle name="Normal_NAT ACCT" xfId="1549"/>
    <cellStyle name="Normal_NCR-C&amp;W Val" xfId="1550"/>
    <cellStyle name="Normal_NCR-Cap intensity" xfId="1551"/>
    <cellStyle name="Normal_NCR-Line per Staff" xfId="1552"/>
    <cellStyle name="Normal_NCR-Rev dist" xfId="1553"/>
    <cellStyle name="Normal_NEHQ-ACT.XLS" xfId="1554"/>
    <cellStyle name="Normal_NS-A-CO.XLS" xfId="1555"/>
    <cellStyle name="Normal_NS_AT" xfId="0"/>
    <cellStyle name="Normal_NS_CONS GROUP" xfId="0"/>
    <cellStyle name="Normal_NSACTUAL.XLS" xfId="0"/>
    <cellStyle name="Normal_NSACTUAL.XLS_1" xfId="0"/>
    <cellStyle name="Normal_NX00" xfId="0"/>
    <cellStyle name="Normal_OFFDATA1" xfId="0"/>
    <cellStyle name="Normal_OFFDATA1 (2)" xfId="0"/>
    <cellStyle name="Normal_OFFDATA1_1" xfId="0"/>
    <cellStyle name="Normal_Op Cost Break" xfId="0"/>
    <cellStyle name="Normal_Operations" xfId="0"/>
    <cellStyle name="Normal_opsmacro" xfId="0"/>
    <cellStyle name="Normal_OPSTAT" xfId="0"/>
    <cellStyle name="Normal_OS-A-CO.XLS" xfId="0"/>
    <cellStyle name="Normal_OSMOCPX" xfId="0"/>
    <cellStyle name="Normal_Other Months" xfId="0"/>
    <cellStyle name="Normal_Outlook" xfId="0"/>
    <cellStyle name="Normal_Outlook_1" xfId="0"/>
    <cellStyle name="Normal_OWN, AR, SNIPS" xfId="0"/>
    <cellStyle name="Normal_PAGE 1" xfId="0"/>
    <cellStyle name="Normal_pbdefault" xfId="0"/>
    <cellStyle name="Normal_pbdefault_1" xfId="0"/>
    <cellStyle name="Normal_percentages" xfId="0"/>
    <cellStyle name="Normal_PERSONAL" xfId="0"/>
    <cellStyle name="Normal_PERSONAL_dimon" xfId="0"/>
    <cellStyle name="Normal_PERSONAL_Locas" xfId="0"/>
    <cellStyle name="Normal_PGMKOCPX" xfId="0"/>
    <cellStyle name="Normal_PGNW1" xfId="0"/>
    <cellStyle name="Normal_PGNW2" xfId="0"/>
    <cellStyle name="Normal_PGNWOCPX" xfId="0"/>
    <cellStyle name="Normal_Picks" xfId="0"/>
    <cellStyle name="Normal_Pink" xfId="0"/>
    <cellStyle name="Normal_PKDATA1" xfId="0"/>
    <cellStyle name="Normal_PKDATA1 (2)" xfId="0"/>
    <cellStyle name="Normal_PKDATA1_1" xfId="0"/>
    <cellStyle name="Normal_PLAN" xfId="0"/>
    <cellStyle name="Normal_PLANT" xfId="0"/>
    <cellStyle name="Normal_PLANTS" xfId="0"/>
    <cellStyle name="Normal_PLDT" xfId="0"/>
    <cellStyle name="Normal_PLDT_1" xfId="0"/>
    <cellStyle name="Normal_pldt_1_Calculations" xfId="0"/>
    <cellStyle name="Normal_PLDT_1_dimon" xfId="0"/>
    <cellStyle name="Normal_pldt_2" xfId="0"/>
    <cellStyle name="Normal_pldt_2_Calculations" xfId="0"/>
    <cellStyle name="Normal_PLDT_2_dimon" xfId="0"/>
    <cellStyle name="Normal_pldt_2_dimon_1" xfId="0"/>
    <cellStyle name="Normal_pldt_2_pldt" xfId="0"/>
    <cellStyle name="Normal_pldt_3" xfId="0"/>
    <cellStyle name="Normal_pldt_3_dimon" xfId="0"/>
    <cellStyle name="Normal_pldt_4" xfId="0"/>
    <cellStyle name="Normal_pldt_4_dimon" xfId="0"/>
    <cellStyle name="Normal_PLDT_4_dimon_1" xfId="0"/>
    <cellStyle name="Normal_pldt_5" xfId="0"/>
    <cellStyle name="Normal_pldt_6" xfId="0"/>
    <cellStyle name="Normal_pldt_Calculations" xfId="0"/>
    <cellStyle name="Normal_PLDT_dimon" xfId="0"/>
    <cellStyle name="Normal_PLDT_dimon_1" xfId="0"/>
    <cellStyle name="Normal_pldt_pldt" xfId="0"/>
    <cellStyle name="Normal_POW-Provision" xfId="0"/>
    <cellStyle name="Normal_priccurv" xfId="0"/>
    <cellStyle name="Normal_priccurv_1" xfId="0"/>
    <cellStyle name="Normal_priccurv_2" xfId="0"/>
    <cellStyle name="Normal_PriceCurve" xfId="0"/>
    <cellStyle name="Normal_PriceCurve_1" xfId="0"/>
    <cellStyle name="Normal_PrintBox (2)" xfId="0"/>
    <cellStyle name="Normal_PROCDS&amp;G" xfId="0"/>
    <cellStyle name="Normal_PROD SALES" xfId="0"/>
    <cellStyle name="Normal_PROD SALES by Region Pg 2" xfId="0"/>
    <cellStyle name="Normal_PRODUCT" xfId="0"/>
    <cellStyle name="Normal_Production Payment model" xfId="0"/>
    <cellStyle name="Normal_production tony" xfId="0"/>
    <cellStyle name="Normal_PROFILE4" xfId="0"/>
    <cellStyle name="Normal_PSTNOCFP" xfId="0"/>
    <cellStyle name="Normal_Q08-95.XLS" xfId="0"/>
    <cellStyle name="Normal_QMM-1" xfId="0"/>
    <cellStyle name="Normal_Quarter End Months" xfId="0"/>
    <cellStyle name="Normal_r1" xfId="0"/>
    <cellStyle name="Normal_R2FAC" xfId="0"/>
    <cellStyle name="Normal_Real Opr Cf" xfId="0"/>
    <cellStyle name="Normal_Real Rev per Staff (1)" xfId="0"/>
    <cellStyle name="Normal_Real Rev per Staff (2)" xfId="0"/>
    <cellStyle name="Normal_Region 2-C&amp;W" xfId="0"/>
    <cellStyle name="Normal_REPORT-budget" xfId="0"/>
    <cellStyle name="Normal_REPORT-plan" xfId="0"/>
    <cellStyle name="Normal_Return on Rev" xfId="0"/>
    <cellStyle name="Normal_Rev p line" xfId="0"/>
    <cellStyle name="Normal_ROACE" xfId="0"/>
    <cellStyle name="Normal_ROCF (Tot)" xfId="0"/>
    <cellStyle name="Normal_Sales Order" xfId="0"/>
    <cellStyle name="Normal_SALES, BGP, MOI" xfId="0"/>
    <cellStyle name="Normal_Salton Sea 4" xfId="0"/>
    <cellStyle name="Normal_SATOCPX" xfId="0"/>
    <cellStyle name="Normal_SC COP" xfId="0"/>
    <cellStyle name="Normal_ScreeningModel" xfId="0"/>
    <cellStyle name="Normal_SELECT" xfId="0"/>
    <cellStyle name="Normal_SHEET" xfId="0"/>
    <cellStyle name="Normal_Sheet1" xfId="0"/>
    <cellStyle name="Normal_Sheet1 (2)" xfId="0"/>
    <cellStyle name="Normal_Sheet1 (2)_dimon" xfId="0"/>
    <cellStyle name="Normal_Sheet1 (2)_VERA" xfId="0"/>
    <cellStyle name="Normal_Sheet1 (2)_VERA_1" xfId="0"/>
    <cellStyle name="Normal_Sheet1_1" xfId="0"/>
    <cellStyle name="Normal_Sheet1_brownsville_0121" xfId="0"/>
    <cellStyle name="Normal_Sheet1_dimon" xfId="0"/>
    <cellStyle name="Normal_Sheet1_dimon_1" xfId="0"/>
    <cellStyle name="Normal_Sheet1_FUNDS" xfId="0"/>
    <cellStyle name="Normal_Sheet1_FUNDS (2)" xfId="0"/>
    <cellStyle name="Normal_Sheet1_laroux" xfId="0"/>
    <cellStyle name="Normal_Sheet1_List" xfId="0"/>
    <cellStyle name="Normal_Sheet1_PLDT" xfId="0"/>
    <cellStyle name="Normal_Sheet1_VERA" xfId="0"/>
    <cellStyle name="Normal_Sheet1_VERA_1" xfId="0"/>
    <cellStyle name="Normal_Sheet2" xfId="0"/>
    <cellStyle name="Normal_Sheet3" xfId="0"/>
    <cellStyle name="Normal_SHENREPT" xfId="0"/>
    <cellStyle name="Normal_SHENREPT_laroux" xfId="0"/>
    <cellStyle name="Normal_SHENREPT_pldt" xfId="0"/>
    <cellStyle name="Normal_solInv_suppldata_qry" xfId="0"/>
    <cellStyle name="Normal_SOP" xfId="0"/>
    <cellStyle name="Normal_Specifics" xfId="0"/>
    <cellStyle name="Normal_sprint contr" xfId="0"/>
    <cellStyle name="Normal_Staff cost%rev" xfId="0"/>
    <cellStyle name="Normal_Summary" xfId="0"/>
    <cellStyle name="Normal_SUMMARY_brownsville_0121" xfId="0"/>
    <cellStyle name="Normal_SUMMARY_DCF_IPP" xfId="0"/>
    <cellStyle name="Normal_Summary_dimon" xfId="0"/>
    <cellStyle name="Normal_SUMPAGE" xfId="0"/>
    <cellStyle name="Normal_Supplementary analysis" xfId="0"/>
    <cellStyle name="Normal_SWI-C-CO.XLS" xfId="0"/>
    <cellStyle name="Normal_Tax Depr" xfId="0"/>
    <cellStyle name="Normal_Template" xfId="0"/>
    <cellStyle name="Normal_Template_dimon" xfId="0"/>
    <cellStyle name="Normal_TESTDATA" xfId="0"/>
    <cellStyle name="Normal_TMSNW1" xfId="0"/>
    <cellStyle name="Normal_TMSNW2" xfId="0"/>
    <cellStyle name="Normal_TMSOCPX" xfId="0"/>
    <cellStyle name="Normal_TOTAL MTH" xfId="0"/>
    <cellStyle name="Normal_TOTAL NX CASH FLOW" xfId="0"/>
    <cellStyle name="Normal_TOTAL YTD" xfId="0"/>
    <cellStyle name="Normal_Total-Rev dist." xfId="0"/>
    <cellStyle name="Normal_TRANSDSC.XLS" xfId="0"/>
    <cellStyle name="Normal_TRANSFXA.XLS" xfId="0"/>
    <cellStyle name="Normal_TRANSFXA.XLS_1" xfId="0"/>
    <cellStyle name="Normal_TRANSFXA.XLS_2" xfId="0"/>
    <cellStyle name="Normal_TRANSIME.XLS" xfId="0"/>
    <cellStyle name="Normal_TRANSIME.XLS_1" xfId="0"/>
    <cellStyle name="Normal_TRANSIME.XLS_TRANSDSC.XLS" xfId="0"/>
    <cellStyle name="Normal_TRANSIME.XLS_TRANSFXA.XLS" xfId="0"/>
    <cellStyle name="Normal_TRN-A-CO.XLS" xfId="0"/>
    <cellStyle name="Normal_VDlg" xfId="0"/>
    <cellStyle name="Normal_White" xfId="0"/>
    <cellStyle name="Normal_WO Var. &amp; Tot. Exp." xfId="0"/>
    <cellStyle name="Normal_WSP" xfId="0"/>
    <cellStyle name="Normal_yrcao" xfId="0"/>
    <cellStyle name="Normal_YREND55" xfId="0"/>
    <cellStyle name="Normal_YREND57" xfId="0"/>
    <cellStyle name="Normal_YTDCUR" xfId="0"/>
    <cellStyle name="Normal_Yuma CE Strategic" xfId="0"/>
    <cellStyle name="Normal_yuma_1006a" xfId="0"/>
    <cellStyle name="Percent [2]" xfId="0"/>
    <cellStyle name="Percent_dimon" xfId="0"/>
    <cellStyle name="Percent_Salton Sea 4" xfId="0"/>
    <cellStyle name="Percent_SPC99-03" xfId="0"/>
    <cellStyle name="Percent_Tony" xfId="0"/>
    <cellStyle name="Percent_Yuma CE Strategic" xfId="0"/>
    <cellStyle name="Standard_Anpassen der Amortisation" xfId="0"/>
    <cellStyle name="Standard_ATW" xfId="0"/>
    <cellStyle name="Standard_Compiling Utility Macros" xfId="0"/>
    <cellStyle name="Standard_FixerSetupDlg" xfId="0"/>
    <cellStyle name="Standard_Sperren" xfId="0"/>
    <cellStyle name="Standard_Sperren_1" xfId="0"/>
    <cellStyle name="Standard_TemplateInformation" xfId="0"/>
    <cellStyle name="Standard_TemplateInformation_1" xfId="0"/>
    <cellStyle name="Total" xfId="0"/>
    <cellStyle name="uk" xfId="0"/>
    <cellStyle name="Un" xfId="0"/>
    <cellStyle name="Unprot" xfId="0"/>
    <cellStyle name="Unprot$" xfId="0"/>
    <cellStyle name="Unprot_CurrencySKorea" xfId="0"/>
    <cellStyle name="Unprot_GenMod" xfId="0"/>
    <cellStyle name="Unprot_ScreeningModel" xfId="0"/>
    <cellStyle name="Unprotect" xfId="0"/>
    <cellStyle name="Unprotect_dimon" xfId="0"/>
    <cellStyle name="Unprotect_summary" xfId="0"/>
    <cellStyle name="Währung [0]_Compiling Utility Macros" xfId="0"/>
    <cellStyle name="Währung [0]_FixerSetupDlg" xfId="0"/>
    <cellStyle name="Währung [0]_TemplateInformation" xfId="0"/>
    <cellStyle name="Währung_Compiling Utility Macros" xfId="0"/>
    <cellStyle name="Währung_FixerSetupDlg" xfId="0"/>
    <cellStyle name="Währung_TemplateInformation" xfId="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externalLink" Target="externalLinks/externalLink1.xml"/><Relationship Id="rId16" Type="http://schemas.openxmlformats.org/officeDocument/2006/relationships/externalLink" Target="externalLinks/externalLink2.xml"/><Relationship Id="rId17" Type="http://schemas.openxmlformats.org/officeDocument/2006/relationships/externalLink" Target="externalLinks/externalLink3.xml"/><Relationship Id="rId18" Type="http://schemas.openxmlformats.org/officeDocument/2006/relationships/sharedStrings" Target="sharedStrings.xml"/>
</Relationships>
</file>

<file path=xl/ctrlProps/ctrlProps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342720</xdr:colOff>
          <xdr:row>26</xdr:row>
          <xdr:rowOff>19080</xdr:rowOff>
        </xdr:from>
        <xdr:to>
          <xdr:col>3</xdr:col>
          <xdr:colOff>564120</xdr:colOff>
          <xdr:row>28</xdr:row>
          <xdr:rowOff>171360</xdr:rowOff>
        </xdr:to>
        <xdr:sp>
          <xdr:nvSpPr>
            <xdr:cNvPr id="1001" name="Button 422" descr="Goal Seek Equit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Goal Seek Equity</a:t>
              </a:r>
            </a:p>
          </xdr:txBody>
        </xdr:sp>
        <xdr:clientData/>
      </xdr:twoCellAnchor>
    </mc:Choice>
  </mc:AlternateContent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Genco/Valuation/05-08-00/Peaker%20Valuation%20050800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Genco/Valuation/03-29-00/00%20O&amp;M%20analysis%20-%200001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xls/%08ANALYSIS/ATPVBAEN.XLA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Capacity Prices"/>
      <sheetName val="Assumptions"/>
      <sheetName val="Spark-Spread"/>
      <sheetName val="99 Acct Sumry"/>
      <sheetName val="00 Acct Sumry"/>
      <sheetName val="Consolidated"/>
      <sheetName val="Brownsville"/>
      <sheetName val="Caledonia"/>
      <sheetName val="New Albany"/>
      <sheetName val="Gleason"/>
      <sheetName val="Wheatland"/>
      <sheetName val="Wilton"/>
      <sheetName val="Depreciation"/>
      <sheetName val="Notes"/>
      <sheetName val="Process"/>
      <sheetName val="Changes"/>
      <sheetName val="Start Charge Matri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Variance"/>
      <sheetName val="Consol Summary"/>
      <sheetName val="WC Summ"/>
      <sheetName val="WC MO"/>
      <sheetName val="WC YTD"/>
      <sheetName val="WH Summ"/>
      <sheetName val="WH MO"/>
      <sheetName val="WH YTD"/>
      <sheetName val="Gl Summ"/>
      <sheetName val="Gl MO"/>
      <sheetName val="Gl YT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REG"/>
      <sheetName val="VBA Functions and Subs"/>
      <sheetName val="Loc Table"/>
    </sheetNames>
    <definedNames>
      <definedName name="xirr"/>
    </defined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G5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48.85"/>
    <col collapsed="false" customWidth="true" hidden="false" outlineLevel="0" max="3" min="2" style="1" width="10.28"/>
    <col collapsed="false" customWidth="true" hidden="false" outlineLevel="0" max="4" min="4" style="1" width="12.42"/>
    <col collapsed="false" customWidth="true" hidden="false" outlineLevel="0" max="5" min="5" style="1" width="20.56"/>
    <col collapsed="false" customWidth="true" hidden="false" outlineLevel="0" max="6" min="6" style="1" width="11.56"/>
    <col collapsed="false" customWidth="true" hidden="false" outlineLevel="0" max="7" min="7" style="1" width="9.7"/>
    <col collapsed="false" customWidth="false" hidden="false" outlineLevel="0" max="257" min="8" style="1" width="9.14"/>
  </cols>
  <sheetData>
    <row r="1" customFormat="false" ht="12.75" hidden="false" customHeight="false" outlineLevel="0" collapsed="false">
      <c r="A1" s="2"/>
    </row>
    <row r="2" customFormat="false" ht="12.75" hidden="false" customHeight="false" outlineLevel="0" collapsed="false">
      <c r="A2" s="3" t="s">
        <v>0</v>
      </c>
      <c r="B2" s="4"/>
      <c r="C2" s="4"/>
      <c r="D2" s="4"/>
    </row>
    <row r="4" customFormat="false" ht="13.5" hidden="false" customHeight="false" outlineLevel="0" collapsed="false"/>
    <row r="5" customFormat="false" ht="12.75" hidden="false" customHeight="false" outlineLevel="0" collapsed="false">
      <c r="A5" s="5" t="s">
        <v>1</v>
      </c>
      <c r="B5" s="6"/>
      <c r="C5" s="6"/>
      <c r="D5" s="6"/>
      <c r="E5" s="7"/>
      <c r="F5" s="7"/>
      <c r="G5" s="8"/>
    </row>
    <row r="6" customFormat="false" ht="12.75" hidden="false" customHeight="false" outlineLevel="0" collapsed="false">
      <c r="A6" s="9" t="s">
        <v>2</v>
      </c>
      <c r="B6" s="10" t="s">
        <v>3</v>
      </c>
      <c r="C6" s="11" t="s">
        <v>4</v>
      </c>
      <c r="D6" s="12"/>
      <c r="E6" s="13" t="s">
        <v>5</v>
      </c>
      <c r="F6" s="10" t="s">
        <v>3</v>
      </c>
      <c r="G6" s="14" t="s">
        <v>4</v>
      </c>
    </row>
    <row r="7" customFormat="false" ht="12.75" hidden="false" customHeight="false" outlineLevel="0" collapsed="false">
      <c r="A7" s="15" t="s">
        <v>6</v>
      </c>
      <c r="B7" s="16" t="n">
        <f aca="false">C7/$C$9</f>
        <v>0.562451266428966</v>
      </c>
      <c r="C7" s="17" t="n">
        <f aca="false">B28</f>
        <v>451196.356815684</v>
      </c>
      <c r="D7" s="18"/>
      <c r="E7" s="13" t="s">
        <v>7</v>
      </c>
      <c r="F7" s="19" t="n">
        <f aca="false">G7/G9</f>
        <v>1</v>
      </c>
      <c r="G7" s="20" t="n">
        <f aca="false">C9</f>
        <v>802196.356815684</v>
      </c>
    </row>
    <row r="8" customFormat="false" ht="12.75" hidden="false" customHeight="false" outlineLevel="0" collapsed="false">
      <c r="A8" s="9" t="s">
        <v>8</v>
      </c>
      <c r="B8" s="21" t="n">
        <f aca="false">C8/$C$9</f>
        <v>0.437548733571034</v>
      </c>
      <c r="C8" s="22" t="n">
        <f aca="false">E15</f>
        <v>351000</v>
      </c>
      <c r="D8" s="23"/>
      <c r="E8" s="24"/>
      <c r="G8" s="25"/>
    </row>
    <row r="9" customFormat="false" ht="13.5" hidden="false" customHeight="false" outlineLevel="0" collapsed="false">
      <c r="A9" s="26" t="s">
        <v>9</v>
      </c>
      <c r="B9" s="27" t="n">
        <f aca="false">SUM(B7:B8)</f>
        <v>1</v>
      </c>
      <c r="C9" s="28" t="n">
        <f aca="false">SUM(C7:C8)</f>
        <v>802196.356815684</v>
      </c>
      <c r="D9" s="29"/>
      <c r="E9" s="30" t="s">
        <v>10</v>
      </c>
      <c r="F9" s="31" t="n">
        <f aca="false">SUM(F7)</f>
        <v>1</v>
      </c>
      <c r="G9" s="32" t="n">
        <f aca="false">SUM(G7)</f>
        <v>802196.356815684</v>
      </c>
    </row>
    <row r="10" customFormat="false" ht="13.5" hidden="false" customHeight="false" outlineLevel="0" collapsed="false">
      <c r="A10" s="33"/>
      <c r="B10" s="34"/>
      <c r="C10" s="22"/>
      <c r="D10" s="12"/>
      <c r="E10" s="12"/>
      <c r="F10" s="35"/>
      <c r="G10" s="36"/>
    </row>
    <row r="11" customFormat="false" ht="12.75" hidden="false" customHeight="false" outlineLevel="0" collapsed="false">
      <c r="A11" s="5" t="s">
        <v>11</v>
      </c>
      <c r="B11" s="7"/>
      <c r="C11" s="7"/>
      <c r="D11" s="37"/>
      <c r="E11" s="7"/>
      <c r="F11" s="7"/>
      <c r="G11" s="8"/>
    </row>
    <row r="12" customFormat="false" ht="12.75" hidden="false" customHeight="false" outlineLevel="0" collapsed="false">
      <c r="A12" s="38"/>
      <c r="B12" s="39" t="s">
        <v>12</v>
      </c>
      <c r="C12" s="39" t="s">
        <v>13</v>
      </c>
      <c r="D12" s="39" t="s">
        <v>14</v>
      </c>
      <c r="E12" s="39" t="s">
        <v>15</v>
      </c>
      <c r="F12" s="40"/>
      <c r="G12" s="41"/>
    </row>
    <row r="13" customFormat="false" ht="12.75" hidden="false" customHeight="false" outlineLevel="0" collapsed="false">
      <c r="A13" s="42" t="s">
        <v>16</v>
      </c>
      <c r="B13" s="43"/>
      <c r="C13" s="43"/>
      <c r="D13" s="43"/>
      <c r="E13" s="12"/>
      <c r="F13" s="12"/>
      <c r="G13" s="25"/>
    </row>
    <row r="14" customFormat="false" ht="12.75" hidden="false" customHeight="false" outlineLevel="0" collapsed="false">
      <c r="A14" s="44" t="s">
        <v>17</v>
      </c>
      <c r="B14" s="45" t="n">
        <v>36892</v>
      </c>
      <c r="C14" s="12"/>
      <c r="D14" s="12"/>
      <c r="E14" s="12"/>
      <c r="F14" s="12"/>
      <c r="G14" s="25"/>
    </row>
    <row r="15" customFormat="false" ht="12.75" hidden="false" customHeight="false" outlineLevel="0" collapsed="false">
      <c r="A15" s="44" t="s">
        <v>18</v>
      </c>
      <c r="B15" s="46" t="n">
        <v>0</v>
      </c>
      <c r="C15" s="46" t="n">
        <v>55000</v>
      </c>
      <c r="D15" s="46" t="n">
        <v>296000</v>
      </c>
      <c r="E15" s="47" t="n">
        <f aca="false">SUM(B15:D15)</f>
        <v>351000</v>
      </c>
      <c r="F15" s="48"/>
      <c r="G15" s="49"/>
    </row>
    <row r="16" customFormat="false" ht="12.75" hidden="false" customHeight="false" outlineLevel="0" collapsed="false">
      <c r="A16" s="44" t="s">
        <v>19</v>
      </c>
      <c r="B16" s="50" t="n">
        <f aca="false">Debt!E98</f>
        <v>2.99520876112252</v>
      </c>
      <c r="C16" s="50" t="n">
        <f aca="false">Debt!J98</f>
        <v>9.9958932238193</v>
      </c>
      <c r="D16" s="50" t="n">
        <f aca="false">Debt!O98</f>
        <v>19.9972621492129</v>
      </c>
      <c r="E16" s="51"/>
      <c r="F16" s="48"/>
      <c r="G16" s="49"/>
    </row>
    <row r="17" customFormat="false" ht="12.75" hidden="false" customHeight="false" outlineLevel="0" collapsed="false">
      <c r="A17" s="44" t="s">
        <v>20</v>
      </c>
      <c r="B17" s="45" t="n">
        <v>37986</v>
      </c>
      <c r="C17" s="45" t="n">
        <v>40543</v>
      </c>
      <c r="D17" s="45" t="n">
        <v>44196</v>
      </c>
      <c r="E17" s="47"/>
      <c r="F17" s="12"/>
      <c r="G17" s="25"/>
    </row>
    <row r="18" customFormat="false" ht="12.75" hidden="false" customHeight="false" outlineLevel="0" collapsed="false">
      <c r="A18" s="44" t="s">
        <v>21</v>
      </c>
      <c r="B18" s="52" t="e">
        <f aca="false">Debt!E99</f>
        <v>#DIV/0!</v>
      </c>
      <c r="C18" s="52" t="n">
        <f aca="false">Debt!J99</f>
        <v>7.15483367556468</v>
      </c>
      <c r="D18" s="52" t="n">
        <f aca="false">Debt!O99</f>
        <v>15.0306091718001</v>
      </c>
      <c r="E18" s="53"/>
      <c r="F18" s="12"/>
      <c r="G18" s="25"/>
    </row>
    <row r="19" customFormat="false" ht="12.75" hidden="false" customHeight="false" outlineLevel="0" collapsed="false">
      <c r="A19" s="44"/>
      <c r="B19" s="12"/>
      <c r="C19" s="12"/>
      <c r="D19" s="12"/>
      <c r="E19" s="47"/>
      <c r="F19" s="12"/>
      <c r="G19" s="25"/>
    </row>
    <row r="20" customFormat="false" ht="12.75" hidden="false" customHeight="false" outlineLevel="0" collapsed="false">
      <c r="A20" s="38" t="s">
        <v>22</v>
      </c>
      <c r="B20" s="54" t="n">
        <v>0.068</v>
      </c>
      <c r="C20" s="54" t="n">
        <v>0.065</v>
      </c>
      <c r="D20" s="54" t="n">
        <v>0.062</v>
      </c>
      <c r="E20" s="55" t="n">
        <f aca="false">SUMPRODUCT(B20:D20,$B$15:$D$15)/E15</f>
        <v>0.0624700854700855</v>
      </c>
      <c r="F20" s="12"/>
      <c r="G20" s="25"/>
    </row>
    <row r="21" customFormat="false" ht="12.75" hidden="false" customHeight="false" outlineLevel="0" collapsed="false">
      <c r="A21" s="56" t="s">
        <v>23</v>
      </c>
      <c r="B21" s="57" t="n">
        <v>0.0225</v>
      </c>
      <c r="C21" s="57" t="n">
        <v>0.045</v>
      </c>
      <c r="D21" s="57" t="n">
        <v>0.05</v>
      </c>
      <c r="E21" s="58" t="n">
        <f aca="false">SUMPRODUCT(B21:D21,$B$15:$D$15)/E15</f>
        <v>0.0492165242165242</v>
      </c>
      <c r="F21" s="12"/>
      <c r="G21" s="25"/>
    </row>
    <row r="22" customFormat="false" ht="12.75" hidden="false" customHeight="false" outlineLevel="0" collapsed="false">
      <c r="A22" s="44" t="s">
        <v>24</v>
      </c>
      <c r="B22" s="59" t="n">
        <f aca="false">SUM(B20:B21)</f>
        <v>0.0905</v>
      </c>
      <c r="C22" s="59" t="n">
        <f aca="false">SUM(C20:C21)</f>
        <v>0.11</v>
      </c>
      <c r="D22" s="59" t="n">
        <f aca="false">SUM(D20:D21)</f>
        <v>0.112</v>
      </c>
      <c r="E22" s="55" t="n">
        <f aca="false">SUMPRODUCT(B22:D22,$B$15:$D$15)/E15</f>
        <v>0.11168660968661</v>
      </c>
      <c r="F22" s="12"/>
      <c r="G22" s="25"/>
    </row>
    <row r="23" customFormat="false" ht="12.75" hidden="false" customHeight="false" outlineLevel="0" collapsed="false">
      <c r="A23" s="38"/>
      <c r="B23" s="12"/>
      <c r="C23" s="12"/>
      <c r="D23" s="12"/>
      <c r="E23" s="59"/>
      <c r="F23" s="12"/>
      <c r="G23" s="25"/>
    </row>
    <row r="24" customFormat="false" ht="12.75" hidden="false" customHeight="false" outlineLevel="0" collapsed="false">
      <c r="A24" s="38" t="s">
        <v>25</v>
      </c>
      <c r="B24" s="60" t="n">
        <v>0.05</v>
      </c>
      <c r="C24" s="12"/>
      <c r="D24" s="12"/>
      <c r="E24" s="61"/>
      <c r="F24" s="62"/>
      <c r="G24" s="63"/>
    </row>
    <row r="25" customFormat="false" ht="12.75" hidden="false" customHeight="false" outlineLevel="0" collapsed="false">
      <c r="A25" s="38"/>
      <c r="B25" s="12"/>
      <c r="C25" s="12"/>
      <c r="D25" s="12"/>
      <c r="E25" s="12"/>
      <c r="F25" s="18"/>
      <c r="G25" s="25"/>
    </row>
    <row r="26" customFormat="false" ht="12.75" hidden="false" customHeight="false" outlineLevel="0" collapsed="false">
      <c r="A26" s="42" t="s">
        <v>26</v>
      </c>
      <c r="B26" s="12"/>
      <c r="C26" s="12"/>
      <c r="D26" s="12"/>
      <c r="E26" s="12"/>
      <c r="F26" s="12"/>
      <c r="G26" s="25"/>
    </row>
    <row r="27" customFormat="false" ht="12.75" hidden="false" customHeight="false" outlineLevel="0" collapsed="false">
      <c r="A27" s="44" t="s">
        <v>27</v>
      </c>
      <c r="B27" s="45" t="n">
        <v>36892</v>
      </c>
      <c r="C27" s="12"/>
      <c r="D27" s="12"/>
      <c r="E27" s="12"/>
      <c r="F27" s="12"/>
      <c r="G27" s="25"/>
    </row>
    <row r="28" customFormat="false" ht="12.75" hidden="false" customHeight="false" outlineLevel="0" collapsed="false">
      <c r="A28" s="44" t="s">
        <v>18</v>
      </c>
      <c r="B28" s="64" t="n">
        <v>451196.356815684</v>
      </c>
      <c r="C28" s="12"/>
      <c r="D28" s="12"/>
      <c r="E28" s="12"/>
      <c r="F28" s="12"/>
      <c r="G28" s="25"/>
    </row>
    <row r="29" customFormat="false" ht="13.5" hidden="false" customHeight="false" outlineLevel="0" collapsed="false">
      <c r="A29" s="65" t="s">
        <v>28</v>
      </c>
      <c r="B29" s="66" t="n">
        <v>0.14</v>
      </c>
      <c r="C29" s="29"/>
      <c r="D29" s="29"/>
      <c r="E29" s="29"/>
      <c r="F29" s="29"/>
      <c r="G29" s="67"/>
    </row>
    <row r="30" customFormat="false" ht="13.5" hidden="false" customHeight="false" outlineLevel="0" collapsed="false">
      <c r="A30" s="12"/>
      <c r="B30" s="12"/>
      <c r="C30" s="12"/>
      <c r="D30" s="12"/>
      <c r="E30" s="12"/>
      <c r="F30" s="12"/>
      <c r="G30" s="12"/>
    </row>
    <row r="31" customFormat="false" ht="12.75" hidden="false" customHeight="false" outlineLevel="0" collapsed="false">
      <c r="A31" s="68" t="s">
        <v>29</v>
      </c>
      <c r="B31" s="6"/>
      <c r="C31" s="69"/>
      <c r="D31" s="69"/>
      <c r="E31" s="7"/>
      <c r="F31" s="7"/>
      <c r="G31" s="8"/>
    </row>
    <row r="32" customFormat="false" ht="12.75" hidden="false" customHeight="false" outlineLevel="0" collapsed="false">
      <c r="A32" s="38"/>
      <c r="B32" s="70" t="s">
        <v>30</v>
      </c>
      <c r="C32" s="70"/>
      <c r="D32" s="12"/>
      <c r="E32" s="12"/>
      <c r="F32" s="12"/>
      <c r="G32" s="25"/>
    </row>
    <row r="33" customFormat="false" ht="12.75" hidden="false" customHeight="false" outlineLevel="0" collapsed="false">
      <c r="A33" s="38"/>
      <c r="B33" s="71" t="n">
        <v>2000</v>
      </c>
      <c r="C33" s="71" t="s">
        <v>31</v>
      </c>
      <c r="D33" s="71" t="s">
        <v>32</v>
      </c>
      <c r="E33" s="10" t="s">
        <v>33</v>
      </c>
      <c r="G33" s="25"/>
    </row>
    <row r="34" customFormat="false" ht="12.75" hidden="false" customHeight="false" outlineLevel="0" collapsed="false">
      <c r="A34" s="72" t="s">
        <v>34</v>
      </c>
      <c r="B34" s="12"/>
      <c r="C34" s="73"/>
      <c r="D34" s="73"/>
      <c r="E34" s="12"/>
      <c r="G34" s="25"/>
    </row>
    <row r="35" customFormat="false" ht="12.75" hidden="false" customHeight="false" outlineLevel="0" collapsed="false">
      <c r="A35" s="74" t="s">
        <v>35</v>
      </c>
      <c r="B35" s="36" t="n">
        <f aca="false">G7</f>
        <v>802196.356815684</v>
      </c>
      <c r="C35" s="75" t="n">
        <v>15</v>
      </c>
      <c r="D35" s="76" t="s">
        <v>36</v>
      </c>
      <c r="E35" s="77" t="n">
        <v>0</v>
      </c>
      <c r="G35" s="25"/>
    </row>
    <row r="36" customFormat="false" ht="12.75" hidden="false" customHeight="false" outlineLevel="0" collapsed="false">
      <c r="A36" s="74"/>
      <c r="B36" s="36"/>
      <c r="C36" s="75"/>
      <c r="D36" s="76"/>
      <c r="E36" s="77"/>
      <c r="G36" s="25"/>
    </row>
    <row r="37" customFormat="false" ht="12.75" hidden="false" customHeight="false" outlineLevel="0" collapsed="false">
      <c r="A37" s="72" t="s">
        <v>37</v>
      </c>
      <c r="B37" s="78"/>
      <c r="C37" s="79"/>
      <c r="D37" s="79"/>
      <c r="E37" s="77"/>
      <c r="G37" s="25"/>
    </row>
    <row r="38" customFormat="false" ht="13.5" hidden="false" customHeight="false" outlineLevel="0" collapsed="false">
      <c r="A38" s="80" t="s">
        <v>38</v>
      </c>
      <c r="B38" s="81" t="n">
        <f aca="false">G7</f>
        <v>802196.356815684</v>
      </c>
      <c r="C38" s="82" t="n">
        <v>30</v>
      </c>
      <c r="D38" s="83" t="s">
        <v>39</v>
      </c>
      <c r="E38" s="84" t="n">
        <v>0.1</v>
      </c>
      <c r="F38" s="83"/>
      <c r="G38" s="67"/>
    </row>
    <row r="39" customFormat="false" ht="13.5" hidden="false" customHeight="false" outlineLevel="0" collapsed="false"/>
    <row r="40" customFormat="false" ht="12.75" hidden="false" customHeight="false" outlineLevel="0" collapsed="false">
      <c r="A40" s="5" t="s">
        <v>40</v>
      </c>
      <c r="B40" s="7"/>
      <c r="C40" s="7"/>
      <c r="D40" s="7"/>
      <c r="E40" s="7"/>
      <c r="F40" s="7"/>
      <c r="G40" s="8"/>
    </row>
    <row r="41" customFormat="false" ht="12.75" hidden="false" customHeight="false" outlineLevel="0" collapsed="false">
      <c r="A41" s="38"/>
      <c r="B41" s="12"/>
      <c r="C41" s="12"/>
      <c r="D41" s="12"/>
      <c r="E41" s="12"/>
      <c r="F41" s="12"/>
      <c r="G41" s="25"/>
    </row>
    <row r="42" customFormat="false" ht="12.75" hidden="false" customHeight="false" outlineLevel="0" collapsed="false">
      <c r="A42" s="56" t="s">
        <v>41</v>
      </c>
      <c r="B42" s="85"/>
      <c r="C42" s="12"/>
      <c r="D42" s="10" t="s">
        <v>42</v>
      </c>
      <c r="E42" s="10" t="s">
        <v>43</v>
      </c>
      <c r="F42" s="12"/>
      <c r="G42" s="25"/>
    </row>
    <row r="43" customFormat="false" ht="12.75" hidden="false" customHeight="false" outlineLevel="0" collapsed="false">
      <c r="A43" s="38" t="s">
        <v>44</v>
      </c>
      <c r="B43" s="12"/>
      <c r="C43" s="12"/>
      <c r="D43" s="86" t="n">
        <f aca="false">Debt!D84</f>
        <v>2.24778379241442</v>
      </c>
      <c r="E43" s="86" t="n">
        <f aca="false">Debt!D85</f>
        <v>3.16855669321518</v>
      </c>
      <c r="F43" s="12"/>
      <c r="G43" s="25"/>
    </row>
    <row r="44" customFormat="false" ht="12.75" hidden="false" customHeight="false" outlineLevel="0" collapsed="false">
      <c r="A44" s="38"/>
      <c r="B44" s="12"/>
      <c r="C44" s="12"/>
      <c r="D44" s="12"/>
      <c r="E44" s="12"/>
      <c r="F44" s="12"/>
      <c r="G44" s="25"/>
    </row>
    <row r="45" customFormat="false" ht="12.75" hidden="false" customHeight="false" outlineLevel="0" collapsed="false">
      <c r="A45" s="38"/>
      <c r="B45" s="12"/>
      <c r="C45" s="12"/>
      <c r="D45" s="10"/>
      <c r="E45" s="10"/>
      <c r="F45" s="10"/>
      <c r="G45" s="25"/>
    </row>
    <row r="46" customFormat="false" ht="12.75" hidden="false" customHeight="false" outlineLevel="0" collapsed="false">
      <c r="A46" s="38" t="s">
        <v>45</v>
      </c>
      <c r="B46" s="12"/>
      <c r="C46" s="12"/>
      <c r="D46" s="36" t="n">
        <f aca="false">SUMPRODUCT(Assumptions!C9:E9,Assumptions!C10:E10)/SUM(Assumptions!C9:E9)</f>
        <v>11458.7430730479</v>
      </c>
      <c r="F46" s="36"/>
      <c r="G46" s="25"/>
    </row>
    <row r="47" customFormat="false" ht="12.75" hidden="false" customHeight="false" outlineLevel="0" collapsed="false">
      <c r="A47" s="38"/>
      <c r="B47" s="12"/>
      <c r="C47" s="12"/>
      <c r="D47" s="12"/>
      <c r="F47" s="12"/>
      <c r="G47" s="25"/>
    </row>
    <row r="48" customFormat="false" ht="12.75" hidden="false" customHeight="false" outlineLevel="0" collapsed="false">
      <c r="A48" s="38" t="s">
        <v>46</v>
      </c>
      <c r="B48" s="12"/>
      <c r="C48" s="12"/>
      <c r="D48" s="36" t="n">
        <f aca="false">SUM(Assumptions!C9:E9)</f>
        <v>1588</v>
      </c>
      <c r="F48" s="36"/>
      <c r="G48" s="25"/>
    </row>
    <row r="49" customFormat="false" ht="12.75" hidden="false" customHeight="false" outlineLevel="0" collapsed="false">
      <c r="A49" s="38"/>
      <c r="B49" s="12"/>
      <c r="C49" s="12"/>
      <c r="D49" s="36"/>
      <c r="E49" s="36"/>
      <c r="F49" s="36"/>
      <c r="G49" s="25"/>
    </row>
    <row r="50" customFormat="false" ht="12.75" hidden="false" customHeight="false" outlineLevel="0" collapsed="false">
      <c r="A50" s="38" t="s">
        <v>47</v>
      </c>
      <c r="B50" s="12"/>
      <c r="C50" s="12"/>
      <c r="D50" s="36" t="n">
        <f aca="false">CF!V31/D48</f>
        <v>199.289196656585</v>
      </c>
      <c r="E50" s="12"/>
      <c r="F50" s="12"/>
      <c r="G50" s="25"/>
    </row>
    <row r="51" customFormat="false" ht="12.75" hidden="false" customHeight="false" outlineLevel="0" collapsed="false">
      <c r="A51" s="38"/>
      <c r="B51" s="12"/>
      <c r="C51" s="12"/>
      <c r="D51" s="12"/>
      <c r="E51" s="12"/>
      <c r="F51" s="12"/>
      <c r="G51" s="25"/>
    </row>
    <row r="52" customFormat="false" ht="12.75" hidden="false" customHeight="false" outlineLevel="0" collapsed="false">
      <c r="A52" s="38" t="s">
        <v>48</v>
      </c>
      <c r="B52" s="12"/>
      <c r="C52" s="12"/>
      <c r="D52" s="87" t="e">
        <f aca="false">CF!B33</f>
        <v>#VALUE!</v>
      </c>
      <c r="E52" s="12"/>
      <c r="F52" s="12"/>
      <c r="G52" s="25"/>
    </row>
    <row r="53" customFormat="false" ht="12.75" hidden="false" customHeight="false" outlineLevel="0" collapsed="false">
      <c r="A53" s="38"/>
      <c r="B53" s="73"/>
      <c r="C53" s="88"/>
      <c r="D53" s="89"/>
      <c r="E53" s="12"/>
      <c r="F53" s="12"/>
      <c r="G53" s="25"/>
    </row>
    <row r="54" customFormat="false" ht="12.75" hidden="false" customHeight="false" outlineLevel="0" collapsed="false">
      <c r="A54" s="38"/>
      <c r="B54" s="10" t="n">
        <v>2001</v>
      </c>
      <c r="C54" s="10" t="n">
        <v>2002</v>
      </c>
      <c r="D54" s="10" t="n">
        <v>2003</v>
      </c>
      <c r="E54" s="10" t="n">
        <v>2004</v>
      </c>
      <c r="F54" s="10" t="n">
        <v>2005</v>
      </c>
      <c r="G54" s="25"/>
    </row>
    <row r="55" customFormat="false" ht="12.75" hidden="false" customHeight="false" outlineLevel="0" collapsed="false">
      <c r="A55" s="38" t="s">
        <v>49</v>
      </c>
      <c r="B55" s="36" t="n">
        <f aca="false">IS!B27</f>
        <v>102546.924261271</v>
      </c>
      <c r="C55" s="36" t="n">
        <f aca="false">IS!C27</f>
        <v>107648.828283462</v>
      </c>
      <c r="D55" s="36" t="n">
        <f aca="false">IS!D27</f>
        <v>113025.540021213</v>
      </c>
      <c r="E55" s="36" t="n">
        <f aca="false">IS!E27</f>
        <v>118790.461398574</v>
      </c>
      <c r="F55" s="36" t="n">
        <f aca="false">IS!F27</f>
        <v>124878.625115702</v>
      </c>
      <c r="G55" s="25"/>
    </row>
    <row r="56" customFormat="false" ht="12.75" hidden="false" customHeight="false" outlineLevel="0" collapsed="false">
      <c r="A56" s="38" t="s">
        <v>50</v>
      </c>
      <c r="B56" s="36" t="n">
        <f aca="false">IS!B40</f>
        <v>24096.1244989526</v>
      </c>
      <c r="C56" s="36" t="n">
        <f aca="false">IS!C40</f>
        <v>27147.4768804805</v>
      </c>
      <c r="D56" s="36" t="n">
        <f aca="false">IS!D40</f>
        <v>30433.4376778111</v>
      </c>
      <c r="E56" s="36" t="n">
        <f aca="false">IS!E40</f>
        <v>33970.5450485814</v>
      </c>
      <c r="F56" s="36" t="n">
        <f aca="false">IS!F40</f>
        <v>38101.4032468397</v>
      </c>
      <c r="G56" s="25"/>
    </row>
    <row r="57" customFormat="false" ht="12.75" hidden="false" customHeight="false" outlineLevel="0" collapsed="false">
      <c r="A57" s="38" t="s">
        <v>51</v>
      </c>
      <c r="B57" s="36" t="n">
        <f aca="false">CF!C17</f>
        <v>63596.3476930674</v>
      </c>
      <c r="C57" s="36" t="n">
        <f aca="false">CF!D17</f>
        <v>68777.5075901017</v>
      </c>
      <c r="D57" s="36" t="n">
        <f aca="false">CF!E17</f>
        <v>74048.1583278522</v>
      </c>
      <c r="E57" s="36" t="n">
        <f aca="false">CF!F17</f>
        <v>75053.5369372457</v>
      </c>
      <c r="F57" s="36" t="n">
        <f aca="false">CF!G17</f>
        <v>80023.0163039296</v>
      </c>
      <c r="G57" s="25"/>
    </row>
    <row r="58" customFormat="false" ht="13.5" hidden="false" customHeight="false" outlineLevel="0" collapsed="false">
      <c r="A58" s="90" t="s">
        <v>52</v>
      </c>
      <c r="B58" s="81" t="n">
        <f aca="false">CF!C22</f>
        <v>54252.518921349</v>
      </c>
      <c r="C58" s="81" t="n">
        <f aca="false">CF!D22</f>
        <v>68291.967377409</v>
      </c>
      <c r="D58" s="81" t="n">
        <f aca="false">CF!E22</f>
        <v>73257.4805531712</v>
      </c>
      <c r="E58" s="81" t="n">
        <f aca="false">CF!F22</f>
        <v>69250.3842722984</v>
      </c>
      <c r="F58" s="81" t="n">
        <f aca="false">CF!G22</f>
        <v>67820.4529214325</v>
      </c>
      <c r="G58" s="67"/>
    </row>
  </sheetData>
  <mergeCells count="1">
    <mergeCell ref="B32:C32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&amp;L&amp;12Enron's Generation&amp;RCONFIDENTIAL</oddHeader>
    <oddFooter>&amp;L&amp;D&amp;C&amp;F&amp;RPage &amp;P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422">
              <controlPr defaultSize="0" print="false" autoFill="0" autoPict="0" macro="Module2.Equity">
                <anchor moveWithCells="true" sizeWithCells="false">
                  <from>
                    <xdr:col>2</xdr:col>
                    <xdr:colOff>342720</xdr:colOff>
                    <xdr:row>26</xdr:row>
                    <xdr:rowOff>19080</xdr:rowOff>
                  </from>
                  <to>
                    <xdr:col>3</xdr:col>
                    <xdr:colOff>564120</xdr:colOff>
                    <xdr:row>28</xdr:row>
                    <xdr:rowOff>171360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1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1" ySplit="5" topLeftCell="B6" activePane="bottomRight" state="frozen"/>
      <selection pane="topLeft" activeCell="A1" activeCellId="0" sqref="A1"/>
      <selection pane="topRight" activeCell="B1" activeCellId="0" sqref="B1"/>
      <selection pane="bottomLeft" activeCell="A6" activeCellId="0" sqref="A6"/>
      <selection pane="bottomRight" activeCell="B6" activeCellId="0" sqref="B6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4" width="46.85"/>
    <col collapsed="false" customWidth="true" hidden="false" outlineLevel="0" max="21" min="2" style="4" width="10.71"/>
    <col collapsed="false" customWidth="false" hidden="false" outlineLevel="0" max="22" min="22" style="93" width="9.14"/>
    <col collapsed="false" customWidth="true" hidden="false" outlineLevel="0" max="23" min="23" style="93" width="10.99"/>
    <col collapsed="false" customWidth="false" hidden="false" outlineLevel="0" max="25" min="24" style="93" width="9.14"/>
    <col collapsed="false" customWidth="true" hidden="false" outlineLevel="0" max="26" min="26" style="93" width="7.85"/>
    <col collapsed="false" customWidth="false" hidden="false" outlineLevel="0" max="257" min="27" style="93" width="9.14"/>
  </cols>
  <sheetData>
    <row r="1" customFormat="false" ht="12.75" hidden="false" customHeight="false" outlineLevel="0" collapsed="false">
      <c r="E1" s="172"/>
      <c r="F1" s="172"/>
      <c r="G1" s="172"/>
      <c r="H1" s="172"/>
      <c r="I1" s="172"/>
      <c r="J1" s="172"/>
      <c r="K1" s="172"/>
      <c r="L1" s="172"/>
      <c r="M1" s="172"/>
      <c r="N1" s="172"/>
      <c r="O1" s="172"/>
      <c r="P1" s="172"/>
      <c r="Q1" s="172"/>
      <c r="R1" s="172"/>
      <c r="S1" s="172"/>
      <c r="T1" s="172"/>
      <c r="U1" s="172"/>
    </row>
    <row r="2" customFormat="false" ht="18" hidden="false" customHeight="false" outlineLevel="0" collapsed="false">
      <c r="A2" s="149" t="s">
        <v>220</v>
      </c>
      <c r="B2" s="312"/>
      <c r="C2" s="312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  <c r="P2" s="153"/>
      <c r="Q2" s="153"/>
      <c r="R2" s="153"/>
      <c r="S2" s="153"/>
      <c r="T2" s="153"/>
      <c r="U2" s="153"/>
    </row>
    <row r="5" customFormat="false" ht="13.5" hidden="false" customHeight="false" outlineLevel="0" collapsed="false">
      <c r="A5" s="154" t="s">
        <v>103</v>
      </c>
      <c r="B5" s="155" t="n">
        <v>2001</v>
      </c>
      <c r="C5" s="155" t="n">
        <v>2002</v>
      </c>
      <c r="D5" s="155" t="n">
        <v>2003</v>
      </c>
      <c r="E5" s="155" t="n">
        <v>2004</v>
      </c>
      <c r="F5" s="155" t="n">
        <v>2005</v>
      </c>
      <c r="G5" s="155" t="n">
        <v>2006</v>
      </c>
      <c r="H5" s="155" t="n">
        <v>2007</v>
      </c>
      <c r="I5" s="155" t="n">
        <v>2008</v>
      </c>
      <c r="J5" s="155" t="n">
        <v>2009</v>
      </c>
      <c r="K5" s="155" t="n">
        <v>2010</v>
      </c>
      <c r="L5" s="155" t="n">
        <v>2011</v>
      </c>
      <c r="M5" s="155" t="n">
        <v>2012</v>
      </c>
      <c r="N5" s="155" t="n">
        <v>2013</v>
      </c>
      <c r="O5" s="155" t="n">
        <v>2014</v>
      </c>
      <c r="P5" s="155" t="n">
        <v>2015</v>
      </c>
      <c r="Q5" s="155" t="n">
        <v>2016</v>
      </c>
      <c r="R5" s="155" t="n">
        <v>2017</v>
      </c>
      <c r="S5" s="155" t="n">
        <v>2018</v>
      </c>
      <c r="T5" s="155" t="n">
        <v>2019</v>
      </c>
      <c r="U5" s="155" t="n">
        <v>2020</v>
      </c>
    </row>
    <row r="6" customFormat="false" ht="12.75" hidden="false" customHeight="false" outlineLevel="0" collapsed="false">
      <c r="A6" s="159"/>
      <c r="B6" s="160"/>
      <c r="C6" s="160"/>
      <c r="D6" s="160"/>
      <c r="E6" s="160"/>
      <c r="F6" s="160"/>
      <c r="G6" s="160"/>
      <c r="H6" s="160"/>
      <c r="I6" s="160"/>
      <c r="J6" s="160"/>
      <c r="K6" s="160"/>
      <c r="L6" s="160"/>
      <c r="M6" s="160"/>
      <c r="N6" s="160"/>
      <c r="O6" s="160"/>
      <c r="P6" s="160"/>
      <c r="Q6" s="160"/>
      <c r="R6" s="160"/>
      <c r="S6" s="160"/>
      <c r="T6" s="160"/>
      <c r="U6" s="160"/>
    </row>
    <row r="7" customFormat="false" ht="12.75" hidden="false" customHeight="false" outlineLevel="0" collapsed="false">
      <c r="A7" s="163" t="s">
        <v>104</v>
      </c>
      <c r="B7" s="152"/>
      <c r="C7" s="152"/>
      <c r="D7" s="152"/>
      <c r="E7" s="152"/>
      <c r="F7" s="152"/>
      <c r="G7" s="152"/>
      <c r="H7" s="152"/>
      <c r="I7" s="152"/>
      <c r="J7" s="152"/>
      <c r="K7" s="152"/>
      <c r="L7" s="152"/>
      <c r="M7" s="152"/>
      <c r="N7" s="152"/>
      <c r="O7" s="152"/>
      <c r="P7" s="152"/>
      <c r="Q7" s="152"/>
      <c r="R7" s="152"/>
      <c r="S7" s="152"/>
      <c r="T7" s="152"/>
      <c r="U7" s="152"/>
      <c r="V7" s="313"/>
      <c r="W7" s="313"/>
      <c r="X7" s="313"/>
      <c r="Y7" s="157" t="n">
        <f aca="false">SUM(Z7:AS7)-SUM(Z8:AS8)</f>
        <v>0</v>
      </c>
      <c r="Z7" s="158" t="n">
        <f aca="false">B10</f>
        <v>1579.95631053572</v>
      </c>
      <c r="AA7" s="158" t="n">
        <f aca="false">C10</f>
        <v>1627.35499985179</v>
      </c>
      <c r="AB7" s="158" t="n">
        <f aca="false">D10</f>
        <v>1676.17564984734</v>
      </c>
      <c r="AC7" s="158" t="n">
        <f aca="false">E10</f>
        <v>1726.46091934276</v>
      </c>
      <c r="AD7" s="158" t="n">
        <f aca="false">F10</f>
        <v>1778.25474692304</v>
      </c>
      <c r="AE7" s="158" t="n">
        <f aca="false">G10</f>
        <v>1831.60238933074</v>
      </c>
      <c r="AF7" s="158" t="n">
        <f aca="false">H10</f>
        <v>1886.55046101066</v>
      </c>
      <c r="AG7" s="158" t="n">
        <f aca="false">I10</f>
        <v>1943.14697484098</v>
      </c>
      <c r="AH7" s="158" t="n">
        <f aca="false">J10</f>
        <v>2001.44138408621</v>
      </c>
      <c r="AI7" s="158" t="n">
        <f aca="false">K10</f>
        <v>2061.48462560879</v>
      </c>
      <c r="AJ7" s="158" t="n">
        <f aca="false">L10</f>
        <v>2123.32916437706</v>
      </c>
      <c r="AK7" s="158" t="n">
        <f aca="false">M10</f>
        <v>2187.02903930837</v>
      </c>
      <c r="AL7" s="158" t="n">
        <f aca="false">N10</f>
        <v>2252.63991048762</v>
      </c>
      <c r="AM7" s="158" t="n">
        <f aca="false">O10</f>
        <v>2320.21910780225</v>
      </c>
      <c r="AN7" s="158" t="n">
        <f aca="false">P10</f>
        <v>2389.82568103632</v>
      </c>
      <c r="AO7" s="158" t="n">
        <f aca="false">Q10</f>
        <v>2461.52045146741</v>
      </c>
      <c r="AP7" s="158" t="n">
        <f aca="false">R10</f>
        <v>2535.36606501143</v>
      </c>
      <c r="AQ7" s="158" t="n">
        <f aca="false">S10</f>
        <v>2611.42704696177</v>
      </c>
      <c r="AR7" s="158" t="n">
        <f aca="false">T10</f>
        <v>2689.76985837062</v>
      </c>
      <c r="AS7" s="158" t="n">
        <f aca="false">U10</f>
        <v>2770.46295412174</v>
      </c>
    </row>
    <row r="8" customFormat="false" ht="12.75" hidden="false" customHeight="false" outlineLevel="0" collapsed="false">
      <c r="A8" s="165" t="s">
        <v>105</v>
      </c>
      <c r="E8" s="152"/>
      <c r="F8" s="152"/>
      <c r="G8" s="152"/>
      <c r="H8" s="152"/>
      <c r="I8" s="152"/>
      <c r="J8" s="152"/>
      <c r="K8" s="152"/>
      <c r="L8" s="152"/>
      <c r="M8" s="152"/>
      <c r="N8" s="152"/>
      <c r="O8" s="152"/>
      <c r="P8" s="152"/>
      <c r="Q8" s="152"/>
      <c r="R8" s="152"/>
      <c r="S8" s="152"/>
      <c r="T8" s="152"/>
      <c r="U8" s="152"/>
      <c r="W8" s="164"/>
      <c r="X8" s="1"/>
      <c r="Y8" s="314" t="n">
        <v>0</v>
      </c>
      <c r="Z8" s="315" t="n">
        <f aca="false">B17+1/3*B18</f>
        <v>1579.95631053572</v>
      </c>
      <c r="AA8" s="315" t="n">
        <f aca="false">C17+1/3*C18</f>
        <v>1627.35499985179</v>
      </c>
      <c r="AB8" s="315" t="n">
        <f aca="false">D17+1/3*D18</f>
        <v>1676.17564984734</v>
      </c>
      <c r="AC8" s="315" t="n">
        <f aca="false">E17+1/3*E18</f>
        <v>1726.46091934276</v>
      </c>
      <c r="AD8" s="315" t="n">
        <f aca="false">F17+1/3*F18</f>
        <v>1778.25474692304</v>
      </c>
      <c r="AE8" s="315" t="n">
        <f aca="false">G17+1/3*G18</f>
        <v>1831.60238933074</v>
      </c>
      <c r="AF8" s="315" t="n">
        <f aca="false">H17+1/3*H18</f>
        <v>1886.55046101066</v>
      </c>
      <c r="AG8" s="315" t="n">
        <f aca="false">I17+1/3*I18</f>
        <v>1943.14697484098</v>
      </c>
      <c r="AH8" s="315" t="n">
        <f aca="false">J17+1/3*J18</f>
        <v>2001.44138408621</v>
      </c>
      <c r="AI8" s="315" t="n">
        <f aca="false">K17+1/3*K18</f>
        <v>2061.48462560879</v>
      </c>
      <c r="AJ8" s="315" t="n">
        <f aca="false">L17+1/3*L18</f>
        <v>2123.32916437706</v>
      </c>
      <c r="AK8" s="315" t="n">
        <f aca="false">M17+1/3*M18</f>
        <v>2187.02903930837</v>
      </c>
      <c r="AL8" s="315" t="n">
        <f aca="false">N17+1/3*N18</f>
        <v>2252.63991048762</v>
      </c>
      <c r="AM8" s="315" t="n">
        <f aca="false">O17+1/3*O18</f>
        <v>2320.21910780225</v>
      </c>
      <c r="AN8" s="315" t="n">
        <f aca="false">P17+1/3*P18</f>
        <v>2389.82568103632</v>
      </c>
      <c r="AO8" s="315" t="n">
        <f aca="false">Q17+1/3*Q18</f>
        <v>2461.52045146741</v>
      </c>
      <c r="AP8" s="315" t="n">
        <f aca="false">R17+1/3*R18</f>
        <v>2535.36606501143</v>
      </c>
      <c r="AQ8" s="315" t="n">
        <f aca="false">S17+1/3*S18</f>
        <v>2611.42704696177</v>
      </c>
      <c r="AR8" s="315" t="n">
        <f aca="false">T17+1/3*T18</f>
        <v>2689.76985837062</v>
      </c>
      <c r="AS8" s="315" t="n">
        <f aca="false">U17+1/3*U18</f>
        <v>2770.46295412174</v>
      </c>
    </row>
    <row r="9" customFormat="false" ht="12.75" hidden="false" customHeight="false" outlineLevel="0" collapsed="false">
      <c r="A9" s="169" t="s">
        <v>106</v>
      </c>
      <c r="B9" s="172" t="n">
        <f aca="false">'Power Price Assumption'!C32*Assumptions!$D$9*12</f>
        <v>32703.6800195</v>
      </c>
      <c r="C9" s="172" t="n">
        <f aca="false">'Power Price Assumption'!D32*Assumptions!$D$9*12</f>
        <v>34437.605553105</v>
      </c>
      <c r="D9" s="172" t="n">
        <f aca="false">'Power Price Assumption'!E32*Assumptions!$D$9*12</f>
        <v>36263.4625682527</v>
      </c>
      <c r="E9" s="172" t="n">
        <f aca="false">'Power Price Assumption'!F32*Assumptions!$D$9*12</f>
        <v>38186.125205807</v>
      </c>
      <c r="F9" s="172" t="n">
        <f aca="false">'Power Price Assumption'!G32*Assumptions!$D$9*12</f>
        <v>40210.7260300661</v>
      </c>
      <c r="G9" s="172" t="n">
        <f aca="false">'Power Price Assumption'!H32*Assumptions!$D$9*12</f>
        <v>41027.4765488452</v>
      </c>
      <c r="H9" s="172" t="n">
        <f aca="false">'Power Price Assumption'!I32*Assumptions!$D$9*12</f>
        <v>41860.8167061558</v>
      </c>
      <c r="I9" s="172" t="n">
        <f aca="false">'Power Price Assumption'!J32*Assumptions!$D$9*12</f>
        <v>42711.0834667138</v>
      </c>
      <c r="J9" s="172" t="n">
        <f aca="false">'Power Price Assumption'!K32*Assumptions!$D$9*12</f>
        <v>43578.6206395809</v>
      </c>
      <c r="K9" s="172" t="n">
        <f aca="false">'Power Price Assumption'!L32*Assumptions!$D$9*12</f>
        <v>44463.779017185</v>
      </c>
      <c r="L9" s="172" t="n">
        <f aca="false">'Power Price Assumption'!M32*Assumptions!$D$9*12</f>
        <v>45033.9694589961</v>
      </c>
      <c r="M9" s="172" t="n">
        <f aca="false">'Power Price Assumption'!N32*Assumptions!$D$9*12</f>
        <v>45611.4718555515</v>
      </c>
      <c r="N9" s="172" t="n">
        <f aca="false">'Power Price Assumption'!O32*Assumptions!$D$9*12</f>
        <v>46196.3799732111</v>
      </c>
      <c r="O9" s="172" t="n">
        <f aca="false">'Power Price Assumption'!P32*Assumptions!$D$9*12</f>
        <v>46788.7887807671</v>
      </c>
      <c r="P9" s="172" t="n">
        <f aca="false">'Power Price Assumption'!Q32*Assumptions!$D$9*12</f>
        <v>47388.7944648634</v>
      </c>
      <c r="Q9" s="172" t="n">
        <f aca="false">'Power Price Assumption'!R32*Assumptions!$D$9*12</f>
        <v>48105.3178129975</v>
      </c>
      <c r="R9" s="172" t="n">
        <f aca="false">'Power Price Assumption'!S32*Assumptions!$D$9*12</f>
        <v>48832.6750663663</v>
      </c>
      <c r="S9" s="172" t="n">
        <f aca="false">'Power Price Assumption'!T32*Assumptions!$D$9*12</f>
        <v>49571.0300347088</v>
      </c>
      <c r="T9" s="172" t="n">
        <f aca="false">'Power Price Assumption'!U32*Assumptions!$D$9*12</f>
        <v>50320.5490045838</v>
      </c>
      <c r="U9" s="172" t="n">
        <f aca="false">'Power Price Assumption'!V32*Assumptions!$D$9*12</f>
        <v>51081.4007768196</v>
      </c>
      <c r="V9" s="316"/>
      <c r="W9" s="164" t="n">
        <f aca="false">SUM(B9:U9)</f>
        <v>874373.752984077</v>
      </c>
      <c r="X9" s="1"/>
      <c r="Y9" s="157"/>
      <c r="Z9" s="346" t="n">
        <f aca="false">Z7-Z8</f>
        <v>0</v>
      </c>
      <c r="AA9" s="346" t="n">
        <f aca="false">AA7-AA8</f>
        <v>0</v>
      </c>
      <c r="AB9" s="346" t="n">
        <f aca="false">AB7-AB8</f>
        <v>0</v>
      </c>
      <c r="AC9" s="346" t="n">
        <f aca="false">AC7-AC8</f>
        <v>0</v>
      </c>
      <c r="AD9" s="346" t="n">
        <f aca="false">AD7-AD8</f>
        <v>0</v>
      </c>
      <c r="AE9" s="346" t="n">
        <f aca="false">AE7-AE8</f>
        <v>0</v>
      </c>
      <c r="AF9" s="346" t="n">
        <f aca="false">AF7-AF8</f>
        <v>0</v>
      </c>
      <c r="AG9" s="346" t="n">
        <f aca="false">AG7-AG8</f>
        <v>0</v>
      </c>
      <c r="AH9" s="346" t="n">
        <f aca="false">AH7-AH8</f>
        <v>0</v>
      </c>
      <c r="AI9" s="346" t="n">
        <f aca="false">AI7-AI8</f>
        <v>0</v>
      </c>
      <c r="AJ9" s="346" t="n">
        <f aca="false">AJ7-AJ8</f>
        <v>0</v>
      </c>
      <c r="AK9" s="346" t="n">
        <f aca="false">AK7-AK8</f>
        <v>0</v>
      </c>
      <c r="AL9" s="346" t="n">
        <f aca="false">AL7-AL8</f>
        <v>0</v>
      </c>
      <c r="AM9" s="346" t="n">
        <f aca="false">AM7-AM8</f>
        <v>0</v>
      </c>
      <c r="AN9" s="346" t="n">
        <f aca="false">AN7-AN8</f>
        <v>0</v>
      </c>
      <c r="AO9" s="346" t="n">
        <f aca="false">AO7-AO8</f>
        <v>0</v>
      </c>
      <c r="AP9" s="346" t="n">
        <f aca="false">AP7-AP8</f>
        <v>0</v>
      </c>
      <c r="AQ9" s="346" t="n">
        <f aca="false">AQ7-AQ8</f>
        <v>0</v>
      </c>
      <c r="AR9" s="346" t="n">
        <f aca="false">AR7-AR8</f>
        <v>0</v>
      </c>
      <c r="AS9" s="346" t="n">
        <f aca="false">AS7-AS8</f>
        <v>0</v>
      </c>
    </row>
    <row r="10" customFormat="false" ht="12.75" hidden="false" customHeight="false" outlineLevel="0" collapsed="false">
      <c r="A10" s="169" t="s">
        <v>107</v>
      </c>
      <c r="B10" s="153" t="n">
        <f aca="false">1/3*Assumptions!$D$18*Assumptions!$D$11*Assumptions!$D$8/1000*(1+Assumptions!$D$25)^(B5-2000)+Assumptions!$D$19*Assumptions!$D$17*(1+Assumptions!$D$25)^(B5-2000)/1000</f>
        <v>1579.95631053572</v>
      </c>
      <c r="C10" s="153" t="n">
        <f aca="false">1/3*Assumptions!$D$18*Assumptions!$D$11*Assumptions!$D$8/1000*(1+Assumptions!$D$25)^(C5-2000)+Assumptions!$D$19*Assumptions!$D$17*(1+Assumptions!$D$25)^(C5-2000)/1000</f>
        <v>1627.35499985179</v>
      </c>
      <c r="D10" s="153" t="n">
        <f aca="false">1/3*Assumptions!$D$18*Assumptions!$D$11*Assumptions!$D$8/1000*(1+Assumptions!$D$25)^(D5-2000)+Assumptions!$D$19*Assumptions!$D$17*(1+Assumptions!$D$25)^(D5-2000)/1000</f>
        <v>1676.17564984734</v>
      </c>
      <c r="E10" s="153" t="n">
        <f aca="false">1/3*Assumptions!$D$18*Assumptions!$D$11*Assumptions!$D$8/1000*(1+Assumptions!$D$25)^(E5-2000)+Assumptions!$D$19*Assumptions!$D$17*(1+Assumptions!$D$25)^(E5-2000)/1000</f>
        <v>1726.46091934276</v>
      </c>
      <c r="F10" s="153" t="n">
        <f aca="false">1/3*Assumptions!$D$18*Assumptions!$D$11*Assumptions!$D$8/1000*(1+Assumptions!$D$25)^(F5-2000)+Assumptions!$D$19*Assumptions!$D$17*(1+Assumptions!$D$25)^(F5-2000)/1000</f>
        <v>1778.25474692304</v>
      </c>
      <c r="G10" s="153" t="n">
        <f aca="false">1/3*Assumptions!$D$18*Assumptions!$D$11*Assumptions!$D$8/1000*(1+Assumptions!$D$25)^(G5-2000)+Assumptions!$D$19*Assumptions!$D$17*(1+Assumptions!$D$25)^(G5-2000)/1000</f>
        <v>1831.60238933074</v>
      </c>
      <c r="H10" s="153" t="n">
        <f aca="false">1/3*Assumptions!$D$18*Assumptions!$D$11*Assumptions!$D$8/1000*(1+Assumptions!$D$25)^(H5-2000)+Assumptions!$D$19*Assumptions!$D$17*(1+Assumptions!$D$25)^(H5-2000)/1000</f>
        <v>1886.55046101066</v>
      </c>
      <c r="I10" s="153" t="n">
        <f aca="false">1/3*Assumptions!$D$18*Assumptions!$D$11*Assumptions!$D$8/1000*(1+Assumptions!$D$25)^(I5-2000)+Assumptions!$D$19*Assumptions!$D$17*(1+Assumptions!$D$25)^(I5-2000)/1000</f>
        <v>1943.14697484098</v>
      </c>
      <c r="J10" s="153" t="n">
        <f aca="false">1/3*Assumptions!$D$18*Assumptions!$D$11*Assumptions!$D$8/1000*(1+Assumptions!$D$25)^(J5-2000)+Assumptions!$D$19*Assumptions!$D$17*(1+Assumptions!$D$25)^(J5-2000)/1000</f>
        <v>2001.44138408621</v>
      </c>
      <c r="K10" s="153" t="n">
        <f aca="false">1/3*Assumptions!$D$18*Assumptions!$D$11*Assumptions!$D$8/1000*(1+Assumptions!$D$25)^(K5-2000)+Assumptions!$D$19*Assumptions!$D$17*(1+Assumptions!$D$25)^(K5-2000)/1000</f>
        <v>2061.48462560879</v>
      </c>
      <c r="L10" s="153" t="n">
        <f aca="false">1/3*Assumptions!$D$18*Assumptions!$D$11*Assumptions!$D$8/1000*(1+Assumptions!$D$25)^(L5-2000)+Assumptions!$D$19*Assumptions!$D$17*(1+Assumptions!$D$25)^(L5-2000)/1000</f>
        <v>2123.32916437706</v>
      </c>
      <c r="M10" s="153" t="n">
        <f aca="false">1/3*Assumptions!$D$18*Assumptions!$D$11*Assumptions!$D$8/1000*(1+Assumptions!$D$25)^(M5-2000)+Assumptions!$D$19*Assumptions!$D$17*(1+Assumptions!$D$25)^(M5-2000)/1000</f>
        <v>2187.02903930837</v>
      </c>
      <c r="N10" s="153" t="n">
        <f aca="false">1/3*Assumptions!$D$18*Assumptions!$D$11*Assumptions!$D$8/1000*(1+Assumptions!$D$25)^(N5-2000)+Assumptions!$D$19*Assumptions!$D$17*(1+Assumptions!$D$25)^(N5-2000)/1000</f>
        <v>2252.63991048762</v>
      </c>
      <c r="O10" s="153" t="n">
        <f aca="false">1/3*Assumptions!$D$18*Assumptions!$D$11*Assumptions!$D$8/1000*(1+Assumptions!$D$25)^(O5-2000)+Assumptions!$D$19*Assumptions!$D$17*(1+Assumptions!$D$25)^(O5-2000)/1000</f>
        <v>2320.21910780225</v>
      </c>
      <c r="P10" s="153" t="n">
        <f aca="false">1/3*Assumptions!$D$18*Assumptions!$D$11*Assumptions!$D$8/1000*(1+Assumptions!$D$25)^(P5-2000)+Assumptions!$D$19*Assumptions!$D$17*(1+Assumptions!$D$25)^(P5-2000)/1000</f>
        <v>2389.82568103632</v>
      </c>
      <c r="Q10" s="153" t="n">
        <f aca="false">1/3*Assumptions!$D$18*Assumptions!$D$11*Assumptions!$D$8/1000*(1+Assumptions!$D$25)^(Q5-2000)+Assumptions!$D$19*Assumptions!$D$17*(1+Assumptions!$D$25)^(Q5-2000)/1000</f>
        <v>2461.52045146741</v>
      </c>
      <c r="R10" s="153" t="n">
        <f aca="false">1/3*Assumptions!$D$18*Assumptions!$D$11*Assumptions!$D$8/1000*(1+Assumptions!$D$25)^(R5-2000)+Assumptions!$D$19*Assumptions!$D$17*(1+Assumptions!$D$25)^(R5-2000)/1000</f>
        <v>2535.36606501143</v>
      </c>
      <c r="S10" s="153" t="n">
        <f aca="false">1/3*Assumptions!$D$18*Assumptions!$D$11*Assumptions!$D$8/1000*(1+Assumptions!$D$25)^(S5-2000)+Assumptions!$D$19*Assumptions!$D$17*(1+Assumptions!$D$25)^(S5-2000)/1000</f>
        <v>2611.42704696177</v>
      </c>
      <c r="T10" s="153" t="n">
        <f aca="false">1/3*Assumptions!$D$18*Assumptions!$D$11*Assumptions!$D$8/1000*(1+Assumptions!$D$25)^(T5-2000)+Assumptions!$D$19*Assumptions!$D$17*(1+Assumptions!$D$25)^(T5-2000)/1000</f>
        <v>2689.76985837062</v>
      </c>
      <c r="U10" s="153" t="n">
        <f aca="false">1/3*Assumptions!$D$18*Assumptions!$D$11*Assumptions!$D$8/1000*(1+Assumptions!$D$25)^(U5-2000)+Assumptions!$D$19*Assumptions!$D$17*(1+Assumptions!$D$25)^(U5-2000)/1000</f>
        <v>2770.46295412174</v>
      </c>
      <c r="V10" s="316"/>
      <c r="W10" s="164" t="n">
        <f aca="false">SUM(B10:U10)</f>
        <v>42454.0177403226</v>
      </c>
      <c r="X10" s="1"/>
      <c r="Y10" s="1"/>
      <c r="Z10" s="1"/>
      <c r="AA10" s="1"/>
      <c r="AB10" s="12"/>
      <c r="AC10" s="12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</row>
    <row r="11" customFormat="false" ht="12.75" hidden="false" customHeight="false" outlineLevel="0" collapsed="false">
      <c r="A11" s="169"/>
      <c r="B11" s="316"/>
      <c r="C11" s="316"/>
      <c r="D11" s="316"/>
      <c r="E11" s="316"/>
      <c r="F11" s="316"/>
      <c r="G11" s="316"/>
      <c r="H11" s="316"/>
      <c r="I11" s="316"/>
      <c r="J11" s="316"/>
      <c r="K11" s="316"/>
      <c r="L11" s="316"/>
      <c r="M11" s="316"/>
      <c r="N11" s="316"/>
      <c r="O11" s="316"/>
      <c r="P11" s="316"/>
      <c r="Q11" s="316"/>
      <c r="R11" s="316"/>
      <c r="S11" s="316"/>
      <c r="T11" s="316"/>
      <c r="U11" s="316"/>
      <c r="V11" s="316"/>
      <c r="W11" s="164" t="n">
        <f aca="false">SUM(B11:U11)</f>
        <v>0</v>
      </c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</row>
    <row r="12" customFormat="false" ht="12.75" hidden="false" customHeight="false" outlineLevel="0" collapsed="false">
      <c r="A12" s="169" t="s">
        <v>108</v>
      </c>
      <c r="B12" s="260" t="n">
        <f aca="false">(SUM(B8:B10)-SUM(B16:B21))*'Summary Output'!$B$24/4</f>
        <v>381.47450349375</v>
      </c>
      <c r="C12" s="260" t="n">
        <f aca="false">(SUM(C8:C10)-SUM(C16:C21))*'Summary Output'!$B$24/4</f>
        <v>400.854090261313</v>
      </c>
      <c r="D12" s="260" t="n">
        <f aca="false">(SUM(D8:D10)-SUM(D16:D21))*'Summary Output'!$B$24/4</f>
        <v>421.597368701083</v>
      </c>
      <c r="E12" s="260" t="n">
        <f aca="false">(SUM(E8:E10)-SUM(E16:E21))*'Summary Output'!$B$24/4</f>
        <v>443.77181539345</v>
      </c>
      <c r="F12" s="260" t="n">
        <f aca="false">(SUM(F8:F10)-SUM(F16:F21))*'Summary Output'!$B$24/4</f>
        <v>467.555352581315</v>
      </c>
      <c r="G12" s="260" t="n">
        <f aca="false">(SUM(G8:G10)-SUM(G16:G21))*'Summary Output'!$B$24/4</f>
        <v>475.312141507219</v>
      </c>
      <c r="H12" s="260" t="n">
        <f aca="false">(SUM(H8:H10)-SUM(H16:H21))*'Summary Output'!$B$24/4</f>
        <v>482.623675388</v>
      </c>
      <c r="I12" s="260" t="n">
        <f aca="false">(SUM(I8:I10)-SUM(I16:I21))*'Summary Output'!$B$24/4</f>
        <v>490.871148516807</v>
      </c>
      <c r="J12" s="260" t="n">
        <f aca="false">(SUM(J8:J10)-SUM(J16:J21))*'Summary Output'!$B$24/4</f>
        <v>500.556453333132</v>
      </c>
      <c r="K12" s="260" t="n">
        <f aca="false">(SUM(K8:K10)-SUM(K16:K21))*'Summary Output'!$B$24/4</f>
        <v>511.408156413334</v>
      </c>
      <c r="L12" s="260" t="n">
        <f aca="false">(SUM(L8:L10)-SUM(L16:L21))*'Summary Output'!$B$24/4</f>
        <v>515.527648746929</v>
      </c>
      <c r="M12" s="260" t="n">
        <f aca="false">(SUM(M8:M10)-SUM(M16:M21))*'Summary Output'!$B$24/4</f>
        <v>521.645306994156</v>
      </c>
      <c r="N12" s="260" t="n">
        <f aca="false">(SUM(N8:N10)-SUM(N16:N21))*'Summary Output'!$B$24/4</f>
        <v>527.822078228894</v>
      </c>
      <c r="O12" s="260" t="n">
        <f aca="false">(SUM(O8:O10)-SUM(O16:O21))*'Summary Output'!$B$24/4</f>
        <v>534.058570680256</v>
      </c>
      <c r="P12" s="260" t="n">
        <f aca="false">(SUM(P8:P10)-SUM(P16:P21))*'Summary Output'!$B$24/4</f>
        <v>540.35496555908</v>
      </c>
      <c r="Q12" s="260" t="n">
        <f aca="false">(SUM(Q8:Q10)-SUM(Q16:Q21))*'Summary Output'!$B$24/4</f>
        <v>548.071720953205</v>
      </c>
      <c r="R12" s="260" t="n">
        <f aca="false">(SUM(R8:R10)-SUM(R16:R21))*'Summary Output'!$B$24/4</f>
        <v>555.886706569037</v>
      </c>
      <c r="S12" s="260" t="n">
        <f aca="false">(SUM(S8:S10)-SUM(S16:S21))*'Summary Output'!$B$24/4</f>
        <v>563.800854220502</v>
      </c>
      <c r="T12" s="260" t="n">
        <f aca="false">(SUM(T8:T10)-SUM(T16:T21))*'Summary Output'!$B$24/4</f>
        <v>571.815093207539</v>
      </c>
      <c r="U12" s="260" t="n">
        <f aca="false">(SUM(U8:U10)-SUM(U16:U21))*'Summary Output'!$B$24/4</f>
        <v>579.930349779994</v>
      </c>
      <c r="V12" s="316"/>
      <c r="W12" s="164" t="n">
        <f aca="false">SUM(B12:U12)</f>
        <v>10034.938000529</v>
      </c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</row>
    <row r="13" customFormat="false" ht="12.75" hidden="false" customHeight="false" outlineLevel="0" collapsed="false">
      <c r="A13" s="169" t="s">
        <v>109</v>
      </c>
      <c r="B13" s="172" t="n">
        <f aca="false">SUM(B8:B12)</f>
        <v>34665.1108335295</v>
      </c>
      <c r="C13" s="172" t="n">
        <f aca="false">SUM(C8:C12)</f>
        <v>36465.8146432181</v>
      </c>
      <c r="D13" s="172" t="n">
        <f aca="false">SUM(D8:D12)</f>
        <v>38361.2355868011</v>
      </c>
      <c r="E13" s="172" t="n">
        <f aca="false">SUM(E8:E12)</f>
        <v>40356.3579405432</v>
      </c>
      <c r="F13" s="172" t="n">
        <f aca="false">SUM(F8:F12)</f>
        <v>42456.5361295705</v>
      </c>
      <c r="G13" s="172" t="n">
        <f aca="false">SUM(G8:G12)</f>
        <v>43334.3910796832</v>
      </c>
      <c r="H13" s="172" t="n">
        <f aca="false">SUM(H8:H12)</f>
        <v>44229.9908425545</v>
      </c>
      <c r="I13" s="172" t="n">
        <f aca="false">SUM(I8:I12)</f>
        <v>45145.1015900716</v>
      </c>
      <c r="J13" s="172" t="n">
        <f aca="false">SUM(J8:J12)</f>
        <v>46080.6184770002</v>
      </c>
      <c r="K13" s="172" t="n">
        <f aca="false">SUM(K8:K12)</f>
        <v>47036.6717992071</v>
      </c>
      <c r="L13" s="172" t="n">
        <f aca="false">SUM(L8:L12)</f>
        <v>47672.8262721201</v>
      </c>
      <c r="M13" s="172" t="n">
        <f aca="false">SUM(M8:M12)</f>
        <v>48320.1462018541</v>
      </c>
      <c r="N13" s="172" t="n">
        <f aca="false">SUM(N8:N12)</f>
        <v>48976.8419619276</v>
      </c>
      <c r="O13" s="172" t="n">
        <f aca="false">SUM(O8:O12)</f>
        <v>49643.0664592496</v>
      </c>
      <c r="P13" s="172" t="n">
        <f aca="false">SUM(P8:P12)</f>
        <v>50318.9751114588</v>
      </c>
      <c r="Q13" s="172" t="n">
        <f aca="false">SUM(Q8:Q12)</f>
        <v>51114.9099854181</v>
      </c>
      <c r="R13" s="172" t="n">
        <f aca="false">SUM(R8:R12)</f>
        <v>51923.9278379467</v>
      </c>
      <c r="S13" s="172" t="n">
        <f aca="false">SUM(S8:S12)</f>
        <v>52746.2579358911</v>
      </c>
      <c r="T13" s="172" t="n">
        <f aca="false">SUM(T8:T12)</f>
        <v>53582.133956162</v>
      </c>
      <c r="U13" s="172" t="n">
        <f aca="false">SUM(U8:U12)</f>
        <v>54431.7940807213</v>
      </c>
      <c r="V13" s="316"/>
      <c r="W13" s="164" t="n">
        <f aca="false">SUM(B13:U13)</f>
        <v>926862.708724928</v>
      </c>
      <c r="X13" s="1"/>
      <c r="Y13" s="1"/>
      <c r="Z13" s="1"/>
      <c r="AA13" s="1"/>
      <c r="AB13" s="12"/>
      <c r="AC13" s="12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</row>
    <row r="14" customFormat="false" ht="12.75" hidden="false" customHeight="false" outlineLevel="0" collapsed="false">
      <c r="A14" s="317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316"/>
      <c r="W14" s="164"/>
      <c r="X14" s="1"/>
      <c r="Y14" s="1"/>
      <c r="Z14" s="1"/>
      <c r="AA14" s="1"/>
      <c r="AB14" s="12"/>
      <c r="AC14" s="12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</row>
    <row r="15" customFormat="false" ht="12.75" hidden="false" customHeight="false" outlineLevel="0" collapsed="false">
      <c r="A15" s="163" t="s">
        <v>110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W15" s="164"/>
      <c r="X15" s="1"/>
      <c r="Y15" s="1"/>
      <c r="Z15" s="1"/>
      <c r="AA15" s="1"/>
      <c r="AB15" s="12"/>
      <c r="AC15" s="12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316"/>
      <c r="AU15" s="316"/>
      <c r="AV15" s="316"/>
      <c r="AW15" s="316"/>
      <c r="AX15" s="316"/>
      <c r="AY15" s="316"/>
      <c r="AZ15" s="316"/>
      <c r="BA15" s="316"/>
      <c r="BB15" s="316"/>
      <c r="BC15" s="316"/>
      <c r="BD15" s="316"/>
      <c r="BE15" s="316"/>
      <c r="BF15" s="316"/>
      <c r="BG15" s="316"/>
      <c r="BH15" s="316"/>
      <c r="BI15" s="316"/>
      <c r="BJ15" s="316"/>
      <c r="BK15" s="316"/>
      <c r="BL15" s="316"/>
      <c r="BM15" s="316"/>
      <c r="BN15" s="316"/>
      <c r="BO15" s="316"/>
      <c r="BP15" s="316"/>
      <c r="BQ15" s="316"/>
      <c r="BR15" s="316"/>
      <c r="BS15" s="316"/>
      <c r="BT15" s="316"/>
      <c r="BU15" s="316"/>
      <c r="BV15" s="316"/>
      <c r="BW15" s="316"/>
      <c r="BX15" s="316"/>
      <c r="BY15" s="316"/>
      <c r="BZ15" s="316"/>
      <c r="CA15" s="316"/>
      <c r="CB15" s="316"/>
      <c r="CC15" s="316"/>
      <c r="CD15" s="316"/>
      <c r="CE15" s="316"/>
      <c r="CF15" s="316"/>
      <c r="CG15" s="316"/>
      <c r="CH15" s="316"/>
      <c r="CI15" s="316"/>
      <c r="CJ15" s="316"/>
      <c r="CK15" s="316"/>
      <c r="CL15" s="316"/>
      <c r="CM15" s="316"/>
      <c r="CN15" s="316"/>
      <c r="CO15" s="316"/>
      <c r="CP15" s="316"/>
      <c r="CQ15" s="316"/>
      <c r="CR15" s="316"/>
      <c r="CS15" s="316"/>
      <c r="CT15" s="316"/>
      <c r="CU15" s="316"/>
      <c r="CV15" s="316"/>
      <c r="CW15" s="316"/>
      <c r="CX15" s="316"/>
      <c r="CY15" s="316"/>
      <c r="CZ15" s="316"/>
      <c r="DA15" s="316"/>
      <c r="DB15" s="316"/>
      <c r="DC15" s="316"/>
      <c r="DD15" s="316"/>
      <c r="DE15" s="316"/>
      <c r="DF15" s="316"/>
      <c r="DG15" s="316"/>
      <c r="DH15" s="316"/>
      <c r="DI15" s="316"/>
      <c r="DJ15" s="316"/>
      <c r="DK15" s="316"/>
      <c r="DL15" s="316"/>
      <c r="DM15" s="316"/>
      <c r="DN15" s="316"/>
      <c r="DO15" s="316"/>
      <c r="DP15" s="316"/>
      <c r="DQ15" s="316"/>
      <c r="DR15" s="316"/>
      <c r="DS15" s="316"/>
      <c r="DT15" s="316"/>
      <c r="DU15" s="316"/>
      <c r="DV15" s="316"/>
      <c r="DW15" s="316"/>
      <c r="DX15" s="316"/>
      <c r="DY15" s="316"/>
      <c r="DZ15" s="316"/>
      <c r="EA15" s="316"/>
      <c r="EB15" s="316"/>
      <c r="EC15" s="316"/>
      <c r="ED15" s="316"/>
      <c r="EE15" s="316"/>
      <c r="EF15" s="316"/>
      <c r="EG15" s="316"/>
      <c r="EH15" s="316"/>
      <c r="EI15" s="316"/>
      <c r="EJ15" s="316"/>
      <c r="EK15" s="316"/>
      <c r="EL15" s="316"/>
      <c r="EM15" s="316"/>
      <c r="EN15" s="316"/>
      <c r="EO15" s="316"/>
      <c r="EP15" s="316"/>
      <c r="EQ15" s="316"/>
      <c r="ER15" s="316"/>
      <c r="ES15" s="316"/>
      <c r="ET15" s="316"/>
      <c r="EU15" s="316"/>
      <c r="EV15" s="316"/>
      <c r="EW15" s="316"/>
      <c r="EX15" s="316"/>
      <c r="EY15" s="316"/>
      <c r="EZ15" s="316"/>
      <c r="FA15" s="316"/>
      <c r="FB15" s="316"/>
      <c r="FC15" s="316"/>
      <c r="FD15" s="316"/>
      <c r="FE15" s="316"/>
      <c r="FF15" s="316"/>
      <c r="FG15" s="316"/>
      <c r="FH15" s="316"/>
      <c r="FI15" s="316"/>
      <c r="FJ15" s="316"/>
      <c r="FK15" s="316"/>
      <c r="FL15" s="316"/>
      <c r="FM15" s="316"/>
      <c r="FN15" s="316"/>
      <c r="FO15" s="316"/>
      <c r="FP15" s="316"/>
      <c r="FQ15" s="316"/>
      <c r="FR15" s="316"/>
      <c r="FS15" s="316"/>
      <c r="FT15" s="316"/>
      <c r="FU15" s="316"/>
      <c r="FV15" s="316"/>
      <c r="FW15" s="316"/>
      <c r="FX15" s="316"/>
      <c r="FY15" s="316"/>
      <c r="FZ15" s="316"/>
      <c r="GA15" s="316"/>
      <c r="GB15" s="316"/>
      <c r="GC15" s="316"/>
      <c r="GD15" s="316"/>
      <c r="GE15" s="316"/>
      <c r="GF15" s="316"/>
      <c r="GG15" s="316"/>
      <c r="GH15" s="316"/>
      <c r="GI15" s="316"/>
      <c r="GJ15" s="316"/>
      <c r="GK15" s="316"/>
      <c r="GL15" s="316"/>
      <c r="GM15" s="316"/>
      <c r="GN15" s="316"/>
      <c r="GO15" s="316"/>
      <c r="GP15" s="316"/>
      <c r="GQ15" s="316"/>
      <c r="GR15" s="316"/>
      <c r="GS15" s="316"/>
      <c r="GT15" s="316"/>
      <c r="GU15" s="316"/>
      <c r="GV15" s="316"/>
      <c r="GW15" s="316"/>
      <c r="GX15" s="316"/>
      <c r="GY15" s="316"/>
      <c r="GZ15" s="316"/>
      <c r="HA15" s="316"/>
      <c r="HB15" s="316"/>
      <c r="HC15" s="316"/>
      <c r="HD15" s="316"/>
      <c r="HE15" s="316"/>
      <c r="HF15" s="316"/>
      <c r="HG15" s="316"/>
      <c r="HH15" s="316"/>
      <c r="HI15" s="316"/>
      <c r="HJ15" s="316"/>
      <c r="HK15" s="316"/>
      <c r="HL15" s="316"/>
      <c r="HM15" s="316"/>
      <c r="HN15" s="316"/>
      <c r="HO15" s="316"/>
      <c r="HP15" s="316"/>
      <c r="HQ15" s="316"/>
      <c r="HR15" s="316"/>
      <c r="HS15" s="316"/>
      <c r="HT15" s="316"/>
      <c r="HU15" s="316"/>
      <c r="HV15" s="316"/>
      <c r="HW15" s="316"/>
      <c r="HX15" s="316"/>
      <c r="HY15" s="316"/>
      <c r="HZ15" s="316"/>
      <c r="IA15" s="316"/>
      <c r="IB15" s="316"/>
      <c r="IC15" s="316"/>
      <c r="ID15" s="316"/>
      <c r="IE15" s="316"/>
      <c r="IF15" s="316"/>
      <c r="IG15" s="316"/>
      <c r="IH15" s="316"/>
      <c r="II15" s="316"/>
      <c r="IJ15" s="316"/>
      <c r="IK15" s="316"/>
      <c r="IL15" s="316"/>
      <c r="IM15" s="316"/>
      <c r="IN15" s="316"/>
      <c r="IO15" s="316"/>
      <c r="IP15" s="316"/>
      <c r="IQ15" s="316"/>
      <c r="IR15" s="316"/>
      <c r="IS15" s="316"/>
      <c r="IT15" s="316"/>
      <c r="IU15" s="316"/>
      <c r="IV15" s="316"/>
      <c r="IW15" s="316"/>
    </row>
    <row r="16" customFormat="false" ht="12.75" hidden="false" customHeight="false" outlineLevel="0" collapsed="false">
      <c r="A16" s="169" t="s">
        <v>73</v>
      </c>
      <c r="B16" s="153" t="n">
        <f aca="false">Assumptions!D28*(1+Assumptions!$D$25)</f>
        <v>1561.26399428571</v>
      </c>
      <c r="C16" s="164" t="n">
        <f aca="false">B16*(1+Assumptions!$D$25)</f>
        <v>1608.10191411429</v>
      </c>
      <c r="D16" s="164" t="n">
        <f aca="false">C16*(1+Assumptions!$D$25)</f>
        <v>1656.34497153771</v>
      </c>
      <c r="E16" s="164" t="n">
        <f aca="false">D16*(1+Assumptions!$D$25)</f>
        <v>1706.03532068385</v>
      </c>
      <c r="F16" s="164" t="n">
        <f aca="false">E16*(1+Assumptions!$D$25)</f>
        <v>1757.21638030436</v>
      </c>
      <c r="G16" s="164" t="n">
        <f aca="false">F16*(1+Assumptions!$D$25)</f>
        <v>1809.93287171349</v>
      </c>
      <c r="H16" s="164" t="n">
        <f aca="false">G16*(1+Assumptions!$D$25)</f>
        <v>1864.2308578649</v>
      </c>
      <c r="I16" s="164" t="n">
        <f aca="false">H16*(1+Assumptions!$D$25)</f>
        <v>1920.15778360084</v>
      </c>
      <c r="J16" s="164" t="n">
        <f aca="false">I16*(1+Assumptions!$D$25)</f>
        <v>1977.76251710887</v>
      </c>
      <c r="K16" s="164" t="n">
        <f aca="false">J16*(1+Assumptions!$D$25)</f>
        <v>2037.09539262214</v>
      </c>
      <c r="L16" s="164" t="n">
        <f aca="false">K16*(1+Assumptions!$D$25)</f>
        <v>2098.2082544008</v>
      </c>
      <c r="M16" s="164" t="n">
        <f aca="false">L16*(1+Assumptions!$D$25)</f>
        <v>2161.15450203282</v>
      </c>
      <c r="N16" s="164" t="n">
        <f aca="false">M16*(1+Assumptions!$D$25)</f>
        <v>2225.98913709381</v>
      </c>
      <c r="O16" s="164" t="n">
        <f aca="false">N16*(1+Assumptions!$D$25)</f>
        <v>2292.76881120662</v>
      </c>
      <c r="P16" s="164" t="n">
        <f aca="false">O16*(1+Assumptions!$D$25)</f>
        <v>2361.55187554282</v>
      </c>
      <c r="Q16" s="164" t="n">
        <f aca="false">P16*(1+Assumptions!$D$25)</f>
        <v>2432.39843180911</v>
      </c>
      <c r="R16" s="164" t="n">
        <f aca="false">Q16*(1+Assumptions!$D$25)</f>
        <v>2505.37038476338</v>
      </c>
      <c r="S16" s="164" t="n">
        <f aca="false">R16*(1+Assumptions!$D$25)</f>
        <v>2580.53149630628</v>
      </c>
      <c r="T16" s="164" t="n">
        <f aca="false">S16*(1+Assumptions!$D$25)</f>
        <v>2657.94744119547</v>
      </c>
      <c r="U16" s="164" t="n">
        <f aca="false">T16*(1+Assumptions!$D$25)</f>
        <v>2737.68586443133</v>
      </c>
      <c r="W16" s="164" t="n">
        <f aca="false">SUM(B16:U16)</f>
        <v>41951.7482026186</v>
      </c>
      <c r="X16" s="1"/>
      <c r="Y16" s="1"/>
      <c r="Z16" s="1"/>
      <c r="AA16" s="1"/>
      <c r="AB16" s="12"/>
      <c r="AC16" s="12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316"/>
      <c r="AU16" s="316"/>
      <c r="AV16" s="316"/>
      <c r="AW16" s="316"/>
      <c r="AX16" s="316"/>
      <c r="AY16" s="316"/>
      <c r="AZ16" s="316"/>
      <c r="BA16" s="316"/>
      <c r="BB16" s="316"/>
      <c r="BC16" s="316"/>
      <c r="BD16" s="316"/>
      <c r="BE16" s="316"/>
      <c r="BF16" s="316"/>
      <c r="BG16" s="316"/>
      <c r="BH16" s="316"/>
      <c r="BI16" s="316"/>
      <c r="BJ16" s="316"/>
      <c r="BK16" s="316"/>
      <c r="BL16" s="316"/>
      <c r="BM16" s="316"/>
      <c r="BN16" s="316"/>
      <c r="BO16" s="316"/>
      <c r="BP16" s="316"/>
      <c r="BQ16" s="316"/>
      <c r="BR16" s="316"/>
      <c r="BS16" s="316"/>
      <c r="BT16" s="316"/>
      <c r="BU16" s="316"/>
      <c r="BV16" s="316"/>
      <c r="BW16" s="316"/>
      <c r="BX16" s="316"/>
      <c r="BY16" s="316"/>
      <c r="BZ16" s="316"/>
      <c r="CA16" s="316"/>
      <c r="CB16" s="316"/>
      <c r="CC16" s="316"/>
      <c r="CD16" s="316"/>
      <c r="CE16" s="316"/>
      <c r="CF16" s="316"/>
      <c r="CG16" s="316"/>
      <c r="CH16" s="316"/>
      <c r="CI16" s="316"/>
      <c r="CJ16" s="316"/>
      <c r="CK16" s="316"/>
      <c r="CL16" s="316"/>
      <c r="CM16" s="316"/>
      <c r="CN16" s="316"/>
      <c r="CO16" s="316"/>
      <c r="CP16" s="316"/>
      <c r="CQ16" s="316"/>
      <c r="CR16" s="316"/>
      <c r="CS16" s="316"/>
      <c r="CT16" s="316"/>
      <c r="CU16" s="316"/>
      <c r="CV16" s="316"/>
      <c r="CW16" s="316"/>
      <c r="CX16" s="316"/>
      <c r="CY16" s="316"/>
      <c r="CZ16" s="316"/>
      <c r="DA16" s="316"/>
      <c r="DB16" s="316"/>
      <c r="DC16" s="316"/>
      <c r="DD16" s="316"/>
      <c r="DE16" s="316"/>
      <c r="DF16" s="316"/>
      <c r="DG16" s="316"/>
      <c r="DH16" s="316"/>
      <c r="DI16" s="316"/>
      <c r="DJ16" s="316"/>
      <c r="DK16" s="316"/>
      <c r="DL16" s="316"/>
      <c r="DM16" s="316"/>
      <c r="DN16" s="316"/>
      <c r="DO16" s="316"/>
      <c r="DP16" s="316"/>
      <c r="DQ16" s="316"/>
      <c r="DR16" s="316"/>
      <c r="DS16" s="316"/>
      <c r="DT16" s="316"/>
      <c r="DU16" s="316"/>
      <c r="DV16" s="316"/>
      <c r="DW16" s="316"/>
      <c r="DX16" s="316"/>
      <c r="DY16" s="316"/>
      <c r="DZ16" s="316"/>
      <c r="EA16" s="316"/>
      <c r="EB16" s="316"/>
      <c r="EC16" s="316"/>
      <c r="ED16" s="316"/>
      <c r="EE16" s="316"/>
      <c r="EF16" s="316"/>
      <c r="EG16" s="316"/>
      <c r="EH16" s="316"/>
      <c r="EI16" s="316"/>
      <c r="EJ16" s="316"/>
      <c r="EK16" s="316"/>
      <c r="EL16" s="316"/>
      <c r="EM16" s="316"/>
      <c r="EN16" s="316"/>
      <c r="EO16" s="316"/>
      <c r="EP16" s="316"/>
      <c r="EQ16" s="316"/>
      <c r="ER16" s="316"/>
      <c r="ES16" s="316"/>
      <c r="ET16" s="316"/>
      <c r="EU16" s="316"/>
      <c r="EV16" s="316"/>
      <c r="EW16" s="316"/>
      <c r="EX16" s="316"/>
      <c r="EY16" s="316"/>
      <c r="EZ16" s="316"/>
      <c r="FA16" s="316"/>
      <c r="FB16" s="316"/>
      <c r="FC16" s="316"/>
      <c r="FD16" s="316"/>
      <c r="FE16" s="316"/>
      <c r="FF16" s="316"/>
      <c r="FG16" s="316"/>
      <c r="FH16" s="316"/>
      <c r="FI16" s="316"/>
      <c r="FJ16" s="316"/>
      <c r="FK16" s="316"/>
      <c r="FL16" s="316"/>
      <c r="FM16" s="316"/>
      <c r="FN16" s="316"/>
      <c r="FO16" s="316"/>
      <c r="FP16" s="316"/>
      <c r="FQ16" s="316"/>
      <c r="FR16" s="316"/>
      <c r="FS16" s="316"/>
      <c r="FT16" s="316"/>
      <c r="FU16" s="316"/>
      <c r="FV16" s="316"/>
      <c r="FW16" s="316"/>
      <c r="FX16" s="316"/>
      <c r="FY16" s="316"/>
      <c r="FZ16" s="316"/>
      <c r="GA16" s="316"/>
      <c r="GB16" s="316"/>
      <c r="GC16" s="316"/>
      <c r="GD16" s="316"/>
      <c r="GE16" s="316"/>
      <c r="GF16" s="316"/>
      <c r="GG16" s="316"/>
      <c r="GH16" s="316"/>
      <c r="GI16" s="316"/>
      <c r="GJ16" s="316"/>
      <c r="GK16" s="316"/>
      <c r="GL16" s="316"/>
      <c r="GM16" s="316"/>
      <c r="GN16" s="316"/>
      <c r="GO16" s="316"/>
      <c r="GP16" s="316"/>
      <c r="GQ16" s="316"/>
      <c r="GR16" s="316"/>
      <c r="GS16" s="316"/>
      <c r="GT16" s="316"/>
      <c r="GU16" s="316"/>
      <c r="GV16" s="316"/>
      <c r="GW16" s="316"/>
      <c r="GX16" s="316"/>
      <c r="GY16" s="316"/>
      <c r="GZ16" s="316"/>
      <c r="HA16" s="316"/>
      <c r="HB16" s="316"/>
      <c r="HC16" s="316"/>
      <c r="HD16" s="316"/>
      <c r="HE16" s="316"/>
      <c r="HF16" s="316"/>
      <c r="HG16" s="316"/>
      <c r="HH16" s="316"/>
      <c r="HI16" s="316"/>
      <c r="HJ16" s="316"/>
      <c r="HK16" s="316"/>
      <c r="HL16" s="316"/>
      <c r="HM16" s="316"/>
      <c r="HN16" s="316"/>
      <c r="HO16" s="316"/>
      <c r="HP16" s="316"/>
      <c r="HQ16" s="316"/>
      <c r="HR16" s="316"/>
      <c r="HS16" s="316"/>
      <c r="HT16" s="316"/>
      <c r="HU16" s="316"/>
      <c r="HV16" s="316"/>
      <c r="HW16" s="316"/>
      <c r="HX16" s="316"/>
      <c r="HY16" s="316"/>
      <c r="HZ16" s="316"/>
      <c r="IA16" s="316"/>
      <c r="IB16" s="316"/>
      <c r="IC16" s="316"/>
      <c r="ID16" s="316"/>
      <c r="IE16" s="316"/>
      <c r="IF16" s="316"/>
      <c r="IG16" s="316"/>
      <c r="IH16" s="316"/>
      <c r="II16" s="316"/>
      <c r="IJ16" s="316"/>
      <c r="IK16" s="316"/>
      <c r="IL16" s="316"/>
      <c r="IM16" s="316"/>
      <c r="IN16" s="316"/>
      <c r="IO16" s="316"/>
      <c r="IP16" s="316"/>
      <c r="IQ16" s="316"/>
      <c r="IR16" s="316"/>
      <c r="IS16" s="316"/>
      <c r="IT16" s="316"/>
      <c r="IU16" s="316"/>
      <c r="IV16" s="316"/>
      <c r="IW16" s="316"/>
    </row>
    <row r="17" customFormat="false" ht="12.75" hidden="false" customHeight="false" outlineLevel="0" collapsed="false">
      <c r="A17" s="169" t="s">
        <v>74</v>
      </c>
      <c r="B17" s="153" t="n">
        <f aca="false">Assumptions!$D$29*(1+Assumptions!$D$25)</f>
        <v>1425.45631053572</v>
      </c>
      <c r="C17" s="172" t="n">
        <f aca="false">B17*(1+Assumptions!$D$25)</f>
        <v>1468.21999985179</v>
      </c>
      <c r="D17" s="172" t="n">
        <f aca="false">C17*(1+Assumptions!$D$25)</f>
        <v>1512.26659984734</v>
      </c>
      <c r="E17" s="153" t="n">
        <f aca="false">Assumptions!$D$19*Assumptions!$D$23*(1+Assumptions!$D$25)^(E5-2000)/1000</f>
        <v>1557.63459784276</v>
      </c>
      <c r="F17" s="153" t="n">
        <f aca="false">Assumptions!$D$19*Assumptions!$D$23*(1+Assumptions!$D$25)^(F5-2000)/1000</f>
        <v>1604.36363577804</v>
      </c>
      <c r="G17" s="153" t="n">
        <f aca="false">Assumptions!$D$19*Assumptions!$D$23*(1+Assumptions!$D$25)^(G5-2000)/1000</f>
        <v>1652.49454485139</v>
      </c>
      <c r="H17" s="153" t="n">
        <f aca="false">Assumptions!$D$19*Assumptions!$D$23*(1+Assumptions!$D$25)^(H5-2000)/1000</f>
        <v>1702.06938119693</v>
      </c>
      <c r="I17" s="153" t="n">
        <f aca="false">Assumptions!$D$19*Assumptions!$D$23*(1+Assumptions!$D$25)^(I5-2000)/1000</f>
        <v>1753.13146263283</v>
      </c>
      <c r="J17" s="153" t="n">
        <f aca="false">Assumptions!$D$19*Assumptions!$D$23*(1+Assumptions!$D$25)^(J5-2000)/1000</f>
        <v>1805.72540651182</v>
      </c>
      <c r="K17" s="153" t="n">
        <f aca="false">Assumptions!$D$19*Assumptions!$D$23*(1+Assumptions!$D$25)^(K5-2000)/1000</f>
        <v>1859.89716870717</v>
      </c>
      <c r="L17" s="153" t="n">
        <f aca="false">Assumptions!$D$19*Assumptions!$D$23*(1+Assumptions!$D$25)^(L5-2000)/1000</f>
        <v>1915.69408376839</v>
      </c>
      <c r="M17" s="153" t="n">
        <f aca="false">Assumptions!$D$19*Assumptions!$D$23*(1+Assumptions!$D$25)^(M5-2000)/1000</f>
        <v>1973.16490628144</v>
      </c>
      <c r="N17" s="153" t="n">
        <f aca="false">Assumptions!$D$19*Assumptions!$D$23*(1+Assumptions!$D$25)^(N5-2000)/1000</f>
        <v>2032.35985346988</v>
      </c>
      <c r="O17" s="153" t="n">
        <f aca="false">Assumptions!$D$19*Assumptions!$D$23*(1+Assumptions!$D$25)^(O5-2000)/1000</f>
        <v>2093.33064907398</v>
      </c>
      <c r="P17" s="153" t="n">
        <f aca="false">Assumptions!$D$19*Assumptions!$D$23*(1+Assumptions!$D$25)^(P5-2000)/1000</f>
        <v>2156.1305685462</v>
      </c>
      <c r="Q17" s="153" t="n">
        <f aca="false">Assumptions!$D$19*Assumptions!$D$23*(1+Assumptions!$D$25)^(Q5-2000)/1000</f>
        <v>2220.81448560259</v>
      </c>
      <c r="R17" s="153" t="n">
        <f aca="false">Assumptions!$D$19*Assumptions!$D$23*(1+Assumptions!$D$25)^(R5-2000)/1000</f>
        <v>2287.43892017066</v>
      </c>
      <c r="S17" s="153" t="n">
        <f aca="false">Assumptions!$D$19*Assumptions!$D$23*(1+Assumptions!$D$25)^(S5-2000)/1000</f>
        <v>2356.06208777578</v>
      </c>
      <c r="T17" s="153" t="n">
        <f aca="false">Assumptions!$D$19*Assumptions!$D$23*(1+Assumptions!$D$25)^(T5-2000)/1000</f>
        <v>2426.74395040906</v>
      </c>
      <c r="U17" s="153" t="n">
        <f aca="false">Assumptions!$D$19*Assumptions!$D$23*(1+Assumptions!$D$25)^(U5-2000)/1000</f>
        <v>2499.54626892133</v>
      </c>
      <c r="W17" s="164" t="n">
        <f aca="false">SUM(B17:U17)</f>
        <v>38302.5448817751</v>
      </c>
      <c r="X17" s="1"/>
      <c r="Y17" s="1"/>
      <c r="Z17" s="1"/>
      <c r="AA17" s="1"/>
      <c r="AB17" s="12"/>
      <c r="AC17" s="12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316"/>
      <c r="AU17" s="316"/>
      <c r="AV17" s="316"/>
      <c r="AW17" s="316"/>
      <c r="AX17" s="316"/>
      <c r="AY17" s="316"/>
      <c r="AZ17" s="316"/>
      <c r="BA17" s="316"/>
      <c r="BB17" s="316"/>
      <c r="BC17" s="316"/>
      <c r="BD17" s="316"/>
      <c r="BE17" s="316"/>
      <c r="BF17" s="316"/>
      <c r="BG17" s="316"/>
      <c r="BH17" s="316"/>
      <c r="BI17" s="316"/>
      <c r="BJ17" s="316"/>
      <c r="BK17" s="316"/>
      <c r="BL17" s="316"/>
      <c r="BM17" s="316"/>
      <c r="BN17" s="316"/>
      <c r="BO17" s="316"/>
      <c r="BP17" s="316"/>
      <c r="BQ17" s="316"/>
      <c r="BR17" s="316"/>
      <c r="BS17" s="316"/>
      <c r="BT17" s="316"/>
      <c r="BU17" s="316"/>
      <c r="BV17" s="316"/>
      <c r="BW17" s="316"/>
      <c r="BX17" s="316"/>
      <c r="BY17" s="316"/>
      <c r="BZ17" s="316"/>
      <c r="CA17" s="316"/>
      <c r="CB17" s="316"/>
      <c r="CC17" s="316"/>
      <c r="CD17" s="316"/>
      <c r="CE17" s="316"/>
      <c r="CF17" s="316"/>
      <c r="CG17" s="316"/>
      <c r="CH17" s="316"/>
      <c r="CI17" s="316"/>
      <c r="CJ17" s="316"/>
      <c r="CK17" s="316"/>
      <c r="CL17" s="316"/>
      <c r="CM17" s="316"/>
      <c r="CN17" s="316"/>
      <c r="CO17" s="316"/>
      <c r="CP17" s="316"/>
      <c r="CQ17" s="316"/>
      <c r="CR17" s="316"/>
      <c r="CS17" s="316"/>
      <c r="CT17" s="316"/>
      <c r="CU17" s="316"/>
      <c r="CV17" s="316"/>
      <c r="CW17" s="316"/>
      <c r="CX17" s="316"/>
      <c r="CY17" s="316"/>
      <c r="CZ17" s="316"/>
      <c r="DA17" s="316"/>
      <c r="DB17" s="316"/>
      <c r="DC17" s="316"/>
      <c r="DD17" s="316"/>
      <c r="DE17" s="316"/>
      <c r="DF17" s="316"/>
      <c r="DG17" s="316"/>
      <c r="DH17" s="316"/>
      <c r="DI17" s="316"/>
      <c r="DJ17" s="316"/>
      <c r="DK17" s="316"/>
      <c r="DL17" s="316"/>
      <c r="DM17" s="316"/>
      <c r="DN17" s="316"/>
      <c r="DO17" s="316"/>
      <c r="DP17" s="316"/>
      <c r="DQ17" s="316"/>
      <c r="DR17" s="316"/>
      <c r="DS17" s="316"/>
      <c r="DT17" s="316"/>
      <c r="DU17" s="316"/>
      <c r="DV17" s="316"/>
      <c r="DW17" s="316"/>
      <c r="DX17" s="316"/>
      <c r="DY17" s="316"/>
      <c r="DZ17" s="316"/>
      <c r="EA17" s="316"/>
      <c r="EB17" s="316"/>
      <c r="EC17" s="316"/>
      <c r="ED17" s="316"/>
      <c r="EE17" s="316"/>
      <c r="EF17" s="316"/>
      <c r="EG17" s="316"/>
      <c r="EH17" s="316"/>
      <c r="EI17" s="316"/>
      <c r="EJ17" s="316"/>
      <c r="EK17" s="316"/>
      <c r="EL17" s="316"/>
      <c r="EM17" s="316"/>
      <c r="EN17" s="316"/>
      <c r="EO17" s="316"/>
      <c r="EP17" s="316"/>
      <c r="EQ17" s="316"/>
      <c r="ER17" s="316"/>
      <c r="ES17" s="316"/>
      <c r="ET17" s="316"/>
      <c r="EU17" s="316"/>
      <c r="EV17" s="316"/>
      <c r="EW17" s="316"/>
      <c r="EX17" s="316"/>
      <c r="EY17" s="316"/>
      <c r="EZ17" s="316"/>
      <c r="FA17" s="316"/>
      <c r="FB17" s="316"/>
      <c r="FC17" s="316"/>
      <c r="FD17" s="316"/>
      <c r="FE17" s="316"/>
      <c r="FF17" s="316"/>
      <c r="FG17" s="316"/>
      <c r="FH17" s="316"/>
      <c r="FI17" s="316"/>
      <c r="FJ17" s="316"/>
      <c r="FK17" s="316"/>
      <c r="FL17" s="316"/>
      <c r="FM17" s="316"/>
      <c r="FN17" s="316"/>
      <c r="FO17" s="316"/>
      <c r="FP17" s="316"/>
      <c r="FQ17" s="316"/>
      <c r="FR17" s="316"/>
      <c r="FS17" s="316"/>
      <c r="FT17" s="316"/>
      <c r="FU17" s="316"/>
      <c r="FV17" s="316"/>
      <c r="FW17" s="316"/>
      <c r="FX17" s="316"/>
      <c r="FY17" s="316"/>
      <c r="FZ17" s="316"/>
      <c r="GA17" s="316"/>
      <c r="GB17" s="316"/>
      <c r="GC17" s="316"/>
      <c r="GD17" s="316"/>
      <c r="GE17" s="316"/>
      <c r="GF17" s="316"/>
      <c r="GG17" s="316"/>
      <c r="GH17" s="316"/>
      <c r="GI17" s="316"/>
      <c r="GJ17" s="316"/>
      <c r="GK17" s="316"/>
      <c r="GL17" s="316"/>
      <c r="GM17" s="316"/>
      <c r="GN17" s="316"/>
      <c r="GO17" s="316"/>
      <c r="GP17" s="316"/>
      <c r="GQ17" s="316"/>
      <c r="GR17" s="316"/>
      <c r="GS17" s="316"/>
      <c r="GT17" s="316"/>
      <c r="GU17" s="316"/>
      <c r="GV17" s="316"/>
      <c r="GW17" s="316"/>
      <c r="GX17" s="316"/>
      <c r="GY17" s="316"/>
      <c r="GZ17" s="316"/>
      <c r="HA17" s="316"/>
      <c r="HB17" s="316"/>
      <c r="HC17" s="316"/>
      <c r="HD17" s="316"/>
      <c r="HE17" s="316"/>
      <c r="HF17" s="316"/>
      <c r="HG17" s="316"/>
      <c r="HH17" s="316"/>
      <c r="HI17" s="316"/>
      <c r="HJ17" s="316"/>
      <c r="HK17" s="316"/>
      <c r="HL17" s="316"/>
      <c r="HM17" s="316"/>
      <c r="HN17" s="316"/>
      <c r="HO17" s="316"/>
      <c r="HP17" s="316"/>
      <c r="HQ17" s="316"/>
      <c r="HR17" s="316"/>
      <c r="HS17" s="316"/>
      <c r="HT17" s="316"/>
      <c r="HU17" s="316"/>
      <c r="HV17" s="316"/>
      <c r="HW17" s="316"/>
      <c r="HX17" s="316"/>
      <c r="HY17" s="316"/>
      <c r="HZ17" s="316"/>
      <c r="IA17" s="316"/>
      <c r="IB17" s="316"/>
      <c r="IC17" s="316"/>
      <c r="ID17" s="316"/>
      <c r="IE17" s="316"/>
      <c r="IF17" s="316"/>
      <c r="IG17" s="316"/>
      <c r="IH17" s="316"/>
      <c r="II17" s="316"/>
      <c r="IJ17" s="316"/>
      <c r="IK17" s="316"/>
      <c r="IL17" s="316"/>
      <c r="IM17" s="316"/>
      <c r="IN17" s="316"/>
      <c r="IO17" s="316"/>
      <c r="IP17" s="316"/>
      <c r="IQ17" s="316"/>
      <c r="IR17" s="316"/>
      <c r="IS17" s="316"/>
      <c r="IT17" s="316"/>
      <c r="IU17" s="316"/>
      <c r="IV17" s="316"/>
      <c r="IW17" s="316"/>
    </row>
    <row r="18" customFormat="false" ht="12.75" hidden="false" customHeight="false" outlineLevel="0" collapsed="false">
      <c r="A18" s="169" t="s">
        <v>111</v>
      </c>
      <c r="B18" s="153" t="n">
        <f aca="false">Assumptions!$D$24*Assumptions!$D$11*Assumptions!$D$8/1000*(1+Assumptions!$D$25)</f>
        <v>463.5</v>
      </c>
      <c r="C18" s="164" t="n">
        <f aca="false">B18*(1+Assumptions!$D$25)</f>
        <v>477.405</v>
      </c>
      <c r="D18" s="164" t="n">
        <f aca="false">C18*(1+Assumptions!$D$25)</f>
        <v>491.72715</v>
      </c>
      <c r="E18" s="164" t="n">
        <f aca="false">D18*(1+Assumptions!$D$25)</f>
        <v>506.4789645</v>
      </c>
      <c r="F18" s="164" t="n">
        <f aca="false">E18*(1+Assumptions!$D$25)</f>
        <v>521.673333435</v>
      </c>
      <c r="G18" s="164" t="n">
        <f aca="false">F18*(1+Assumptions!$D$25)</f>
        <v>537.32353343805</v>
      </c>
      <c r="H18" s="164" t="n">
        <f aca="false">G18*(1+Assumptions!$D$25)</f>
        <v>553.443239441192</v>
      </c>
      <c r="I18" s="164" t="n">
        <f aca="false">H18*(1+Assumptions!$D$25)</f>
        <v>570.046536624428</v>
      </c>
      <c r="J18" s="164" t="n">
        <f aca="false">I18*(1+Assumptions!$D$25)</f>
        <v>587.14793272316</v>
      </c>
      <c r="K18" s="164" t="n">
        <f aca="false">J18*(1+Assumptions!$D$25)</f>
        <v>604.762370704855</v>
      </c>
      <c r="L18" s="164" t="n">
        <f aca="false">K18*(1+Assumptions!$D$25)</f>
        <v>622.905241826001</v>
      </c>
      <c r="M18" s="164" t="n">
        <f aca="false">L18*(1+Assumptions!$D$25)</f>
        <v>641.592399080781</v>
      </c>
      <c r="N18" s="164" t="n">
        <f aca="false">M18*(1+Assumptions!$D$25)</f>
        <v>660.840171053204</v>
      </c>
      <c r="O18" s="164" t="n">
        <f aca="false">N18*(1+Assumptions!$D$25)</f>
        <v>680.6653761848</v>
      </c>
      <c r="P18" s="164" t="n">
        <f aca="false">O18*(1+Assumptions!$D$25)</f>
        <v>701.085337470344</v>
      </c>
      <c r="Q18" s="164" t="n">
        <f aca="false">P18*(1+Assumptions!$D$25)</f>
        <v>722.117897594455</v>
      </c>
      <c r="R18" s="164" t="n">
        <f aca="false">Q18*(1+Assumptions!$D$25)</f>
        <v>743.781434522288</v>
      </c>
      <c r="S18" s="164" t="n">
        <f aca="false">R18*(1+Assumptions!$D$25)</f>
        <v>766.094877557957</v>
      </c>
      <c r="T18" s="164" t="n">
        <f aca="false">S18*(1+Assumptions!$D$25)</f>
        <v>789.077723884696</v>
      </c>
      <c r="U18" s="164" t="n">
        <f aca="false">T18*(1+Assumptions!$D$25)</f>
        <v>812.750055601237</v>
      </c>
      <c r="W18" s="164" t="n">
        <f aca="false">SUM(B18:U18)</f>
        <v>12454.4185756424</v>
      </c>
      <c r="X18" s="1"/>
      <c r="Y18" s="1"/>
      <c r="Z18" s="1"/>
      <c r="AA18" s="1"/>
      <c r="AB18" s="12"/>
      <c r="AC18" s="12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316"/>
      <c r="AU18" s="316"/>
      <c r="AV18" s="316"/>
      <c r="AW18" s="316"/>
      <c r="AX18" s="316"/>
      <c r="AY18" s="316"/>
      <c r="AZ18" s="316"/>
      <c r="BA18" s="316"/>
      <c r="BB18" s="316"/>
      <c r="BC18" s="316"/>
      <c r="BD18" s="316"/>
      <c r="BE18" s="316"/>
      <c r="BF18" s="316"/>
      <c r="BG18" s="316"/>
      <c r="BH18" s="316"/>
      <c r="BI18" s="316"/>
      <c r="BJ18" s="316"/>
      <c r="BK18" s="316"/>
      <c r="BL18" s="316"/>
      <c r="BM18" s="316"/>
      <c r="BN18" s="316"/>
      <c r="BO18" s="316"/>
      <c r="BP18" s="316"/>
      <c r="BQ18" s="316"/>
      <c r="BR18" s="316"/>
      <c r="BS18" s="316"/>
      <c r="BT18" s="316"/>
      <c r="BU18" s="316"/>
      <c r="BV18" s="316"/>
      <c r="BW18" s="316"/>
      <c r="BX18" s="316"/>
      <c r="BY18" s="316"/>
      <c r="BZ18" s="316"/>
      <c r="CA18" s="316"/>
      <c r="CB18" s="316"/>
      <c r="CC18" s="316"/>
      <c r="CD18" s="316"/>
      <c r="CE18" s="316"/>
      <c r="CF18" s="316"/>
      <c r="CG18" s="316"/>
      <c r="CH18" s="316"/>
      <c r="CI18" s="316"/>
      <c r="CJ18" s="316"/>
      <c r="CK18" s="316"/>
      <c r="CL18" s="316"/>
      <c r="CM18" s="316"/>
      <c r="CN18" s="316"/>
      <c r="CO18" s="316"/>
      <c r="CP18" s="316"/>
      <c r="CQ18" s="316"/>
      <c r="CR18" s="316"/>
      <c r="CS18" s="316"/>
      <c r="CT18" s="316"/>
      <c r="CU18" s="316"/>
      <c r="CV18" s="316"/>
      <c r="CW18" s="316"/>
      <c r="CX18" s="316"/>
      <c r="CY18" s="316"/>
      <c r="CZ18" s="316"/>
      <c r="DA18" s="316"/>
      <c r="DB18" s="316"/>
      <c r="DC18" s="316"/>
      <c r="DD18" s="316"/>
      <c r="DE18" s="316"/>
      <c r="DF18" s="316"/>
      <c r="DG18" s="316"/>
      <c r="DH18" s="316"/>
      <c r="DI18" s="316"/>
      <c r="DJ18" s="316"/>
      <c r="DK18" s="316"/>
      <c r="DL18" s="316"/>
      <c r="DM18" s="316"/>
      <c r="DN18" s="316"/>
      <c r="DO18" s="316"/>
      <c r="DP18" s="316"/>
      <c r="DQ18" s="316"/>
      <c r="DR18" s="316"/>
      <c r="DS18" s="316"/>
      <c r="DT18" s="316"/>
      <c r="DU18" s="316"/>
      <c r="DV18" s="316"/>
      <c r="DW18" s="316"/>
      <c r="DX18" s="316"/>
      <c r="DY18" s="316"/>
      <c r="DZ18" s="316"/>
      <c r="EA18" s="316"/>
      <c r="EB18" s="316"/>
      <c r="EC18" s="316"/>
      <c r="ED18" s="316"/>
      <c r="EE18" s="316"/>
      <c r="EF18" s="316"/>
      <c r="EG18" s="316"/>
      <c r="EH18" s="316"/>
      <c r="EI18" s="316"/>
      <c r="EJ18" s="316"/>
      <c r="EK18" s="316"/>
      <c r="EL18" s="316"/>
      <c r="EM18" s="316"/>
      <c r="EN18" s="316"/>
      <c r="EO18" s="316"/>
      <c r="EP18" s="316"/>
      <c r="EQ18" s="316"/>
      <c r="ER18" s="316"/>
      <c r="ES18" s="316"/>
      <c r="ET18" s="316"/>
      <c r="EU18" s="316"/>
      <c r="EV18" s="316"/>
      <c r="EW18" s="316"/>
      <c r="EX18" s="316"/>
      <c r="EY18" s="316"/>
      <c r="EZ18" s="316"/>
      <c r="FA18" s="316"/>
      <c r="FB18" s="316"/>
      <c r="FC18" s="316"/>
      <c r="FD18" s="316"/>
      <c r="FE18" s="316"/>
      <c r="FF18" s="316"/>
      <c r="FG18" s="316"/>
      <c r="FH18" s="316"/>
      <c r="FI18" s="316"/>
      <c r="FJ18" s="316"/>
      <c r="FK18" s="316"/>
      <c r="FL18" s="316"/>
      <c r="FM18" s="316"/>
      <c r="FN18" s="316"/>
      <c r="FO18" s="316"/>
      <c r="FP18" s="316"/>
      <c r="FQ18" s="316"/>
      <c r="FR18" s="316"/>
      <c r="FS18" s="316"/>
      <c r="FT18" s="316"/>
      <c r="FU18" s="316"/>
      <c r="FV18" s="316"/>
      <c r="FW18" s="316"/>
      <c r="FX18" s="316"/>
      <c r="FY18" s="316"/>
      <c r="FZ18" s="316"/>
      <c r="GA18" s="316"/>
      <c r="GB18" s="316"/>
      <c r="GC18" s="316"/>
      <c r="GD18" s="316"/>
      <c r="GE18" s="316"/>
      <c r="GF18" s="316"/>
      <c r="GG18" s="316"/>
      <c r="GH18" s="316"/>
      <c r="GI18" s="316"/>
      <c r="GJ18" s="316"/>
      <c r="GK18" s="316"/>
      <c r="GL18" s="316"/>
      <c r="GM18" s="316"/>
      <c r="GN18" s="316"/>
      <c r="GO18" s="316"/>
      <c r="GP18" s="316"/>
      <c r="GQ18" s="316"/>
      <c r="GR18" s="316"/>
      <c r="GS18" s="316"/>
      <c r="GT18" s="316"/>
      <c r="GU18" s="316"/>
      <c r="GV18" s="316"/>
      <c r="GW18" s="316"/>
      <c r="GX18" s="316"/>
      <c r="GY18" s="316"/>
      <c r="GZ18" s="316"/>
      <c r="HA18" s="316"/>
      <c r="HB18" s="316"/>
      <c r="HC18" s="316"/>
      <c r="HD18" s="316"/>
      <c r="HE18" s="316"/>
      <c r="HF18" s="316"/>
      <c r="HG18" s="316"/>
      <c r="HH18" s="316"/>
      <c r="HI18" s="316"/>
      <c r="HJ18" s="316"/>
      <c r="HK18" s="316"/>
      <c r="HL18" s="316"/>
      <c r="HM18" s="316"/>
      <c r="HN18" s="316"/>
      <c r="HO18" s="316"/>
      <c r="HP18" s="316"/>
      <c r="HQ18" s="316"/>
      <c r="HR18" s="316"/>
      <c r="HS18" s="316"/>
      <c r="HT18" s="316"/>
      <c r="HU18" s="316"/>
      <c r="HV18" s="316"/>
      <c r="HW18" s="316"/>
      <c r="HX18" s="316"/>
      <c r="HY18" s="316"/>
      <c r="HZ18" s="316"/>
      <c r="IA18" s="316"/>
      <c r="IB18" s="316"/>
      <c r="IC18" s="316"/>
      <c r="ID18" s="316"/>
      <c r="IE18" s="316"/>
      <c r="IF18" s="316"/>
      <c r="IG18" s="316"/>
      <c r="IH18" s="316"/>
      <c r="II18" s="316"/>
      <c r="IJ18" s="316"/>
      <c r="IK18" s="316"/>
      <c r="IL18" s="316"/>
      <c r="IM18" s="316"/>
      <c r="IN18" s="316"/>
      <c r="IO18" s="316"/>
      <c r="IP18" s="316"/>
      <c r="IQ18" s="316"/>
      <c r="IR18" s="316"/>
      <c r="IS18" s="316"/>
      <c r="IT18" s="316"/>
      <c r="IU18" s="316"/>
      <c r="IV18" s="316"/>
      <c r="IW18" s="316"/>
    </row>
    <row r="19" customFormat="false" ht="12.75" hidden="false" customHeight="false" outlineLevel="0" collapsed="false">
      <c r="A19" s="169" t="s">
        <v>76</v>
      </c>
      <c r="B19" s="153" t="n">
        <f aca="false">Assumptions!D31*(1+Assumptions!$D$25)</f>
        <v>315.455745714286</v>
      </c>
      <c r="C19" s="164" t="n">
        <f aca="false">B19*(1+Assumptions!$D$25)</f>
        <v>324.919418085714</v>
      </c>
      <c r="D19" s="164" t="n">
        <f aca="false">C19*(1+Assumptions!$D$25)</f>
        <v>334.667000628286</v>
      </c>
      <c r="E19" s="164" t="n">
        <f aca="false">D19*(1+Assumptions!$D$25)</f>
        <v>344.707010647134</v>
      </c>
      <c r="F19" s="164" t="n">
        <f aca="false">E19*(1+Assumptions!$D$25)</f>
        <v>355.048220966548</v>
      </c>
      <c r="G19" s="164" t="n">
        <f aca="false">F19*(1+Assumptions!$D$25)</f>
        <v>365.699667595545</v>
      </c>
      <c r="H19" s="164" t="n">
        <f aca="false">G19*(1+Assumptions!$D$25)</f>
        <v>376.670657623411</v>
      </c>
      <c r="I19" s="164" t="n">
        <f aca="false">H19*(1+Assumptions!$D$25)</f>
        <v>387.970777352113</v>
      </c>
      <c r="J19" s="164" t="n">
        <f aca="false">I19*(1+Assumptions!$D$25)</f>
        <v>399.609900672677</v>
      </c>
      <c r="K19" s="164" t="n">
        <f aca="false">J19*(1+Assumptions!$D$25)</f>
        <v>411.598197692857</v>
      </c>
      <c r="L19" s="164" t="n">
        <f aca="false">K19*(1+Assumptions!$D$25)</f>
        <v>423.946143623643</v>
      </c>
      <c r="M19" s="164" t="n">
        <f aca="false">L19*(1+Assumptions!$D$25)</f>
        <v>436.664527932352</v>
      </c>
      <c r="N19" s="164" t="n">
        <f aca="false">M19*(1+Assumptions!$D$25)</f>
        <v>449.764463770323</v>
      </c>
      <c r="O19" s="164" t="n">
        <f aca="false">N19*(1+Assumptions!$D$25)</f>
        <v>463.257397683432</v>
      </c>
      <c r="P19" s="164" t="n">
        <f aca="false">O19*(1+Assumptions!$D$25)</f>
        <v>477.155119613935</v>
      </c>
      <c r="Q19" s="164" t="n">
        <f aca="false">P19*(1+Assumptions!$D$25)</f>
        <v>491.469773202354</v>
      </c>
      <c r="R19" s="164" t="n">
        <f aca="false">Q19*(1+Assumptions!$D$25)</f>
        <v>506.213866398424</v>
      </c>
      <c r="S19" s="164" t="n">
        <f aca="false">R19*(1+Assumptions!$D$25)</f>
        <v>521.400282390377</v>
      </c>
      <c r="T19" s="164" t="n">
        <f aca="false">S19*(1+Assumptions!$D$25)</f>
        <v>537.042290862088</v>
      </c>
      <c r="U19" s="164" t="n">
        <f aca="false">T19*(1+Assumptions!$D$25)</f>
        <v>553.153559587951</v>
      </c>
      <c r="W19" s="164" t="n">
        <f aca="false">SUM(B19:U19)</f>
        <v>8476.41402204345</v>
      </c>
      <c r="X19" s="1"/>
      <c r="Y19" s="1"/>
      <c r="Z19" s="1"/>
      <c r="AA19" s="1"/>
      <c r="AB19" s="12"/>
      <c r="AC19" s="12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316"/>
      <c r="AU19" s="316"/>
      <c r="AV19" s="316"/>
      <c r="AW19" s="316"/>
      <c r="AX19" s="316"/>
      <c r="AY19" s="316"/>
      <c r="AZ19" s="316"/>
      <c r="BA19" s="316"/>
      <c r="BB19" s="316"/>
      <c r="BC19" s="316"/>
      <c r="BD19" s="316"/>
      <c r="BE19" s="316"/>
      <c r="BF19" s="316"/>
      <c r="BG19" s="316"/>
      <c r="BH19" s="316"/>
      <c r="BI19" s="316"/>
      <c r="BJ19" s="316"/>
      <c r="BK19" s="316"/>
      <c r="BL19" s="316"/>
      <c r="BM19" s="316"/>
      <c r="BN19" s="316"/>
      <c r="BO19" s="316"/>
      <c r="BP19" s="316"/>
      <c r="BQ19" s="316"/>
      <c r="BR19" s="316"/>
      <c r="BS19" s="316"/>
      <c r="BT19" s="316"/>
      <c r="BU19" s="316"/>
      <c r="BV19" s="316"/>
      <c r="BW19" s="316"/>
      <c r="BX19" s="316"/>
      <c r="BY19" s="316"/>
      <c r="BZ19" s="316"/>
      <c r="CA19" s="316"/>
      <c r="CB19" s="316"/>
      <c r="CC19" s="316"/>
      <c r="CD19" s="316"/>
      <c r="CE19" s="316"/>
      <c r="CF19" s="316"/>
      <c r="CG19" s="316"/>
      <c r="CH19" s="316"/>
      <c r="CI19" s="316"/>
      <c r="CJ19" s="316"/>
      <c r="CK19" s="316"/>
      <c r="CL19" s="316"/>
      <c r="CM19" s="316"/>
      <c r="CN19" s="316"/>
      <c r="CO19" s="316"/>
      <c r="CP19" s="316"/>
      <c r="CQ19" s="316"/>
      <c r="CR19" s="316"/>
      <c r="CS19" s="316"/>
      <c r="CT19" s="316"/>
      <c r="CU19" s="316"/>
      <c r="CV19" s="316"/>
      <c r="CW19" s="316"/>
      <c r="CX19" s="316"/>
      <c r="CY19" s="316"/>
      <c r="CZ19" s="316"/>
      <c r="DA19" s="316"/>
      <c r="DB19" s="316"/>
      <c r="DC19" s="316"/>
      <c r="DD19" s="316"/>
      <c r="DE19" s="316"/>
      <c r="DF19" s="316"/>
      <c r="DG19" s="316"/>
      <c r="DH19" s="316"/>
      <c r="DI19" s="316"/>
      <c r="DJ19" s="316"/>
      <c r="DK19" s="316"/>
      <c r="DL19" s="316"/>
      <c r="DM19" s="316"/>
      <c r="DN19" s="316"/>
      <c r="DO19" s="316"/>
      <c r="DP19" s="316"/>
      <c r="DQ19" s="316"/>
      <c r="DR19" s="316"/>
      <c r="DS19" s="316"/>
      <c r="DT19" s="316"/>
      <c r="DU19" s="316"/>
      <c r="DV19" s="316"/>
      <c r="DW19" s="316"/>
      <c r="DX19" s="316"/>
      <c r="DY19" s="316"/>
      <c r="DZ19" s="316"/>
      <c r="EA19" s="316"/>
      <c r="EB19" s="316"/>
      <c r="EC19" s="316"/>
      <c r="ED19" s="316"/>
      <c r="EE19" s="316"/>
      <c r="EF19" s="316"/>
      <c r="EG19" s="316"/>
      <c r="EH19" s="316"/>
      <c r="EI19" s="316"/>
      <c r="EJ19" s="316"/>
      <c r="EK19" s="316"/>
      <c r="EL19" s="316"/>
      <c r="EM19" s="316"/>
      <c r="EN19" s="316"/>
      <c r="EO19" s="316"/>
      <c r="EP19" s="316"/>
      <c r="EQ19" s="316"/>
      <c r="ER19" s="316"/>
      <c r="ES19" s="316"/>
      <c r="ET19" s="316"/>
      <c r="EU19" s="316"/>
      <c r="EV19" s="316"/>
      <c r="EW19" s="316"/>
      <c r="EX19" s="316"/>
      <c r="EY19" s="316"/>
      <c r="EZ19" s="316"/>
      <c r="FA19" s="316"/>
      <c r="FB19" s="316"/>
      <c r="FC19" s="316"/>
      <c r="FD19" s="316"/>
      <c r="FE19" s="316"/>
      <c r="FF19" s="316"/>
      <c r="FG19" s="316"/>
      <c r="FH19" s="316"/>
      <c r="FI19" s="316"/>
      <c r="FJ19" s="316"/>
      <c r="FK19" s="316"/>
      <c r="FL19" s="316"/>
      <c r="FM19" s="316"/>
      <c r="FN19" s="316"/>
      <c r="FO19" s="316"/>
      <c r="FP19" s="316"/>
      <c r="FQ19" s="316"/>
      <c r="FR19" s="316"/>
      <c r="FS19" s="316"/>
      <c r="FT19" s="316"/>
      <c r="FU19" s="316"/>
      <c r="FV19" s="316"/>
      <c r="FW19" s="316"/>
      <c r="FX19" s="316"/>
      <c r="FY19" s="316"/>
      <c r="FZ19" s="316"/>
      <c r="GA19" s="316"/>
      <c r="GB19" s="316"/>
      <c r="GC19" s="316"/>
      <c r="GD19" s="316"/>
      <c r="GE19" s="316"/>
      <c r="GF19" s="316"/>
      <c r="GG19" s="316"/>
      <c r="GH19" s="316"/>
      <c r="GI19" s="316"/>
      <c r="GJ19" s="316"/>
      <c r="GK19" s="316"/>
      <c r="GL19" s="316"/>
      <c r="GM19" s="316"/>
      <c r="GN19" s="316"/>
      <c r="GO19" s="316"/>
      <c r="GP19" s="316"/>
      <c r="GQ19" s="316"/>
      <c r="GR19" s="316"/>
      <c r="GS19" s="316"/>
      <c r="GT19" s="316"/>
      <c r="GU19" s="316"/>
      <c r="GV19" s="316"/>
      <c r="GW19" s="316"/>
      <c r="GX19" s="316"/>
      <c r="GY19" s="316"/>
      <c r="GZ19" s="316"/>
      <c r="HA19" s="316"/>
      <c r="HB19" s="316"/>
      <c r="HC19" s="316"/>
      <c r="HD19" s="316"/>
      <c r="HE19" s="316"/>
      <c r="HF19" s="316"/>
      <c r="HG19" s="316"/>
      <c r="HH19" s="316"/>
      <c r="HI19" s="316"/>
      <c r="HJ19" s="316"/>
      <c r="HK19" s="316"/>
      <c r="HL19" s="316"/>
      <c r="HM19" s="316"/>
      <c r="HN19" s="316"/>
      <c r="HO19" s="316"/>
      <c r="HP19" s="316"/>
      <c r="HQ19" s="316"/>
      <c r="HR19" s="316"/>
      <c r="HS19" s="316"/>
      <c r="HT19" s="316"/>
      <c r="HU19" s="316"/>
      <c r="HV19" s="316"/>
      <c r="HW19" s="316"/>
      <c r="HX19" s="316"/>
      <c r="HY19" s="316"/>
      <c r="HZ19" s="316"/>
      <c r="IA19" s="316"/>
      <c r="IB19" s="316"/>
      <c r="IC19" s="316"/>
      <c r="ID19" s="316"/>
      <c r="IE19" s="316"/>
      <c r="IF19" s="316"/>
      <c r="IG19" s="316"/>
      <c r="IH19" s="316"/>
      <c r="II19" s="316"/>
      <c r="IJ19" s="316"/>
      <c r="IK19" s="316"/>
      <c r="IL19" s="316"/>
      <c r="IM19" s="316"/>
      <c r="IN19" s="316"/>
      <c r="IO19" s="316"/>
      <c r="IP19" s="316"/>
      <c r="IQ19" s="316"/>
      <c r="IR19" s="316"/>
      <c r="IS19" s="316"/>
      <c r="IT19" s="316"/>
      <c r="IU19" s="316"/>
      <c r="IV19" s="316"/>
      <c r="IW19" s="316"/>
    </row>
    <row r="20" customFormat="false" ht="12.75" hidden="false" customHeight="false" outlineLevel="0" collapsed="false">
      <c r="A20" s="169" t="s">
        <v>194</v>
      </c>
      <c r="B20" s="318" t="n">
        <v>0</v>
      </c>
      <c r="C20" s="318" t="n">
        <v>117.987</v>
      </c>
      <c r="D20" s="318" t="n">
        <v>216.843</v>
      </c>
      <c r="E20" s="318" t="n">
        <v>295.985</v>
      </c>
      <c r="F20" s="318" t="n">
        <v>346.251</v>
      </c>
      <c r="G20" s="318" t="n">
        <v>468.657</v>
      </c>
      <c r="H20" s="318" t="n">
        <v>641.059</v>
      </c>
      <c r="I20" s="318" t="n">
        <v>753.232</v>
      </c>
      <c r="J20" s="318" t="n">
        <v>765.3</v>
      </c>
      <c r="K20" s="318" t="n">
        <v>699.258</v>
      </c>
      <c r="L20" s="318" t="n">
        <v>854.333</v>
      </c>
      <c r="M20" s="318" t="n">
        <v>854.3</v>
      </c>
      <c r="N20" s="318" t="n">
        <v>854.3</v>
      </c>
      <c r="O20" s="318" t="n">
        <v>854.3</v>
      </c>
      <c r="P20" s="318" t="n">
        <v>854.3</v>
      </c>
      <c r="Q20" s="318" t="n">
        <v>854.3</v>
      </c>
      <c r="R20" s="318" t="n">
        <v>854.3</v>
      </c>
      <c r="S20" s="318" t="n">
        <v>854.3</v>
      </c>
      <c r="T20" s="318" t="n">
        <v>854.3</v>
      </c>
      <c r="U20" s="318" t="n">
        <v>854.3</v>
      </c>
      <c r="W20" s="164" t="n">
        <f aca="false">SUM(B20:U20)</f>
        <v>12847.605</v>
      </c>
      <c r="X20" s="316"/>
      <c r="Y20" s="316"/>
      <c r="Z20" s="316"/>
      <c r="AA20" s="316"/>
      <c r="AB20" s="316"/>
      <c r="AC20" s="316"/>
      <c r="AD20" s="316"/>
      <c r="AE20" s="316"/>
      <c r="AF20" s="316"/>
      <c r="AG20" s="316"/>
      <c r="AH20" s="316"/>
      <c r="AI20" s="316"/>
      <c r="AJ20" s="316"/>
      <c r="AK20" s="316"/>
      <c r="AL20" s="316"/>
      <c r="AM20" s="316"/>
      <c r="AN20" s="316"/>
      <c r="AO20" s="316"/>
      <c r="AP20" s="316"/>
      <c r="AQ20" s="316"/>
      <c r="AR20" s="316"/>
      <c r="AS20" s="316"/>
      <c r="AT20" s="316"/>
      <c r="AU20" s="316"/>
      <c r="AV20" s="316"/>
      <c r="AW20" s="316"/>
      <c r="AX20" s="316"/>
      <c r="AY20" s="316"/>
      <c r="AZ20" s="316"/>
      <c r="BA20" s="316"/>
      <c r="BB20" s="316"/>
      <c r="BC20" s="316"/>
      <c r="BD20" s="316"/>
      <c r="BE20" s="316"/>
      <c r="BF20" s="316"/>
      <c r="BG20" s="316"/>
      <c r="BH20" s="316"/>
      <c r="BI20" s="316"/>
      <c r="BJ20" s="316"/>
      <c r="BK20" s="316"/>
      <c r="BL20" s="316"/>
      <c r="BM20" s="316"/>
      <c r="BN20" s="316"/>
      <c r="BO20" s="316"/>
      <c r="BP20" s="316"/>
      <c r="BQ20" s="316"/>
      <c r="BR20" s="316"/>
      <c r="BS20" s="316"/>
      <c r="BT20" s="316"/>
      <c r="BU20" s="316"/>
      <c r="BV20" s="316"/>
      <c r="BW20" s="316"/>
      <c r="BX20" s="316"/>
      <c r="BY20" s="316"/>
      <c r="BZ20" s="316"/>
      <c r="CA20" s="316"/>
      <c r="CB20" s="316"/>
      <c r="CC20" s="316"/>
      <c r="CD20" s="316"/>
      <c r="CE20" s="316"/>
      <c r="CF20" s="316"/>
      <c r="CG20" s="316"/>
      <c r="CH20" s="316"/>
      <c r="CI20" s="316"/>
      <c r="CJ20" s="316"/>
      <c r="CK20" s="316"/>
      <c r="CL20" s="316"/>
      <c r="CM20" s="316"/>
      <c r="CN20" s="316"/>
      <c r="CO20" s="316"/>
      <c r="CP20" s="316"/>
      <c r="CQ20" s="316"/>
      <c r="CR20" s="316"/>
      <c r="CS20" s="316"/>
      <c r="CT20" s="316"/>
      <c r="CU20" s="316"/>
      <c r="CV20" s="316"/>
      <c r="CW20" s="316"/>
      <c r="CX20" s="316"/>
      <c r="CY20" s="316"/>
      <c r="CZ20" s="316"/>
      <c r="DA20" s="316"/>
      <c r="DB20" s="316"/>
      <c r="DC20" s="316"/>
      <c r="DD20" s="316"/>
      <c r="DE20" s="316"/>
      <c r="DF20" s="316"/>
      <c r="DG20" s="316"/>
      <c r="DH20" s="316"/>
      <c r="DI20" s="316"/>
      <c r="DJ20" s="316"/>
      <c r="DK20" s="316"/>
      <c r="DL20" s="316"/>
      <c r="DM20" s="316"/>
      <c r="DN20" s="316"/>
      <c r="DO20" s="316"/>
      <c r="DP20" s="316"/>
      <c r="DQ20" s="316"/>
      <c r="DR20" s="316"/>
      <c r="DS20" s="316"/>
      <c r="DT20" s="316"/>
      <c r="DU20" s="316"/>
      <c r="DV20" s="316"/>
      <c r="DW20" s="316"/>
      <c r="DX20" s="316"/>
      <c r="DY20" s="316"/>
      <c r="DZ20" s="316"/>
      <c r="EA20" s="316"/>
      <c r="EB20" s="316"/>
      <c r="EC20" s="316"/>
      <c r="ED20" s="316"/>
      <c r="EE20" s="316"/>
      <c r="EF20" s="316"/>
      <c r="EG20" s="316"/>
      <c r="EH20" s="316"/>
      <c r="EI20" s="316"/>
      <c r="EJ20" s="316"/>
      <c r="EK20" s="316"/>
      <c r="EL20" s="316"/>
      <c r="EM20" s="316"/>
      <c r="EN20" s="316"/>
      <c r="EO20" s="316"/>
      <c r="EP20" s="316"/>
      <c r="EQ20" s="316"/>
      <c r="ER20" s="316"/>
      <c r="ES20" s="316"/>
      <c r="ET20" s="316"/>
      <c r="EU20" s="316"/>
      <c r="EV20" s="316"/>
      <c r="EW20" s="316"/>
      <c r="EX20" s="316"/>
      <c r="EY20" s="316"/>
      <c r="EZ20" s="316"/>
      <c r="FA20" s="316"/>
      <c r="FB20" s="316"/>
      <c r="FC20" s="316"/>
      <c r="FD20" s="316"/>
      <c r="FE20" s="316"/>
      <c r="FF20" s="316"/>
      <c r="FG20" s="316"/>
      <c r="FH20" s="316"/>
      <c r="FI20" s="316"/>
      <c r="FJ20" s="316"/>
      <c r="FK20" s="316"/>
      <c r="FL20" s="316"/>
      <c r="FM20" s="316"/>
      <c r="FN20" s="316"/>
      <c r="FO20" s="316"/>
      <c r="FP20" s="316"/>
      <c r="FQ20" s="316"/>
      <c r="FR20" s="316"/>
      <c r="FS20" s="316"/>
      <c r="FT20" s="316"/>
      <c r="FU20" s="316"/>
      <c r="FV20" s="316"/>
      <c r="FW20" s="316"/>
      <c r="FX20" s="316"/>
      <c r="FY20" s="316"/>
      <c r="FZ20" s="316"/>
      <c r="GA20" s="316"/>
      <c r="GB20" s="316"/>
      <c r="GC20" s="316"/>
      <c r="GD20" s="316"/>
      <c r="GE20" s="316"/>
      <c r="GF20" s="316"/>
      <c r="GG20" s="316"/>
      <c r="GH20" s="316"/>
      <c r="GI20" s="316"/>
      <c r="GJ20" s="316"/>
      <c r="GK20" s="316"/>
      <c r="GL20" s="316"/>
      <c r="GM20" s="316"/>
      <c r="GN20" s="316"/>
      <c r="GO20" s="316"/>
      <c r="GP20" s="316"/>
      <c r="GQ20" s="316"/>
      <c r="GR20" s="316"/>
      <c r="GS20" s="316"/>
      <c r="GT20" s="316"/>
      <c r="GU20" s="316"/>
      <c r="GV20" s="316"/>
      <c r="GW20" s="316"/>
      <c r="GX20" s="316"/>
      <c r="GY20" s="316"/>
      <c r="GZ20" s="316"/>
      <c r="HA20" s="316"/>
      <c r="HB20" s="316"/>
      <c r="HC20" s="316"/>
      <c r="HD20" s="316"/>
      <c r="HE20" s="316"/>
      <c r="HF20" s="316"/>
      <c r="HG20" s="316"/>
      <c r="HH20" s="316"/>
      <c r="HI20" s="316"/>
      <c r="HJ20" s="316"/>
      <c r="HK20" s="316"/>
      <c r="HL20" s="316"/>
      <c r="HM20" s="316"/>
      <c r="HN20" s="316"/>
      <c r="HO20" s="316"/>
      <c r="HP20" s="316"/>
      <c r="HQ20" s="316"/>
      <c r="HR20" s="316"/>
      <c r="HS20" s="316"/>
      <c r="HT20" s="316"/>
      <c r="HU20" s="316"/>
      <c r="HV20" s="316"/>
      <c r="HW20" s="316"/>
      <c r="HX20" s="316"/>
      <c r="HY20" s="316"/>
      <c r="HZ20" s="316"/>
      <c r="IA20" s="316"/>
      <c r="IB20" s="316"/>
      <c r="IC20" s="316"/>
      <c r="ID20" s="316"/>
      <c r="IE20" s="316"/>
      <c r="IF20" s="316"/>
      <c r="IG20" s="316"/>
      <c r="IH20" s="316"/>
      <c r="II20" s="316"/>
      <c r="IJ20" s="316"/>
      <c r="IK20" s="316"/>
      <c r="IL20" s="316"/>
      <c r="IM20" s="316"/>
      <c r="IN20" s="316"/>
      <c r="IO20" s="316"/>
      <c r="IP20" s="316"/>
      <c r="IQ20" s="316"/>
      <c r="IR20" s="316"/>
      <c r="IS20" s="316"/>
      <c r="IT20" s="316"/>
      <c r="IU20" s="316"/>
      <c r="IV20" s="316"/>
      <c r="IW20" s="316"/>
    </row>
    <row r="21" customFormat="false" ht="12.75" hidden="false" customHeight="false" outlineLevel="0" collapsed="false">
      <c r="A21" s="169" t="s">
        <v>195</v>
      </c>
      <c r="B21" s="171" t="n">
        <v>0</v>
      </c>
      <c r="C21" s="171" t="n">
        <v>0</v>
      </c>
      <c r="D21" s="171" t="n">
        <v>0</v>
      </c>
      <c r="E21" s="171" t="n">
        <v>0</v>
      </c>
      <c r="F21" s="171" t="n">
        <v>0</v>
      </c>
      <c r="G21" s="171" t="n">
        <v>0</v>
      </c>
      <c r="H21" s="171" t="n">
        <v>0</v>
      </c>
      <c r="I21" s="171" t="n">
        <v>0</v>
      </c>
      <c r="J21" s="171" t="n">
        <v>0</v>
      </c>
      <c r="K21" s="171" t="n">
        <v>0</v>
      </c>
      <c r="L21" s="171" t="n">
        <v>0</v>
      </c>
      <c r="M21" s="171" t="n">
        <v>0</v>
      </c>
      <c r="N21" s="171" t="n">
        <v>0</v>
      </c>
      <c r="O21" s="171" t="n">
        <v>0</v>
      </c>
      <c r="P21" s="171" t="n">
        <v>0</v>
      </c>
      <c r="Q21" s="171" t="n">
        <v>0</v>
      </c>
      <c r="R21" s="171" t="n">
        <v>0</v>
      </c>
      <c r="S21" s="171" t="n">
        <v>0</v>
      </c>
      <c r="T21" s="171" t="n">
        <v>0</v>
      </c>
      <c r="U21" s="171" t="n">
        <v>0</v>
      </c>
      <c r="V21" s="164"/>
      <c r="W21" s="164" t="n">
        <f aca="false">SUM(B21:U21)</f>
        <v>0</v>
      </c>
    </row>
    <row r="22" customFormat="false" ht="12.75" hidden="false" customHeight="false" outlineLevel="0" collapsed="false">
      <c r="A22" s="169" t="s">
        <v>114</v>
      </c>
      <c r="B22" s="153" t="n">
        <f aca="false">SUM(B16:B21)</f>
        <v>3765.67605053572</v>
      </c>
      <c r="C22" s="153" t="n">
        <f aca="false">SUM(C16:C21)</f>
        <v>3996.63333205179</v>
      </c>
      <c r="D22" s="153" t="n">
        <f aca="false">SUM(D16:D21)</f>
        <v>4211.84872201334</v>
      </c>
      <c r="E22" s="153" t="n">
        <f aca="false">SUM(E16:E21)</f>
        <v>4410.84089367374</v>
      </c>
      <c r="F22" s="153" t="n">
        <f aca="false">SUM(F16:F21)</f>
        <v>4584.55257048395</v>
      </c>
      <c r="G22" s="153" t="n">
        <f aca="false">SUM(G16:G21)</f>
        <v>4834.10761759847</v>
      </c>
      <c r="H22" s="153" t="n">
        <f aca="false">SUM(H16:H21)</f>
        <v>5137.47313612643</v>
      </c>
      <c r="I22" s="153" t="n">
        <f aca="false">SUM(I16:I21)</f>
        <v>5384.53856021022</v>
      </c>
      <c r="J22" s="153" t="n">
        <f aca="false">SUM(J16:J21)</f>
        <v>5535.54575701653</v>
      </c>
      <c r="K22" s="153" t="n">
        <f aca="false">SUM(K16:K21)</f>
        <v>5612.61112972702</v>
      </c>
      <c r="L22" s="153" t="n">
        <f aca="false">SUM(L16:L21)</f>
        <v>5915.08672361883</v>
      </c>
      <c r="M22" s="153" t="n">
        <f aca="false">SUM(M16:M21)</f>
        <v>6066.8763353274</v>
      </c>
      <c r="N22" s="153" t="n">
        <f aca="false">SUM(N16:N21)</f>
        <v>6223.25362538722</v>
      </c>
      <c r="O22" s="153" t="n">
        <f aca="false">SUM(O16:O21)</f>
        <v>6384.32223414884</v>
      </c>
      <c r="P22" s="153" t="n">
        <f aca="false">SUM(P16:P21)</f>
        <v>6550.2229011733</v>
      </c>
      <c r="Q22" s="153" t="n">
        <f aca="false">SUM(Q16:Q21)</f>
        <v>6721.1005882085</v>
      </c>
      <c r="R22" s="153" t="n">
        <f aca="false">SUM(R16:R21)</f>
        <v>6897.10460585476</v>
      </c>
      <c r="S22" s="153" t="n">
        <f aca="false">SUM(S16:S21)</f>
        <v>7078.3887440304</v>
      </c>
      <c r="T22" s="153" t="n">
        <f aca="false">SUM(T16:T21)</f>
        <v>7265.11140635131</v>
      </c>
      <c r="U22" s="153" t="n">
        <f aca="false">SUM(U16:U21)</f>
        <v>7457.43574854185</v>
      </c>
      <c r="W22" s="164" t="n">
        <f aca="false">SUM(B22:U22)</f>
        <v>114032.73068208</v>
      </c>
    </row>
    <row r="23" customFormat="false" ht="12.75" hidden="false" customHeight="false" outlineLevel="0" collapsed="false">
      <c r="A23" s="175"/>
      <c r="B23" s="347"/>
      <c r="C23" s="319"/>
      <c r="D23" s="319"/>
      <c r="E23" s="319"/>
      <c r="F23" s="319"/>
      <c r="G23" s="319"/>
      <c r="H23" s="319"/>
      <c r="I23" s="319"/>
      <c r="J23" s="319"/>
      <c r="K23" s="319"/>
      <c r="L23" s="319"/>
      <c r="M23" s="319"/>
      <c r="N23" s="319"/>
      <c r="O23" s="319"/>
      <c r="P23" s="319"/>
      <c r="Q23" s="319"/>
      <c r="R23" s="319"/>
      <c r="S23" s="319"/>
      <c r="T23" s="319"/>
      <c r="U23" s="319"/>
      <c r="V23" s="316"/>
      <c r="W23" s="164"/>
    </row>
    <row r="24" customFormat="false" ht="12.75" hidden="false" customHeight="false" outlineLevel="0" collapsed="false">
      <c r="A24" s="175"/>
      <c r="B24" s="319"/>
      <c r="C24" s="319"/>
      <c r="D24" s="319"/>
      <c r="E24" s="319"/>
      <c r="F24" s="319"/>
      <c r="G24" s="319"/>
      <c r="H24" s="319"/>
      <c r="I24" s="319"/>
      <c r="J24" s="319"/>
      <c r="K24" s="319"/>
      <c r="L24" s="319"/>
      <c r="M24" s="319"/>
      <c r="N24" s="319"/>
      <c r="O24" s="319"/>
      <c r="P24" s="319"/>
      <c r="Q24" s="319"/>
      <c r="R24" s="319"/>
      <c r="S24" s="319"/>
      <c r="T24" s="319"/>
      <c r="U24" s="319"/>
      <c r="V24" s="316"/>
      <c r="W24" s="164"/>
    </row>
    <row r="25" customFormat="false" ht="12.75" hidden="false" customHeight="false" outlineLevel="0" collapsed="false">
      <c r="A25" s="163" t="s">
        <v>115</v>
      </c>
      <c r="B25" s="160" t="n">
        <f aca="false">B13-B22</f>
        <v>30899.4347829938</v>
      </c>
      <c r="C25" s="160" t="n">
        <f aca="false">C13-C22</f>
        <v>32469.1813111663</v>
      </c>
      <c r="D25" s="160" t="n">
        <f aca="false">D13-D22</f>
        <v>34149.3868647877</v>
      </c>
      <c r="E25" s="160" t="n">
        <f aca="false">E13-E22</f>
        <v>35945.5170468694</v>
      </c>
      <c r="F25" s="160" t="n">
        <f aca="false">F13-F22</f>
        <v>37871.9835590865</v>
      </c>
      <c r="G25" s="160" t="n">
        <f aca="false">G13-G22</f>
        <v>38500.2834620847</v>
      </c>
      <c r="H25" s="160" t="n">
        <f aca="false">H13-H22</f>
        <v>39092.517706428</v>
      </c>
      <c r="I25" s="160" t="n">
        <f aca="false">I13-I22</f>
        <v>39760.5630298614</v>
      </c>
      <c r="J25" s="160" t="n">
        <f aca="false">J13-J22</f>
        <v>40545.0727199837</v>
      </c>
      <c r="K25" s="160" t="n">
        <f aca="false">K13-K22</f>
        <v>41424.0606694801</v>
      </c>
      <c r="L25" s="160" t="n">
        <f aca="false">L13-L22</f>
        <v>41757.7395485013</v>
      </c>
      <c r="M25" s="160" t="n">
        <f aca="false">M13-M22</f>
        <v>42253.2698665267</v>
      </c>
      <c r="N25" s="160" t="n">
        <f aca="false">N13-N22</f>
        <v>42753.5883365404</v>
      </c>
      <c r="O25" s="160" t="n">
        <f aca="false">O13-O22</f>
        <v>43258.7442251007</v>
      </c>
      <c r="P25" s="160" t="n">
        <f aca="false">P13-P22</f>
        <v>43768.7522102855</v>
      </c>
      <c r="Q25" s="160" t="n">
        <f aca="false">Q13-Q22</f>
        <v>44393.8093972096</v>
      </c>
      <c r="R25" s="160" t="n">
        <f aca="false">R13-R22</f>
        <v>45026.823232092</v>
      </c>
      <c r="S25" s="160" t="n">
        <f aca="false">S13-S22</f>
        <v>45667.8691918607</v>
      </c>
      <c r="T25" s="160" t="n">
        <f aca="false">T13-T22</f>
        <v>46317.0225498107</v>
      </c>
      <c r="U25" s="160" t="n">
        <f aca="false">U13-U22</f>
        <v>46974.3583321795</v>
      </c>
      <c r="V25" s="293"/>
      <c r="W25" s="164" t="n">
        <f aca="false">SUM(B25:U25)</f>
        <v>812829.978042849</v>
      </c>
    </row>
    <row r="26" customFormat="false" ht="12.75" hidden="false" customHeight="false" outlineLevel="0" collapsed="false">
      <c r="A26" s="163"/>
      <c r="B26" s="320"/>
      <c r="C26" s="321"/>
      <c r="D26" s="320"/>
      <c r="E26" s="320"/>
      <c r="F26" s="320"/>
      <c r="G26" s="320"/>
      <c r="H26" s="320"/>
      <c r="I26" s="320"/>
      <c r="J26" s="320"/>
      <c r="K26" s="320"/>
      <c r="L26" s="320"/>
      <c r="M26" s="320"/>
      <c r="N26" s="320"/>
      <c r="O26" s="320"/>
      <c r="P26" s="320"/>
      <c r="Q26" s="320"/>
      <c r="R26" s="320"/>
      <c r="S26" s="320"/>
      <c r="T26" s="320"/>
      <c r="U26" s="320"/>
      <c r="V26" s="293"/>
      <c r="W26" s="164"/>
    </row>
    <row r="27" customFormat="false" ht="12.75" hidden="false" customHeight="false" outlineLevel="0" collapsed="false">
      <c r="A27" s="169" t="s">
        <v>116</v>
      </c>
      <c r="B27" s="153" t="n">
        <f aca="false">Depreciation!C21</f>
        <v>6498.65975367138</v>
      </c>
      <c r="C27" s="153" t="n">
        <f aca="false">Depreciation!D21</f>
        <v>6498.65975367138</v>
      </c>
      <c r="D27" s="153" t="n">
        <f aca="false">Depreciation!E21</f>
        <v>6498.65975367138</v>
      </c>
      <c r="E27" s="153" t="n">
        <f aca="false">Depreciation!F21</f>
        <v>6498.65975367138</v>
      </c>
      <c r="F27" s="153" t="n">
        <f aca="false">Depreciation!G21</f>
        <v>6498.65975367138</v>
      </c>
      <c r="G27" s="153" t="n">
        <f aca="false">Depreciation!H21</f>
        <v>6498.65975367138</v>
      </c>
      <c r="H27" s="153" t="n">
        <f aca="false">Depreciation!I21</f>
        <v>6498.65975367138</v>
      </c>
      <c r="I27" s="153" t="n">
        <f aca="false">Depreciation!J21</f>
        <v>6498.65975367138</v>
      </c>
      <c r="J27" s="153" t="n">
        <f aca="false">Depreciation!K21</f>
        <v>6498.65975367138</v>
      </c>
      <c r="K27" s="153" t="n">
        <f aca="false">Depreciation!L21</f>
        <v>6498.65975367138</v>
      </c>
      <c r="L27" s="153" t="n">
        <f aca="false">Depreciation!M21</f>
        <v>6498.65975367138</v>
      </c>
      <c r="M27" s="153" t="n">
        <f aca="false">Depreciation!N21</f>
        <v>6498.65975367138</v>
      </c>
      <c r="N27" s="153" t="n">
        <f aca="false">Depreciation!O21</f>
        <v>6498.65975367138</v>
      </c>
      <c r="O27" s="153" t="n">
        <f aca="false">Depreciation!P21</f>
        <v>6498.65975367138</v>
      </c>
      <c r="P27" s="153" t="n">
        <f aca="false">Depreciation!Q21</f>
        <v>6498.65975367138</v>
      </c>
      <c r="Q27" s="153" t="n">
        <f aca="false">Depreciation!R21</f>
        <v>6498.65975367138</v>
      </c>
      <c r="R27" s="153" t="n">
        <f aca="false">Depreciation!S21</f>
        <v>6498.65975367138</v>
      </c>
      <c r="S27" s="153" t="n">
        <f aca="false">Depreciation!T21</f>
        <v>6498.65975367138</v>
      </c>
      <c r="T27" s="153" t="n">
        <f aca="false">Depreciation!U21</f>
        <v>6498.65975367138</v>
      </c>
      <c r="U27" s="153" t="n">
        <f aca="false">Depreciation!V21</f>
        <v>6498.65975367138</v>
      </c>
      <c r="W27" s="164" t="n">
        <f aca="false">SUM(B27:U27)</f>
        <v>129973.195073428</v>
      </c>
      <c r="X27" s="1"/>
      <c r="Y27" s="1"/>
      <c r="Z27" s="1"/>
      <c r="AA27" s="1"/>
      <c r="AB27" s="12"/>
      <c r="AC27" s="12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  <c r="IS27" s="1"/>
      <c r="IT27" s="1"/>
      <c r="IU27" s="1"/>
      <c r="IV27" s="1"/>
      <c r="IW27" s="1"/>
    </row>
    <row r="28" customFormat="false" ht="12.75" hidden="false" customHeight="false" outlineLevel="0" collapsed="false">
      <c r="A28" s="169"/>
      <c r="B28" s="153"/>
      <c r="C28" s="164"/>
      <c r="D28" s="153"/>
      <c r="E28" s="153"/>
      <c r="F28" s="153"/>
      <c r="G28" s="153"/>
      <c r="H28" s="153"/>
      <c r="I28" s="153"/>
      <c r="J28" s="153"/>
      <c r="K28" s="153"/>
      <c r="L28" s="153"/>
      <c r="M28" s="153"/>
      <c r="N28" s="153"/>
      <c r="O28" s="153"/>
      <c r="P28" s="153"/>
      <c r="Q28" s="153"/>
      <c r="R28" s="153"/>
      <c r="S28" s="153"/>
      <c r="T28" s="153"/>
      <c r="U28" s="153"/>
      <c r="W28" s="164"/>
    </row>
    <row r="29" customFormat="false" ht="12.75" hidden="false" customHeight="false" outlineLevel="0" collapsed="false">
      <c r="A29" s="163" t="s">
        <v>117</v>
      </c>
      <c r="B29" s="320" t="n">
        <f aca="false">B25-B27</f>
        <v>24400.7750293224</v>
      </c>
      <c r="C29" s="320" t="n">
        <f aca="false">C25-C27</f>
        <v>25970.521557495</v>
      </c>
      <c r="D29" s="320" t="n">
        <f aca="false">D25-D27</f>
        <v>27650.7271111164</v>
      </c>
      <c r="E29" s="320" t="n">
        <f aca="false">E25-E27</f>
        <v>29446.857293198</v>
      </c>
      <c r="F29" s="320" t="n">
        <f aca="false">F25-F27</f>
        <v>31373.3238054152</v>
      </c>
      <c r="G29" s="320" t="n">
        <f aca="false">G25-G27</f>
        <v>32001.6237084133</v>
      </c>
      <c r="H29" s="320" t="n">
        <f aca="false">H25-H27</f>
        <v>32593.8579527566</v>
      </c>
      <c r="I29" s="320" t="n">
        <f aca="false">I25-I27</f>
        <v>33261.90327619</v>
      </c>
      <c r="J29" s="320" t="n">
        <f aca="false">J25-J27</f>
        <v>34046.4129663123</v>
      </c>
      <c r="K29" s="320" t="n">
        <f aca="false">K25-K27</f>
        <v>34925.4009158087</v>
      </c>
      <c r="L29" s="320" t="n">
        <f aca="false">L25-L27</f>
        <v>35259.0797948299</v>
      </c>
      <c r="M29" s="320" t="n">
        <f aca="false">M25-M27</f>
        <v>35754.6101128553</v>
      </c>
      <c r="N29" s="320" t="n">
        <f aca="false">N25-N27</f>
        <v>36254.928582869</v>
      </c>
      <c r="O29" s="320" t="n">
        <f aca="false">O25-O27</f>
        <v>36760.0844714294</v>
      </c>
      <c r="P29" s="320" t="n">
        <f aca="false">P25-P27</f>
        <v>37270.0924566141</v>
      </c>
      <c r="Q29" s="320" t="n">
        <f aca="false">Q25-Q27</f>
        <v>37895.1496435382</v>
      </c>
      <c r="R29" s="320" t="n">
        <f aca="false">R25-R27</f>
        <v>38528.1634784206</v>
      </c>
      <c r="S29" s="320" t="n">
        <f aca="false">S25-S27</f>
        <v>39169.2094381893</v>
      </c>
      <c r="T29" s="320" t="n">
        <f aca="false">T25-T27</f>
        <v>39818.3627961393</v>
      </c>
      <c r="U29" s="320" t="n">
        <f aca="false">U25-U27</f>
        <v>40475.6985785081</v>
      </c>
      <c r="V29" s="293"/>
      <c r="W29" s="164" t="n">
        <f aca="false">SUM(B29:U29)</f>
        <v>682856.782969421</v>
      </c>
      <c r="X29" s="316"/>
      <c r="Y29" s="316"/>
      <c r="Z29" s="316"/>
      <c r="AA29" s="316"/>
      <c r="AB29" s="316"/>
      <c r="AC29" s="316"/>
      <c r="AD29" s="316"/>
      <c r="AE29" s="316"/>
      <c r="AF29" s="316"/>
      <c r="AG29" s="316"/>
      <c r="AH29" s="316"/>
      <c r="AI29" s="316"/>
      <c r="AJ29" s="316"/>
      <c r="AK29" s="316"/>
      <c r="AL29" s="316"/>
      <c r="AM29" s="316"/>
      <c r="AN29" s="316"/>
      <c r="AO29" s="316"/>
      <c r="AP29" s="316"/>
      <c r="AQ29" s="316"/>
      <c r="AR29" s="316"/>
      <c r="AS29" s="316"/>
      <c r="AT29" s="316"/>
      <c r="AU29" s="316"/>
      <c r="AV29" s="316"/>
      <c r="AW29" s="316"/>
      <c r="AX29" s="316"/>
      <c r="AY29" s="316"/>
      <c r="AZ29" s="316"/>
      <c r="BA29" s="316"/>
      <c r="BB29" s="316"/>
      <c r="BC29" s="316"/>
      <c r="BD29" s="316"/>
      <c r="BE29" s="316"/>
      <c r="BF29" s="316"/>
      <c r="BG29" s="316"/>
      <c r="BH29" s="316"/>
      <c r="BI29" s="316"/>
      <c r="BJ29" s="316"/>
      <c r="BK29" s="316"/>
      <c r="BL29" s="316"/>
      <c r="BM29" s="316"/>
      <c r="BN29" s="316"/>
      <c r="BO29" s="316"/>
      <c r="BP29" s="316"/>
      <c r="BQ29" s="316"/>
      <c r="BR29" s="316"/>
      <c r="BS29" s="316"/>
      <c r="BT29" s="316"/>
      <c r="BU29" s="316"/>
      <c r="BV29" s="316"/>
      <c r="BW29" s="316"/>
      <c r="BX29" s="316"/>
      <c r="BY29" s="316"/>
      <c r="BZ29" s="316"/>
      <c r="CA29" s="316"/>
      <c r="CB29" s="316"/>
      <c r="CC29" s="316"/>
      <c r="CD29" s="316"/>
      <c r="CE29" s="316"/>
      <c r="CF29" s="316"/>
      <c r="CG29" s="316"/>
      <c r="CH29" s="316"/>
      <c r="CI29" s="316"/>
      <c r="CJ29" s="316"/>
      <c r="CK29" s="316"/>
      <c r="CL29" s="316"/>
      <c r="CM29" s="316"/>
      <c r="CN29" s="316"/>
      <c r="CO29" s="316"/>
      <c r="CP29" s="316"/>
      <c r="CQ29" s="316"/>
      <c r="CR29" s="316"/>
      <c r="CS29" s="316"/>
      <c r="CT29" s="316"/>
      <c r="CU29" s="316"/>
      <c r="CV29" s="316"/>
      <c r="CW29" s="316"/>
      <c r="CX29" s="316"/>
      <c r="CY29" s="316"/>
      <c r="CZ29" s="316"/>
      <c r="DA29" s="316"/>
      <c r="DB29" s="316"/>
      <c r="DC29" s="316"/>
      <c r="DD29" s="316"/>
      <c r="DE29" s="316"/>
      <c r="DF29" s="316"/>
      <c r="DG29" s="316"/>
      <c r="DH29" s="316"/>
      <c r="DI29" s="316"/>
      <c r="DJ29" s="316"/>
      <c r="DK29" s="316"/>
      <c r="DL29" s="316"/>
      <c r="DM29" s="316"/>
      <c r="DN29" s="316"/>
      <c r="DO29" s="316"/>
      <c r="DP29" s="316"/>
      <c r="DQ29" s="316"/>
      <c r="DR29" s="316"/>
      <c r="DS29" s="316"/>
      <c r="DT29" s="316"/>
      <c r="DU29" s="316"/>
      <c r="DV29" s="316"/>
      <c r="DW29" s="316"/>
      <c r="DX29" s="316"/>
      <c r="DY29" s="316"/>
      <c r="DZ29" s="316"/>
      <c r="EA29" s="316"/>
      <c r="EB29" s="316"/>
      <c r="EC29" s="316"/>
      <c r="ED29" s="316"/>
      <c r="EE29" s="316"/>
      <c r="EF29" s="316"/>
      <c r="EG29" s="316"/>
      <c r="EH29" s="316"/>
      <c r="EI29" s="316"/>
      <c r="EJ29" s="316"/>
      <c r="EK29" s="316"/>
      <c r="EL29" s="316"/>
      <c r="EM29" s="316"/>
      <c r="EN29" s="316"/>
      <c r="EO29" s="316"/>
      <c r="EP29" s="316"/>
      <c r="EQ29" s="316"/>
      <c r="ER29" s="316"/>
      <c r="ES29" s="316"/>
      <c r="ET29" s="316"/>
      <c r="EU29" s="316"/>
      <c r="EV29" s="316"/>
      <c r="EW29" s="316"/>
      <c r="EX29" s="316"/>
      <c r="EY29" s="316"/>
      <c r="EZ29" s="316"/>
      <c r="FA29" s="316"/>
      <c r="FB29" s="316"/>
      <c r="FC29" s="316"/>
      <c r="FD29" s="316"/>
      <c r="FE29" s="316"/>
      <c r="FF29" s="316"/>
      <c r="FG29" s="316"/>
      <c r="FH29" s="316"/>
      <c r="FI29" s="316"/>
      <c r="FJ29" s="316"/>
      <c r="FK29" s="316"/>
      <c r="FL29" s="316"/>
      <c r="FM29" s="316"/>
      <c r="FN29" s="316"/>
      <c r="FO29" s="316"/>
      <c r="FP29" s="316"/>
      <c r="FQ29" s="316"/>
      <c r="FR29" s="316"/>
      <c r="FS29" s="316"/>
      <c r="FT29" s="316"/>
      <c r="FU29" s="316"/>
      <c r="FV29" s="316"/>
      <c r="FW29" s="316"/>
      <c r="FX29" s="316"/>
      <c r="FY29" s="316"/>
      <c r="FZ29" s="316"/>
      <c r="GA29" s="316"/>
      <c r="GB29" s="316"/>
      <c r="GC29" s="316"/>
      <c r="GD29" s="316"/>
      <c r="GE29" s="316"/>
      <c r="GF29" s="316"/>
      <c r="GG29" s="316"/>
      <c r="GH29" s="316"/>
      <c r="GI29" s="316"/>
      <c r="GJ29" s="316"/>
      <c r="GK29" s="316"/>
      <c r="GL29" s="316"/>
      <c r="GM29" s="316"/>
      <c r="GN29" s="316"/>
      <c r="GO29" s="316"/>
      <c r="GP29" s="316"/>
      <c r="GQ29" s="316"/>
      <c r="GR29" s="316"/>
      <c r="GS29" s="316"/>
      <c r="GT29" s="316"/>
      <c r="GU29" s="316"/>
      <c r="GV29" s="316"/>
      <c r="GW29" s="316"/>
      <c r="GX29" s="316"/>
      <c r="GY29" s="316"/>
      <c r="GZ29" s="316"/>
      <c r="HA29" s="316"/>
      <c r="HB29" s="316"/>
      <c r="HC29" s="316"/>
      <c r="HD29" s="316"/>
      <c r="HE29" s="316"/>
      <c r="HF29" s="316"/>
      <c r="HG29" s="316"/>
      <c r="HH29" s="316"/>
      <c r="HI29" s="316"/>
      <c r="HJ29" s="316"/>
      <c r="HK29" s="316"/>
      <c r="HL29" s="316"/>
      <c r="HM29" s="316"/>
      <c r="HN29" s="316"/>
      <c r="HO29" s="316"/>
      <c r="HP29" s="316"/>
      <c r="HQ29" s="316"/>
      <c r="HR29" s="316"/>
      <c r="HS29" s="316"/>
      <c r="HT29" s="316"/>
      <c r="HU29" s="316"/>
      <c r="HV29" s="316"/>
      <c r="HW29" s="316"/>
      <c r="HX29" s="316"/>
      <c r="HY29" s="316"/>
      <c r="HZ29" s="316"/>
      <c r="IA29" s="316"/>
      <c r="IB29" s="316"/>
      <c r="IC29" s="316"/>
      <c r="ID29" s="316"/>
      <c r="IE29" s="316"/>
      <c r="IF29" s="316"/>
      <c r="IG29" s="316"/>
      <c r="IH29" s="316"/>
      <c r="II29" s="316"/>
      <c r="IJ29" s="316"/>
      <c r="IK29" s="316"/>
      <c r="IL29" s="316"/>
      <c r="IM29" s="316"/>
      <c r="IN29" s="316"/>
      <c r="IO29" s="316"/>
      <c r="IP29" s="316"/>
      <c r="IQ29" s="316"/>
      <c r="IR29" s="316"/>
      <c r="IS29" s="316"/>
      <c r="IT29" s="316"/>
      <c r="IU29" s="316"/>
      <c r="IV29" s="316"/>
      <c r="IW29" s="316"/>
    </row>
    <row r="30" customFormat="false" ht="12.75" hidden="false" customHeight="false" outlineLevel="0" collapsed="false">
      <c r="A30" s="163"/>
      <c r="B30" s="320"/>
      <c r="C30" s="320"/>
      <c r="D30" s="320"/>
      <c r="E30" s="320"/>
      <c r="F30" s="320"/>
      <c r="G30" s="320"/>
      <c r="H30" s="320"/>
      <c r="I30" s="320"/>
      <c r="J30" s="320"/>
      <c r="K30" s="320"/>
      <c r="L30" s="320"/>
      <c r="M30" s="320"/>
      <c r="N30" s="320"/>
      <c r="O30" s="320"/>
      <c r="P30" s="320"/>
      <c r="Q30" s="320"/>
      <c r="R30" s="320"/>
      <c r="S30" s="320"/>
      <c r="T30" s="320"/>
      <c r="U30" s="320"/>
      <c r="V30" s="293"/>
      <c r="W30" s="164"/>
      <c r="X30" s="316"/>
      <c r="Y30" s="316"/>
      <c r="Z30" s="316"/>
      <c r="AA30" s="316"/>
      <c r="AB30" s="316"/>
      <c r="AC30" s="316"/>
      <c r="AD30" s="316"/>
      <c r="AE30" s="316"/>
      <c r="AF30" s="316"/>
      <c r="AG30" s="316"/>
      <c r="AH30" s="316"/>
      <c r="AI30" s="316"/>
      <c r="AJ30" s="316"/>
      <c r="AK30" s="316"/>
      <c r="AL30" s="316"/>
      <c r="AM30" s="316"/>
      <c r="AN30" s="316"/>
      <c r="AO30" s="316"/>
      <c r="AP30" s="316"/>
      <c r="AQ30" s="316"/>
      <c r="AR30" s="316"/>
      <c r="AS30" s="316"/>
      <c r="AT30" s="316"/>
      <c r="AU30" s="316"/>
      <c r="AV30" s="316"/>
      <c r="AW30" s="316"/>
      <c r="AX30" s="316"/>
      <c r="AY30" s="316"/>
      <c r="AZ30" s="316"/>
      <c r="BA30" s="316"/>
      <c r="BB30" s="316"/>
      <c r="BC30" s="316"/>
      <c r="BD30" s="316"/>
      <c r="BE30" s="316"/>
      <c r="BF30" s="316"/>
      <c r="BG30" s="316"/>
      <c r="BH30" s="316"/>
      <c r="BI30" s="316"/>
      <c r="BJ30" s="316"/>
      <c r="BK30" s="316"/>
      <c r="BL30" s="316"/>
      <c r="BM30" s="316"/>
      <c r="BN30" s="316"/>
      <c r="BO30" s="316"/>
      <c r="BP30" s="316"/>
      <c r="BQ30" s="316"/>
      <c r="BR30" s="316"/>
      <c r="BS30" s="316"/>
      <c r="BT30" s="316"/>
      <c r="BU30" s="316"/>
      <c r="BV30" s="316"/>
      <c r="BW30" s="316"/>
      <c r="BX30" s="316"/>
      <c r="BY30" s="316"/>
      <c r="BZ30" s="316"/>
      <c r="CA30" s="316"/>
      <c r="CB30" s="316"/>
      <c r="CC30" s="316"/>
      <c r="CD30" s="316"/>
      <c r="CE30" s="316"/>
      <c r="CF30" s="316"/>
      <c r="CG30" s="316"/>
      <c r="CH30" s="316"/>
      <c r="CI30" s="316"/>
      <c r="CJ30" s="316"/>
      <c r="CK30" s="316"/>
      <c r="CL30" s="316"/>
      <c r="CM30" s="316"/>
      <c r="CN30" s="316"/>
      <c r="CO30" s="316"/>
      <c r="CP30" s="316"/>
      <c r="CQ30" s="316"/>
      <c r="CR30" s="316"/>
      <c r="CS30" s="316"/>
      <c r="CT30" s="316"/>
      <c r="CU30" s="316"/>
      <c r="CV30" s="316"/>
      <c r="CW30" s="316"/>
      <c r="CX30" s="316"/>
      <c r="CY30" s="316"/>
      <c r="CZ30" s="316"/>
      <c r="DA30" s="316"/>
      <c r="DB30" s="316"/>
      <c r="DC30" s="316"/>
      <c r="DD30" s="316"/>
      <c r="DE30" s="316"/>
      <c r="DF30" s="316"/>
      <c r="DG30" s="316"/>
      <c r="DH30" s="316"/>
      <c r="DI30" s="316"/>
      <c r="DJ30" s="316"/>
      <c r="DK30" s="316"/>
      <c r="DL30" s="316"/>
      <c r="DM30" s="316"/>
      <c r="DN30" s="316"/>
      <c r="DO30" s="316"/>
      <c r="DP30" s="316"/>
      <c r="DQ30" s="316"/>
      <c r="DR30" s="316"/>
      <c r="DS30" s="316"/>
      <c r="DT30" s="316"/>
      <c r="DU30" s="316"/>
      <c r="DV30" s="316"/>
      <c r="DW30" s="316"/>
      <c r="DX30" s="316"/>
      <c r="DY30" s="316"/>
      <c r="DZ30" s="316"/>
      <c r="EA30" s="316"/>
      <c r="EB30" s="316"/>
      <c r="EC30" s="316"/>
      <c r="ED30" s="316"/>
      <c r="EE30" s="316"/>
      <c r="EF30" s="316"/>
      <c r="EG30" s="316"/>
      <c r="EH30" s="316"/>
      <c r="EI30" s="316"/>
      <c r="EJ30" s="316"/>
      <c r="EK30" s="316"/>
      <c r="EL30" s="316"/>
      <c r="EM30" s="316"/>
      <c r="EN30" s="316"/>
      <c r="EO30" s="316"/>
      <c r="EP30" s="316"/>
      <c r="EQ30" s="316"/>
      <c r="ER30" s="316"/>
      <c r="ES30" s="316"/>
      <c r="ET30" s="316"/>
      <c r="EU30" s="316"/>
      <c r="EV30" s="316"/>
      <c r="EW30" s="316"/>
      <c r="EX30" s="316"/>
      <c r="EY30" s="316"/>
      <c r="EZ30" s="316"/>
      <c r="FA30" s="316"/>
      <c r="FB30" s="316"/>
      <c r="FC30" s="316"/>
      <c r="FD30" s="316"/>
      <c r="FE30" s="316"/>
      <c r="FF30" s="316"/>
      <c r="FG30" s="316"/>
      <c r="FH30" s="316"/>
      <c r="FI30" s="316"/>
      <c r="FJ30" s="316"/>
      <c r="FK30" s="316"/>
      <c r="FL30" s="316"/>
      <c r="FM30" s="316"/>
      <c r="FN30" s="316"/>
      <c r="FO30" s="316"/>
      <c r="FP30" s="316"/>
      <c r="FQ30" s="316"/>
      <c r="FR30" s="316"/>
      <c r="FS30" s="316"/>
      <c r="FT30" s="316"/>
      <c r="FU30" s="316"/>
      <c r="FV30" s="316"/>
      <c r="FW30" s="316"/>
      <c r="FX30" s="316"/>
      <c r="FY30" s="316"/>
      <c r="FZ30" s="316"/>
      <c r="GA30" s="316"/>
      <c r="GB30" s="316"/>
      <c r="GC30" s="316"/>
      <c r="GD30" s="316"/>
      <c r="GE30" s="316"/>
      <c r="GF30" s="316"/>
      <c r="GG30" s="316"/>
      <c r="GH30" s="316"/>
      <c r="GI30" s="316"/>
      <c r="GJ30" s="316"/>
      <c r="GK30" s="316"/>
      <c r="GL30" s="316"/>
      <c r="GM30" s="316"/>
      <c r="GN30" s="316"/>
      <c r="GO30" s="316"/>
      <c r="GP30" s="316"/>
      <c r="GQ30" s="316"/>
      <c r="GR30" s="316"/>
      <c r="GS30" s="316"/>
      <c r="GT30" s="316"/>
      <c r="GU30" s="316"/>
      <c r="GV30" s="316"/>
      <c r="GW30" s="316"/>
      <c r="GX30" s="316"/>
      <c r="GY30" s="316"/>
      <c r="GZ30" s="316"/>
      <c r="HA30" s="316"/>
      <c r="HB30" s="316"/>
      <c r="HC30" s="316"/>
      <c r="HD30" s="316"/>
      <c r="HE30" s="316"/>
      <c r="HF30" s="316"/>
      <c r="HG30" s="316"/>
      <c r="HH30" s="316"/>
      <c r="HI30" s="316"/>
      <c r="HJ30" s="316"/>
      <c r="HK30" s="316"/>
      <c r="HL30" s="316"/>
      <c r="HM30" s="316"/>
      <c r="HN30" s="316"/>
      <c r="HO30" s="316"/>
      <c r="HP30" s="316"/>
      <c r="HQ30" s="316"/>
      <c r="HR30" s="316"/>
      <c r="HS30" s="316"/>
      <c r="HT30" s="316"/>
      <c r="HU30" s="316"/>
      <c r="HV30" s="316"/>
      <c r="HW30" s="316"/>
      <c r="HX30" s="316"/>
      <c r="HY30" s="316"/>
      <c r="HZ30" s="316"/>
      <c r="IA30" s="316"/>
      <c r="IB30" s="316"/>
      <c r="IC30" s="316"/>
      <c r="ID30" s="316"/>
      <c r="IE30" s="316"/>
      <c r="IF30" s="316"/>
      <c r="IG30" s="316"/>
      <c r="IH30" s="316"/>
      <c r="II30" s="316"/>
      <c r="IJ30" s="316"/>
      <c r="IK30" s="316"/>
      <c r="IL30" s="316"/>
      <c r="IM30" s="316"/>
      <c r="IN30" s="316"/>
      <c r="IO30" s="316"/>
      <c r="IP30" s="316"/>
      <c r="IQ30" s="316"/>
      <c r="IR30" s="316"/>
      <c r="IS30" s="316"/>
      <c r="IT30" s="316"/>
      <c r="IU30" s="316"/>
      <c r="IV30" s="316"/>
      <c r="IW30" s="316"/>
    </row>
    <row r="31" customFormat="false" ht="12.75" hidden="false" customHeight="false" outlineLevel="0" collapsed="false">
      <c r="A31" s="4" t="s">
        <v>118</v>
      </c>
      <c r="B31" s="153" t="n">
        <f aca="false">IS!B33*Allocation!$E$7</f>
        <v>11771.6055428957</v>
      </c>
      <c r="C31" s="153" t="n">
        <f aca="false">IS!C33*Allocation!$E$7</f>
        <v>11803.945118563</v>
      </c>
      <c r="D31" s="153" t="n">
        <f aca="false">IS!D33*Allocation!$E$7</f>
        <v>11803.945118563</v>
      </c>
      <c r="E31" s="153" t="n">
        <f aca="false">IS!E33*Allocation!$E$7</f>
        <v>11797.2556226422</v>
      </c>
      <c r="F31" s="153" t="n">
        <f aca="false">IS!F33*Allocation!$E$7</f>
        <v>11595.3791502006</v>
      </c>
      <c r="G31" s="153" t="n">
        <f aca="false">IS!G33*Allocation!$E$7</f>
        <v>11374.8948413073</v>
      </c>
      <c r="H31" s="153" t="n">
        <f aca="false">IS!H33*Allocation!$E$7</f>
        <v>11127.100164162</v>
      </c>
      <c r="I31" s="153" t="n">
        <f aca="false">IS!I33*Allocation!$E$7</f>
        <v>10883.7158191282</v>
      </c>
      <c r="J31" s="153" t="n">
        <f aca="false">IS!J33*Allocation!$E$7</f>
        <v>10545.8464895725</v>
      </c>
      <c r="K31" s="153" t="n">
        <f aca="false">IS!K33*Allocation!$E$7</f>
        <v>10189.029940334</v>
      </c>
      <c r="L31" s="153" t="n">
        <f aca="false">IS!L33*Allocation!$E$7</f>
        <v>9580.91433872857</v>
      </c>
      <c r="M31" s="153" t="n">
        <f aca="false">IS!M33*Allocation!$E$7</f>
        <v>8606.89231867913</v>
      </c>
      <c r="N31" s="153" t="n">
        <f aca="false">IS!N33*Allocation!$E$7</f>
        <v>7584.46319556954</v>
      </c>
      <c r="O31" s="153" t="n">
        <f aca="false">IS!O33*Allocation!$E$7</f>
        <v>6586.23762399003</v>
      </c>
      <c r="P31" s="153" t="n">
        <f aca="false">IS!P33*Allocation!$E$7</f>
        <v>5575.43167534404</v>
      </c>
      <c r="Q31" s="153" t="n">
        <f aca="false">IS!Q33*Allocation!$E$7</f>
        <v>4527.84179810148</v>
      </c>
      <c r="R31" s="153" t="n">
        <f aca="false">IS!R33*Allocation!$E$7</f>
        <v>3416.6663193816</v>
      </c>
      <c r="S31" s="153" t="n">
        <f aca="false">IS!S33*Allocation!$E$7</f>
        <v>2368.93969891007</v>
      </c>
      <c r="T31" s="153" t="n">
        <f aca="false">IS!T33*Allocation!$E$7</f>
        <v>1470.5366844885</v>
      </c>
      <c r="U31" s="153" t="n">
        <f aca="false">IS!U33*Allocation!$E$7</f>
        <v>574.321561730678</v>
      </c>
      <c r="W31" s="164" t="n">
        <f aca="false">SUM(B31:U31)</f>
        <v>163184.963022292</v>
      </c>
      <c r="X31" s="293"/>
      <c r="Y31" s="293"/>
      <c r="Z31" s="293"/>
      <c r="AA31" s="293"/>
      <c r="AB31" s="293"/>
      <c r="AC31" s="293"/>
      <c r="AD31" s="293"/>
      <c r="AE31" s="293"/>
      <c r="AF31" s="293"/>
      <c r="AG31" s="293"/>
      <c r="AH31" s="293"/>
      <c r="AI31" s="293"/>
      <c r="AJ31" s="293"/>
      <c r="AK31" s="293"/>
      <c r="AL31" s="293"/>
      <c r="AM31" s="293"/>
      <c r="AN31" s="293"/>
      <c r="AO31" s="293"/>
      <c r="AP31" s="293"/>
      <c r="AQ31" s="293"/>
      <c r="AR31" s="293"/>
      <c r="AS31" s="293"/>
      <c r="AT31" s="293"/>
      <c r="AU31" s="293"/>
      <c r="AV31" s="293"/>
      <c r="AW31" s="293"/>
      <c r="AX31" s="293"/>
      <c r="AY31" s="293"/>
      <c r="AZ31" s="293"/>
      <c r="BA31" s="293"/>
      <c r="BB31" s="293"/>
      <c r="BC31" s="293"/>
      <c r="BD31" s="293"/>
      <c r="BE31" s="293"/>
      <c r="BF31" s="293"/>
      <c r="BG31" s="293"/>
      <c r="BH31" s="293"/>
      <c r="BI31" s="293"/>
      <c r="BJ31" s="293"/>
      <c r="BK31" s="293"/>
      <c r="BL31" s="293"/>
      <c r="BM31" s="293"/>
      <c r="BN31" s="293"/>
      <c r="BO31" s="293"/>
      <c r="BP31" s="293"/>
      <c r="BQ31" s="293"/>
      <c r="BR31" s="293"/>
      <c r="BS31" s="293"/>
      <c r="BT31" s="293"/>
      <c r="BU31" s="293"/>
      <c r="BV31" s="293"/>
      <c r="BW31" s="293"/>
      <c r="BX31" s="293"/>
      <c r="BY31" s="293"/>
      <c r="BZ31" s="293"/>
      <c r="CA31" s="293"/>
      <c r="CB31" s="293"/>
      <c r="CC31" s="293"/>
      <c r="CD31" s="293"/>
      <c r="CE31" s="293"/>
      <c r="CF31" s="293"/>
      <c r="CG31" s="293"/>
      <c r="CH31" s="293"/>
      <c r="CI31" s="293"/>
      <c r="CJ31" s="293"/>
      <c r="CK31" s="293"/>
      <c r="CL31" s="293"/>
      <c r="CM31" s="293"/>
      <c r="CN31" s="293"/>
      <c r="CO31" s="293"/>
      <c r="CP31" s="293"/>
      <c r="CQ31" s="293"/>
      <c r="CR31" s="293"/>
      <c r="CS31" s="293"/>
      <c r="CT31" s="293"/>
      <c r="CU31" s="293"/>
      <c r="CV31" s="293"/>
      <c r="CW31" s="293"/>
      <c r="CX31" s="293"/>
      <c r="CY31" s="293"/>
      <c r="CZ31" s="293"/>
      <c r="DA31" s="293"/>
      <c r="DB31" s="293"/>
      <c r="DC31" s="293"/>
      <c r="DD31" s="293"/>
      <c r="DE31" s="293"/>
      <c r="DF31" s="293"/>
      <c r="DG31" s="293"/>
      <c r="DH31" s="293"/>
      <c r="DI31" s="293"/>
      <c r="DJ31" s="293"/>
      <c r="DK31" s="293"/>
      <c r="DL31" s="293"/>
      <c r="DM31" s="293"/>
      <c r="DN31" s="293"/>
      <c r="DO31" s="293"/>
      <c r="DP31" s="293"/>
      <c r="DQ31" s="293"/>
      <c r="DR31" s="293"/>
      <c r="DS31" s="293"/>
      <c r="DT31" s="293"/>
      <c r="DU31" s="293"/>
      <c r="DV31" s="293"/>
      <c r="DW31" s="293"/>
      <c r="DX31" s="293"/>
      <c r="DY31" s="293"/>
      <c r="DZ31" s="293"/>
      <c r="EA31" s="293"/>
      <c r="EB31" s="293"/>
      <c r="EC31" s="293"/>
      <c r="ED31" s="293"/>
      <c r="EE31" s="293"/>
      <c r="EF31" s="293"/>
      <c r="EG31" s="293"/>
      <c r="EH31" s="293"/>
      <c r="EI31" s="293"/>
      <c r="EJ31" s="293"/>
      <c r="EK31" s="293"/>
      <c r="EL31" s="293"/>
      <c r="EM31" s="293"/>
      <c r="EN31" s="293"/>
      <c r="EO31" s="293"/>
      <c r="EP31" s="293"/>
      <c r="EQ31" s="293"/>
      <c r="ER31" s="293"/>
      <c r="ES31" s="293"/>
      <c r="ET31" s="293"/>
      <c r="EU31" s="293"/>
      <c r="EV31" s="293"/>
      <c r="EW31" s="293"/>
      <c r="EX31" s="293"/>
      <c r="EY31" s="293"/>
      <c r="EZ31" s="293"/>
      <c r="FA31" s="293"/>
      <c r="FB31" s="293"/>
      <c r="FC31" s="293"/>
      <c r="FD31" s="293"/>
      <c r="FE31" s="293"/>
      <c r="FF31" s="293"/>
      <c r="FG31" s="293"/>
      <c r="FH31" s="293"/>
      <c r="FI31" s="293"/>
      <c r="FJ31" s="293"/>
      <c r="FK31" s="293"/>
      <c r="FL31" s="293"/>
      <c r="FM31" s="293"/>
      <c r="FN31" s="293"/>
      <c r="FO31" s="293"/>
      <c r="FP31" s="293"/>
      <c r="FQ31" s="293"/>
      <c r="FR31" s="293"/>
      <c r="FS31" s="293"/>
      <c r="FT31" s="293"/>
      <c r="FU31" s="293"/>
      <c r="FV31" s="293"/>
      <c r="FW31" s="293"/>
      <c r="FX31" s="293"/>
      <c r="FY31" s="293"/>
      <c r="FZ31" s="293"/>
      <c r="GA31" s="293"/>
      <c r="GB31" s="293"/>
      <c r="GC31" s="293"/>
      <c r="GD31" s="293"/>
      <c r="GE31" s="293"/>
      <c r="GF31" s="293"/>
      <c r="GG31" s="293"/>
      <c r="GH31" s="293"/>
      <c r="GI31" s="293"/>
      <c r="GJ31" s="293"/>
      <c r="GK31" s="293"/>
      <c r="GL31" s="293"/>
      <c r="GM31" s="293"/>
      <c r="GN31" s="293"/>
      <c r="GO31" s="293"/>
      <c r="GP31" s="293"/>
      <c r="GQ31" s="293"/>
      <c r="GR31" s="293"/>
      <c r="GS31" s="293"/>
      <c r="GT31" s="293"/>
      <c r="GU31" s="293"/>
      <c r="GV31" s="293"/>
      <c r="GW31" s="293"/>
      <c r="GX31" s="293"/>
      <c r="GY31" s="293"/>
      <c r="GZ31" s="293"/>
      <c r="HA31" s="293"/>
      <c r="HB31" s="293"/>
      <c r="HC31" s="293"/>
      <c r="HD31" s="293"/>
      <c r="HE31" s="293"/>
      <c r="HF31" s="293"/>
      <c r="HG31" s="293"/>
      <c r="HH31" s="293"/>
      <c r="HI31" s="293"/>
      <c r="HJ31" s="293"/>
      <c r="HK31" s="293"/>
      <c r="HL31" s="293"/>
      <c r="HM31" s="293"/>
      <c r="HN31" s="293"/>
      <c r="HO31" s="293"/>
      <c r="HP31" s="293"/>
      <c r="HQ31" s="293"/>
      <c r="HR31" s="293"/>
      <c r="HS31" s="293"/>
      <c r="HT31" s="293"/>
      <c r="HU31" s="293"/>
      <c r="HV31" s="293"/>
      <c r="HW31" s="293"/>
      <c r="HX31" s="293"/>
      <c r="HY31" s="293"/>
      <c r="HZ31" s="293"/>
      <c r="IA31" s="293"/>
      <c r="IB31" s="293"/>
      <c r="IC31" s="293"/>
      <c r="ID31" s="293"/>
      <c r="IE31" s="293"/>
      <c r="IF31" s="293"/>
      <c r="IG31" s="293"/>
      <c r="IH31" s="293"/>
      <c r="II31" s="293"/>
      <c r="IJ31" s="293"/>
      <c r="IK31" s="293"/>
      <c r="IL31" s="293"/>
      <c r="IM31" s="293"/>
      <c r="IN31" s="293"/>
      <c r="IO31" s="293"/>
      <c r="IP31" s="293"/>
      <c r="IQ31" s="293"/>
      <c r="IR31" s="293"/>
      <c r="IS31" s="293"/>
      <c r="IT31" s="293"/>
      <c r="IU31" s="293"/>
      <c r="IV31" s="293"/>
      <c r="IW31" s="293"/>
    </row>
    <row r="32" customFormat="false" ht="12.75" hidden="false" customHeight="false" outlineLevel="0" collapsed="false">
      <c r="B32" s="259"/>
      <c r="C32" s="259"/>
      <c r="D32" s="259"/>
      <c r="E32" s="259"/>
      <c r="F32" s="259"/>
      <c r="G32" s="259"/>
      <c r="H32" s="259"/>
      <c r="I32" s="259"/>
      <c r="J32" s="259"/>
      <c r="K32" s="259"/>
      <c r="L32" s="259"/>
      <c r="M32" s="259"/>
      <c r="N32" s="259"/>
      <c r="O32" s="259"/>
      <c r="P32" s="259"/>
      <c r="Q32" s="259"/>
      <c r="R32" s="259"/>
      <c r="S32" s="259"/>
      <c r="T32" s="259"/>
      <c r="U32" s="259"/>
      <c r="W32" s="164"/>
      <c r="X32" s="293"/>
      <c r="Y32" s="293"/>
      <c r="Z32" s="293"/>
      <c r="AA32" s="293"/>
      <c r="AB32" s="293"/>
      <c r="AC32" s="293"/>
      <c r="AD32" s="293"/>
      <c r="AE32" s="293"/>
      <c r="AF32" s="293"/>
      <c r="AG32" s="293"/>
      <c r="AH32" s="293"/>
      <c r="AI32" s="293"/>
      <c r="AJ32" s="293"/>
      <c r="AK32" s="293"/>
      <c r="AL32" s="293"/>
      <c r="AM32" s="293"/>
      <c r="AN32" s="293"/>
      <c r="AO32" s="293"/>
      <c r="AP32" s="293"/>
      <c r="AQ32" s="293"/>
      <c r="AR32" s="293"/>
      <c r="AS32" s="293"/>
      <c r="AT32" s="293"/>
      <c r="AU32" s="293"/>
      <c r="AV32" s="293"/>
      <c r="AW32" s="293"/>
      <c r="AX32" s="293"/>
      <c r="AY32" s="293"/>
      <c r="AZ32" s="293"/>
      <c r="BA32" s="293"/>
      <c r="BB32" s="293"/>
      <c r="BC32" s="293"/>
      <c r="BD32" s="293"/>
      <c r="BE32" s="293"/>
      <c r="BF32" s="293"/>
      <c r="BG32" s="293"/>
      <c r="BH32" s="293"/>
      <c r="BI32" s="293"/>
      <c r="BJ32" s="293"/>
      <c r="BK32" s="293"/>
      <c r="BL32" s="293"/>
      <c r="BM32" s="293"/>
      <c r="BN32" s="293"/>
      <c r="BO32" s="293"/>
      <c r="BP32" s="293"/>
      <c r="BQ32" s="293"/>
      <c r="BR32" s="293"/>
      <c r="BS32" s="293"/>
      <c r="BT32" s="293"/>
      <c r="BU32" s="293"/>
      <c r="BV32" s="293"/>
      <c r="BW32" s="293"/>
      <c r="BX32" s="293"/>
      <c r="BY32" s="293"/>
      <c r="BZ32" s="293"/>
      <c r="CA32" s="293"/>
      <c r="CB32" s="293"/>
      <c r="CC32" s="293"/>
      <c r="CD32" s="293"/>
      <c r="CE32" s="293"/>
      <c r="CF32" s="293"/>
      <c r="CG32" s="293"/>
      <c r="CH32" s="293"/>
      <c r="CI32" s="293"/>
      <c r="CJ32" s="293"/>
      <c r="CK32" s="293"/>
      <c r="CL32" s="293"/>
      <c r="CM32" s="293"/>
      <c r="CN32" s="293"/>
      <c r="CO32" s="293"/>
      <c r="CP32" s="293"/>
      <c r="CQ32" s="293"/>
      <c r="CR32" s="293"/>
      <c r="CS32" s="293"/>
      <c r="CT32" s="293"/>
      <c r="CU32" s="293"/>
      <c r="CV32" s="293"/>
      <c r="CW32" s="293"/>
      <c r="CX32" s="293"/>
      <c r="CY32" s="293"/>
      <c r="CZ32" s="293"/>
      <c r="DA32" s="293"/>
      <c r="DB32" s="293"/>
      <c r="DC32" s="293"/>
      <c r="DD32" s="293"/>
      <c r="DE32" s="293"/>
      <c r="DF32" s="293"/>
      <c r="DG32" s="293"/>
      <c r="DH32" s="293"/>
      <c r="DI32" s="293"/>
      <c r="DJ32" s="293"/>
      <c r="DK32" s="293"/>
      <c r="DL32" s="293"/>
      <c r="DM32" s="293"/>
      <c r="DN32" s="293"/>
      <c r="DO32" s="293"/>
      <c r="DP32" s="293"/>
      <c r="DQ32" s="293"/>
      <c r="DR32" s="293"/>
      <c r="DS32" s="293"/>
      <c r="DT32" s="293"/>
      <c r="DU32" s="293"/>
      <c r="DV32" s="293"/>
      <c r="DW32" s="293"/>
      <c r="DX32" s="293"/>
      <c r="DY32" s="293"/>
      <c r="DZ32" s="293"/>
      <c r="EA32" s="293"/>
      <c r="EB32" s="293"/>
      <c r="EC32" s="293"/>
      <c r="ED32" s="293"/>
      <c r="EE32" s="293"/>
      <c r="EF32" s="293"/>
      <c r="EG32" s="293"/>
      <c r="EH32" s="293"/>
      <c r="EI32" s="293"/>
      <c r="EJ32" s="293"/>
      <c r="EK32" s="293"/>
      <c r="EL32" s="293"/>
      <c r="EM32" s="293"/>
      <c r="EN32" s="293"/>
      <c r="EO32" s="293"/>
      <c r="EP32" s="293"/>
      <c r="EQ32" s="293"/>
      <c r="ER32" s="293"/>
      <c r="ES32" s="293"/>
      <c r="ET32" s="293"/>
      <c r="EU32" s="293"/>
      <c r="EV32" s="293"/>
      <c r="EW32" s="293"/>
      <c r="EX32" s="293"/>
      <c r="EY32" s="293"/>
      <c r="EZ32" s="293"/>
      <c r="FA32" s="293"/>
      <c r="FB32" s="293"/>
      <c r="FC32" s="293"/>
      <c r="FD32" s="293"/>
      <c r="FE32" s="293"/>
      <c r="FF32" s="293"/>
      <c r="FG32" s="293"/>
      <c r="FH32" s="293"/>
      <c r="FI32" s="293"/>
      <c r="FJ32" s="293"/>
      <c r="FK32" s="293"/>
      <c r="FL32" s="293"/>
      <c r="FM32" s="293"/>
      <c r="FN32" s="293"/>
      <c r="FO32" s="293"/>
      <c r="FP32" s="293"/>
      <c r="FQ32" s="293"/>
      <c r="FR32" s="293"/>
      <c r="FS32" s="293"/>
      <c r="FT32" s="293"/>
      <c r="FU32" s="293"/>
      <c r="FV32" s="293"/>
      <c r="FW32" s="293"/>
      <c r="FX32" s="293"/>
      <c r="FY32" s="293"/>
      <c r="FZ32" s="293"/>
      <c r="GA32" s="293"/>
      <c r="GB32" s="293"/>
      <c r="GC32" s="293"/>
      <c r="GD32" s="293"/>
      <c r="GE32" s="293"/>
      <c r="GF32" s="293"/>
      <c r="GG32" s="293"/>
      <c r="GH32" s="293"/>
      <c r="GI32" s="293"/>
      <c r="GJ32" s="293"/>
      <c r="GK32" s="293"/>
      <c r="GL32" s="293"/>
      <c r="GM32" s="293"/>
      <c r="GN32" s="293"/>
      <c r="GO32" s="293"/>
      <c r="GP32" s="293"/>
      <c r="GQ32" s="293"/>
      <c r="GR32" s="293"/>
      <c r="GS32" s="293"/>
      <c r="GT32" s="293"/>
      <c r="GU32" s="293"/>
      <c r="GV32" s="293"/>
      <c r="GW32" s="293"/>
      <c r="GX32" s="293"/>
      <c r="GY32" s="293"/>
      <c r="GZ32" s="293"/>
      <c r="HA32" s="293"/>
      <c r="HB32" s="293"/>
      <c r="HC32" s="293"/>
      <c r="HD32" s="293"/>
      <c r="HE32" s="293"/>
      <c r="HF32" s="293"/>
      <c r="HG32" s="293"/>
      <c r="HH32" s="293"/>
      <c r="HI32" s="293"/>
      <c r="HJ32" s="293"/>
      <c r="HK32" s="293"/>
      <c r="HL32" s="293"/>
      <c r="HM32" s="293"/>
      <c r="HN32" s="293"/>
      <c r="HO32" s="293"/>
      <c r="HP32" s="293"/>
      <c r="HQ32" s="293"/>
      <c r="HR32" s="293"/>
      <c r="HS32" s="293"/>
      <c r="HT32" s="293"/>
      <c r="HU32" s="293"/>
      <c r="HV32" s="293"/>
      <c r="HW32" s="293"/>
      <c r="HX32" s="293"/>
      <c r="HY32" s="293"/>
      <c r="HZ32" s="293"/>
      <c r="IA32" s="293"/>
      <c r="IB32" s="293"/>
      <c r="IC32" s="293"/>
      <c r="ID32" s="293"/>
      <c r="IE32" s="293"/>
      <c r="IF32" s="293"/>
      <c r="IG32" s="293"/>
      <c r="IH32" s="293"/>
      <c r="II32" s="293"/>
      <c r="IJ32" s="293"/>
      <c r="IK32" s="293"/>
      <c r="IL32" s="293"/>
      <c r="IM32" s="293"/>
      <c r="IN32" s="293"/>
      <c r="IO32" s="293"/>
      <c r="IP32" s="293"/>
      <c r="IQ32" s="293"/>
      <c r="IR32" s="293"/>
      <c r="IS32" s="293"/>
      <c r="IT32" s="293"/>
      <c r="IU32" s="293"/>
      <c r="IV32" s="293"/>
      <c r="IW32" s="293"/>
    </row>
    <row r="33" customFormat="false" ht="12.75" hidden="false" customHeight="false" outlineLevel="0" collapsed="false">
      <c r="A33" s="163" t="s">
        <v>119</v>
      </c>
      <c r="B33" s="320" t="n">
        <f aca="false">B29-B31</f>
        <v>12629.1694864267</v>
      </c>
      <c r="C33" s="320" t="n">
        <f aca="false">C29-C31</f>
        <v>14166.576438932</v>
      </c>
      <c r="D33" s="320" t="n">
        <f aca="false">D29-D31</f>
        <v>15846.7819925534</v>
      </c>
      <c r="E33" s="320" t="n">
        <f aca="false">E29-E31</f>
        <v>17649.6016705558</v>
      </c>
      <c r="F33" s="320" t="n">
        <f aca="false">F29-F31</f>
        <v>19777.9446552145</v>
      </c>
      <c r="G33" s="320" t="n">
        <f aca="false">G29-G31</f>
        <v>20626.7288671061</v>
      </c>
      <c r="H33" s="320" t="n">
        <f aca="false">H29-H31</f>
        <v>21466.7577885947</v>
      </c>
      <c r="I33" s="320" t="n">
        <f aca="false">I29-I31</f>
        <v>22378.1874570618</v>
      </c>
      <c r="J33" s="320" t="n">
        <f aca="false">J29-J31</f>
        <v>23500.5664767398</v>
      </c>
      <c r="K33" s="320" t="n">
        <f aca="false">K29-K31</f>
        <v>24736.3709754747</v>
      </c>
      <c r="L33" s="320" t="n">
        <f aca="false">L29-L31</f>
        <v>25678.1654561013</v>
      </c>
      <c r="M33" s="320" t="n">
        <f aca="false">M29-M31</f>
        <v>27147.7177941761</v>
      </c>
      <c r="N33" s="320" t="n">
        <f aca="false">N29-N31</f>
        <v>28670.4653872995</v>
      </c>
      <c r="O33" s="320" t="n">
        <f aca="false">O29-O31</f>
        <v>30173.8468474393</v>
      </c>
      <c r="P33" s="320" t="n">
        <f aca="false">P29-P31</f>
        <v>31694.6607812701</v>
      </c>
      <c r="Q33" s="320" t="n">
        <f aca="false">Q29-Q31</f>
        <v>33367.3078454367</v>
      </c>
      <c r="R33" s="320" t="n">
        <f aca="false">R29-R31</f>
        <v>35111.497159039</v>
      </c>
      <c r="S33" s="320" t="n">
        <f aca="false">S29-S31</f>
        <v>36800.2697392792</v>
      </c>
      <c r="T33" s="320" t="n">
        <f aca="false">T29-T31</f>
        <v>38347.8261116508</v>
      </c>
      <c r="U33" s="320" t="n">
        <f aca="false">U29-U31</f>
        <v>39901.3770167774</v>
      </c>
      <c r="V33" s="293"/>
      <c r="W33" s="164" t="n">
        <f aca="false">SUM(B33:U33)</f>
        <v>519671.819947129</v>
      </c>
    </row>
    <row r="34" customFormat="false" ht="12.75" hidden="false" customHeight="false" outlineLevel="0" collapsed="false">
      <c r="A34" s="163"/>
      <c r="B34" s="320"/>
      <c r="C34" s="320"/>
      <c r="D34" s="320"/>
      <c r="E34" s="320"/>
      <c r="F34" s="320"/>
      <c r="G34" s="320"/>
      <c r="H34" s="320"/>
      <c r="I34" s="320"/>
      <c r="J34" s="320"/>
      <c r="K34" s="320"/>
      <c r="L34" s="320"/>
      <c r="M34" s="320"/>
      <c r="N34" s="320"/>
      <c r="O34" s="320"/>
      <c r="P34" s="320"/>
      <c r="Q34" s="320"/>
      <c r="R34" s="320"/>
      <c r="S34" s="320"/>
      <c r="T34" s="320"/>
      <c r="U34" s="320"/>
      <c r="V34" s="293"/>
      <c r="W34" s="164"/>
    </row>
    <row r="35" customFormat="false" ht="12.75" hidden="false" customHeight="false" outlineLevel="0" collapsed="false">
      <c r="A35" s="169" t="s">
        <v>120</v>
      </c>
      <c r="B35" s="153" t="n">
        <f aca="false">B33*-Assumptions!$D$38</f>
        <v>-568.312626889201</v>
      </c>
      <c r="C35" s="153" t="n">
        <f aca="false">C33*-Assumptions!$D$38</f>
        <v>-637.495939751939</v>
      </c>
      <c r="D35" s="153" t="n">
        <f aca="false">D33*-Assumptions!$D$38</f>
        <v>-713.105189664902</v>
      </c>
      <c r="E35" s="153" t="n">
        <f aca="false">E33*-Assumptions!$D$38</f>
        <v>-794.232075175012</v>
      </c>
      <c r="F35" s="153" t="n">
        <f aca="false">F33*-Assumptions!$D$38</f>
        <v>-890.007509484654</v>
      </c>
      <c r="G35" s="153" t="n">
        <f aca="false">G33*-Assumptions!$D$38</f>
        <v>-928.202799019774</v>
      </c>
      <c r="H35" s="153" t="n">
        <f aca="false">H33*-Assumptions!$D$38</f>
        <v>-966.004100486759</v>
      </c>
      <c r="I35" s="153" t="n">
        <f aca="false">I33*-Assumptions!$D$38</f>
        <v>-1007.01843556778</v>
      </c>
      <c r="J35" s="153" t="n">
        <f aca="false">J33*-Assumptions!$D$38</f>
        <v>-1057.52549145329</v>
      </c>
      <c r="K35" s="153" t="n">
        <f aca="false">K33*-Assumptions!$D$38</f>
        <v>-1113.13669389636</v>
      </c>
      <c r="L35" s="153" t="n">
        <f aca="false">L33*-Assumptions!$D$38</f>
        <v>-1155.51744552456</v>
      </c>
      <c r="M35" s="153" t="n">
        <f aca="false">M33*-Assumptions!$D$38</f>
        <v>-1221.64730073793</v>
      </c>
      <c r="N35" s="153" t="n">
        <f aca="false">N33*-Assumptions!$D$38</f>
        <v>-1290.17094242848</v>
      </c>
      <c r="O35" s="153" t="n">
        <f aca="false">O33*-Assumptions!$D$38</f>
        <v>-1357.82310813477</v>
      </c>
      <c r="P35" s="153" t="n">
        <f aca="false">P33*-Assumptions!$D$38</f>
        <v>-1426.25973515715</v>
      </c>
      <c r="Q35" s="153" t="n">
        <f aca="false">Q33*-Assumptions!$D$38</f>
        <v>-1501.52885304465</v>
      </c>
      <c r="R35" s="153" t="n">
        <f aca="false">R33*-Assumptions!$D$38</f>
        <v>-1580.01737215675</v>
      </c>
      <c r="S35" s="153" t="n">
        <f aca="false">S33*-Assumptions!$D$38</f>
        <v>-1656.01213826757</v>
      </c>
      <c r="T35" s="153" t="n">
        <f aca="false">T33*-Assumptions!$D$38</f>
        <v>-1725.65217502429</v>
      </c>
      <c r="U35" s="153" t="n">
        <f aca="false">U33*-Assumptions!$D$38</f>
        <v>-1795.56196575498</v>
      </c>
      <c r="W35" s="164" t="n">
        <f aca="false">SUM(B35:U35)</f>
        <v>-23385.2318976208</v>
      </c>
      <c r="X35" s="293"/>
      <c r="Y35" s="293"/>
      <c r="Z35" s="293"/>
      <c r="AA35" s="293"/>
      <c r="AB35" s="293"/>
      <c r="AC35" s="293"/>
      <c r="AD35" s="293"/>
      <c r="AE35" s="293"/>
      <c r="AF35" s="293"/>
      <c r="AG35" s="293"/>
      <c r="AH35" s="293"/>
      <c r="AI35" s="293"/>
      <c r="AJ35" s="293"/>
      <c r="AK35" s="293"/>
      <c r="AL35" s="293"/>
      <c r="AM35" s="293"/>
      <c r="AN35" s="293"/>
      <c r="AO35" s="293"/>
      <c r="AP35" s="293"/>
      <c r="AQ35" s="293"/>
      <c r="AR35" s="293"/>
      <c r="AS35" s="293"/>
      <c r="AT35" s="293"/>
      <c r="AU35" s="293"/>
      <c r="AV35" s="293"/>
      <c r="AW35" s="293"/>
      <c r="AX35" s="293"/>
      <c r="AY35" s="293"/>
      <c r="AZ35" s="293"/>
      <c r="BA35" s="293"/>
      <c r="BB35" s="293"/>
      <c r="BC35" s="293"/>
      <c r="BD35" s="293"/>
      <c r="BE35" s="293"/>
      <c r="BF35" s="293"/>
      <c r="BG35" s="293"/>
      <c r="BH35" s="293"/>
      <c r="BI35" s="293"/>
      <c r="BJ35" s="293"/>
      <c r="BK35" s="293"/>
      <c r="BL35" s="293"/>
      <c r="BM35" s="293"/>
      <c r="BN35" s="293"/>
      <c r="BO35" s="293"/>
      <c r="BP35" s="293"/>
      <c r="BQ35" s="293"/>
      <c r="BR35" s="293"/>
      <c r="BS35" s="293"/>
      <c r="BT35" s="293"/>
      <c r="BU35" s="293"/>
      <c r="BV35" s="293"/>
      <c r="BW35" s="293"/>
      <c r="BX35" s="293"/>
      <c r="BY35" s="293"/>
      <c r="BZ35" s="293"/>
      <c r="CA35" s="293"/>
      <c r="CB35" s="293"/>
      <c r="CC35" s="293"/>
      <c r="CD35" s="293"/>
      <c r="CE35" s="293"/>
      <c r="CF35" s="293"/>
      <c r="CG35" s="293"/>
      <c r="CH35" s="293"/>
      <c r="CI35" s="293"/>
      <c r="CJ35" s="293"/>
      <c r="CK35" s="293"/>
      <c r="CL35" s="293"/>
      <c r="CM35" s="293"/>
      <c r="CN35" s="293"/>
      <c r="CO35" s="293"/>
      <c r="CP35" s="293"/>
      <c r="CQ35" s="293"/>
      <c r="CR35" s="293"/>
      <c r="CS35" s="293"/>
      <c r="CT35" s="293"/>
      <c r="CU35" s="293"/>
      <c r="CV35" s="293"/>
      <c r="CW35" s="293"/>
      <c r="CX35" s="293"/>
      <c r="CY35" s="293"/>
      <c r="CZ35" s="293"/>
      <c r="DA35" s="293"/>
      <c r="DB35" s="293"/>
      <c r="DC35" s="293"/>
      <c r="DD35" s="293"/>
      <c r="DE35" s="293"/>
      <c r="DF35" s="293"/>
      <c r="DG35" s="293"/>
      <c r="DH35" s="293"/>
      <c r="DI35" s="293"/>
      <c r="DJ35" s="293"/>
      <c r="DK35" s="293"/>
      <c r="DL35" s="293"/>
      <c r="DM35" s="293"/>
      <c r="DN35" s="293"/>
      <c r="DO35" s="293"/>
      <c r="DP35" s="293"/>
      <c r="DQ35" s="293"/>
      <c r="DR35" s="293"/>
      <c r="DS35" s="293"/>
      <c r="DT35" s="293"/>
      <c r="DU35" s="293"/>
      <c r="DV35" s="293"/>
      <c r="DW35" s="293"/>
      <c r="DX35" s="293"/>
      <c r="DY35" s="293"/>
      <c r="DZ35" s="293"/>
      <c r="EA35" s="293"/>
      <c r="EB35" s="293"/>
      <c r="EC35" s="293"/>
      <c r="ED35" s="293"/>
      <c r="EE35" s="293"/>
      <c r="EF35" s="293"/>
      <c r="EG35" s="293"/>
      <c r="EH35" s="293"/>
      <c r="EI35" s="293"/>
      <c r="EJ35" s="293"/>
      <c r="EK35" s="293"/>
      <c r="EL35" s="293"/>
      <c r="EM35" s="293"/>
      <c r="EN35" s="293"/>
      <c r="EO35" s="293"/>
      <c r="EP35" s="293"/>
      <c r="EQ35" s="293"/>
      <c r="ER35" s="293"/>
      <c r="ES35" s="293"/>
      <c r="ET35" s="293"/>
      <c r="EU35" s="293"/>
      <c r="EV35" s="293"/>
      <c r="EW35" s="293"/>
      <c r="EX35" s="293"/>
      <c r="EY35" s="293"/>
      <c r="EZ35" s="293"/>
      <c r="FA35" s="293"/>
      <c r="FB35" s="293"/>
      <c r="FC35" s="293"/>
      <c r="FD35" s="293"/>
      <c r="FE35" s="293"/>
      <c r="FF35" s="293"/>
      <c r="FG35" s="293"/>
      <c r="FH35" s="293"/>
      <c r="FI35" s="293"/>
      <c r="FJ35" s="293"/>
      <c r="FK35" s="293"/>
      <c r="FL35" s="293"/>
      <c r="FM35" s="293"/>
      <c r="FN35" s="293"/>
      <c r="FO35" s="293"/>
      <c r="FP35" s="293"/>
      <c r="FQ35" s="293"/>
      <c r="FR35" s="293"/>
      <c r="FS35" s="293"/>
      <c r="FT35" s="293"/>
      <c r="FU35" s="293"/>
      <c r="FV35" s="293"/>
      <c r="FW35" s="293"/>
      <c r="FX35" s="293"/>
      <c r="FY35" s="293"/>
      <c r="FZ35" s="293"/>
      <c r="GA35" s="293"/>
      <c r="GB35" s="293"/>
      <c r="GC35" s="293"/>
      <c r="GD35" s="293"/>
      <c r="GE35" s="293"/>
      <c r="GF35" s="293"/>
      <c r="GG35" s="293"/>
      <c r="GH35" s="293"/>
      <c r="GI35" s="293"/>
      <c r="GJ35" s="293"/>
      <c r="GK35" s="293"/>
      <c r="GL35" s="293"/>
      <c r="GM35" s="293"/>
      <c r="GN35" s="293"/>
      <c r="GO35" s="293"/>
      <c r="GP35" s="293"/>
      <c r="GQ35" s="293"/>
      <c r="GR35" s="293"/>
      <c r="GS35" s="293"/>
      <c r="GT35" s="293"/>
      <c r="GU35" s="293"/>
      <c r="GV35" s="293"/>
      <c r="GW35" s="293"/>
      <c r="GX35" s="293"/>
      <c r="GY35" s="293"/>
      <c r="GZ35" s="293"/>
      <c r="HA35" s="293"/>
      <c r="HB35" s="293"/>
      <c r="HC35" s="293"/>
      <c r="HD35" s="293"/>
      <c r="HE35" s="293"/>
      <c r="HF35" s="293"/>
      <c r="HG35" s="293"/>
      <c r="HH35" s="293"/>
      <c r="HI35" s="293"/>
      <c r="HJ35" s="293"/>
      <c r="HK35" s="293"/>
      <c r="HL35" s="293"/>
      <c r="HM35" s="293"/>
      <c r="HN35" s="293"/>
      <c r="HO35" s="293"/>
      <c r="HP35" s="293"/>
      <c r="HQ35" s="293"/>
      <c r="HR35" s="293"/>
      <c r="HS35" s="293"/>
      <c r="HT35" s="293"/>
      <c r="HU35" s="293"/>
      <c r="HV35" s="293"/>
      <c r="HW35" s="293"/>
      <c r="HX35" s="293"/>
      <c r="HY35" s="293"/>
      <c r="HZ35" s="293"/>
      <c r="IA35" s="293"/>
      <c r="IB35" s="293"/>
      <c r="IC35" s="293"/>
      <c r="ID35" s="293"/>
      <c r="IE35" s="293"/>
      <c r="IF35" s="293"/>
      <c r="IG35" s="293"/>
      <c r="IH35" s="293"/>
      <c r="II35" s="293"/>
      <c r="IJ35" s="293"/>
      <c r="IK35" s="293"/>
      <c r="IL35" s="293"/>
      <c r="IM35" s="293"/>
      <c r="IN35" s="293"/>
      <c r="IO35" s="293"/>
      <c r="IP35" s="293"/>
      <c r="IQ35" s="293"/>
      <c r="IR35" s="293"/>
      <c r="IS35" s="293"/>
      <c r="IT35" s="293"/>
      <c r="IU35" s="293"/>
      <c r="IV35" s="293"/>
      <c r="IW35" s="293"/>
    </row>
    <row r="36" customFormat="false" ht="12.75" hidden="false" customHeight="false" outlineLevel="0" collapsed="false">
      <c r="A36" s="169" t="s">
        <v>121</v>
      </c>
      <c r="B36" s="322" t="n">
        <f aca="false">(B33+B35)*-Assumptions!$D$37</f>
        <v>-4221.29990083812</v>
      </c>
      <c r="C36" s="322" t="n">
        <f aca="false">(C33+C35)*-Assumptions!$D$37</f>
        <v>-4735.17817471301</v>
      </c>
      <c r="D36" s="322" t="n">
        <f aca="false">(D33+D35)*-Assumptions!$D$37</f>
        <v>-5296.78688101096</v>
      </c>
      <c r="E36" s="322" t="n">
        <f aca="false">(E33+E35)*-Assumptions!$D$37</f>
        <v>-5899.37935838328</v>
      </c>
      <c r="F36" s="322" t="n">
        <f aca="false">(F33+F35)*-Assumptions!$D$37</f>
        <v>-6610.77800100546</v>
      </c>
      <c r="G36" s="322" t="n">
        <f aca="false">(G33+G35)*-Assumptions!$D$37</f>
        <v>-6894.48412383021</v>
      </c>
      <c r="H36" s="322" t="n">
        <f aca="false">(H33+H35)*-Assumptions!$D$37</f>
        <v>-7175.26379083776</v>
      </c>
      <c r="I36" s="322" t="n">
        <f aca="false">(I33+I35)*-Assumptions!$D$37</f>
        <v>-7479.90915752291</v>
      </c>
      <c r="J36" s="322" t="n">
        <f aca="false">(J33+J35)*-Assumptions!$D$37</f>
        <v>-7855.06434485027</v>
      </c>
      <c r="K36" s="322" t="n">
        <f aca="false">(K33+K35)*-Assumptions!$D$37</f>
        <v>-8268.13199855243</v>
      </c>
      <c r="L36" s="322" t="n">
        <f aca="false">(L33+L35)*-Assumptions!$D$37</f>
        <v>-8582.92680370187</v>
      </c>
      <c r="M36" s="322" t="n">
        <f aca="false">(M33+M35)*-Assumptions!$D$37</f>
        <v>-9074.12467270338</v>
      </c>
      <c r="N36" s="322" t="n">
        <f aca="false">(N33+N35)*-Assumptions!$D$37</f>
        <v>-9583.10305570485</v>
      </c>
      <c r="O36" s="322" t="n">
        <f aca="false">(O33+O35)*-Assumptions!$D$37</f>
        <v>-10085.6083087566</v>
      </c>
      <c r="P36" s="322" t="n">
        <f aca="false">(P33+P35)*-Assumptions!$D$37</f>
        <v>-10593.9403661395</v>
      </c>
      <c r="Q36" s="322" t="n">
        <f aca="false">(Q33+Q35)*-Assumptions!$D$37</f>
        <v>-11153.0226473372</v>
      </c>
      <c r="R36" s="322" t="n">
        <f aca="false">(R33+R35)*-Assumptions!$D$37</f>
        <v>-11736.0179254088</v>
      </c>
      <c r="S36" s="322" t="n">
        <f aca="false">(S33+S35)*-Assumptions!$D$37</f>
        <v>-12300.4901603541</v>
      </c>
      <c r="T36" s="322" t="n">
        <f aca="false">(T33+T35)*-Assumptions!$D$37</f>
        <v>-12817.7608778193</v>
      </c>
      <c r="U36" s="322" t="n">
        <f aca="false">(U33+U35)*-Assumptions!$D$37</f>
        <v>-13337.0352678579</v>
      </c>
      <c r="W36" s="164" t="n">
        <f aca="false">SUM(B36:U36)</f>
        <v>-173700.305817328</v>
      </c>
      <c r="X36" s="293"/>
      <c r="Y36" s="293"/>
      <c r="Z36" s="293"/>
      <c r="AA36" s="293"/>
      <c r="AB36" s="293"/>
      <c r="AC36" s="293"/>
      <c r="AD36" s="293"/>
      <c r="AE36" s="293"/>
      <c r="AF36" s="293"/>
      <c r="AG36" s="293"/>
      <c r="AH36" s="293"/>
      <c r="AI36" s="293"/>
      <c r="AJ36" s="293"/>
      <c r="AK36" s="293"/>
      <c r="AL36" s="293"/>
      <c r="AM36" s="293"/>
      <c r="AN36" s="293"/>
      <c r="AO36" s="293"/>
      <c r="AP36" s="293"/>
      <c r="AQ36" s="293"/>
      <c r="AR36" s="293"/>
      <c r="AS36" s="293"/>
      <c r="AT36" s="293"/>
      <c r="AU36" s="293"/>
      <c r="AV36" s="293"/>
      <c r="AW36" s="293"/>
      <c r="AX36" s="293"/>
      <c r="AY36" s="293"/>
      <c r="AZ36" s="293"/>
      <c r="BA36" s="293"/>
      <c r="BB36" s="293"/>
      <c r="BC36" s="293"/>
      <c r="BD36" s="293"/>
      <c r="BE36" s="293"/>
      <c r="BF36" s="293"/>
      <c r="BG36" s="293"/>
      <c r="BH36" s="293"/>
      <c r="BI36" s="293"/>
      <c r="BJ36" s="293"/>
      <c r="BK36" s="293"/>
      <c r="BL36" s="293"/>
      <c r="BM36" s="293"/>
      <c r="BN36" s="293"/>
      <c r="BO36" s="293"/>
      <c r="BP36" s="293"/>
      <c r="BQ36" s="293"/>
      <c r="BR36" s="293"/>
      <c r="BS36" s="293"/>
      <c r="BT36" s="293"/>
      <c r="BU36" s="293"/>
      <c r="BV36" s="293"/>
      <c r="BW36" s="293"/>
      <c r="BX36" s="293"/>
      <c r="BY36" s="293"/>
      <c r="BZ36" s="293"/>
      <c r="CA36" s="293"/>
      <c r="CB36" s="293"/>
      <c r="CC36" s="293"/>
      <c r="CD36" s="293"/>
      <c r="CE36" s="293"/>
      <c r="CF36" s="293"/>
      <c r="CG36" s="293"/>
      <c r="CH36" s="293"/>
      <c r="CI36" s="293"/>
      <c r="CJ36" s="293"/>
      <c r="CK36" s="293"/>
      <c r="CL36" s="293"/>
      <c r="CM36" s="293"/>
      <c r="CN36" s="293"/>
      <c r="CO36" s="293"/>
      <c r="CP36" s="293"/>
      <c r="CQ36" s="293"/>
      <c r="CR36" s="293"/>
      <c r="CS36" s="293"/>
      <c r="CT36" s="293"/>
      <c r="CU36" s="293"/>
      <c r="CV36" s="293"/>
      <c r="CW36" s="293"/>
      <c r="CX36" s="293"/>
      <c r="CY36" s="293"/>
      <c r="CZ36" s="293"/>
      <c r="DA36" s="293"/>
      <c r="DB36" s="293"/>
      <c r="DC36" s="293"/>
      <c r="DD36" s="293"/>
      <c r="DE36" s="293"/>
      <c r="DF36" s="293"/>
      <c r="DG36" s="293"/>
      <c r="DH36" s="293"/>
      <c r="DI36" s="293"/>
      <c r="DJ36" s="293"/>
      <c r="DK36" s="293"/>
      <c r="DL36" s="293"/>
      <c r="DM36" s="293"/>
      <c r="DN36" s="293"/>
      <c r="DO36" s="293"/>
      <c r="DP36" s="293"/>
      <c r="DQ36" s="293"/>
      <c r="DR36" s="293"/>
      <c r="DS36" s="293"/>
      <c r="DT36" s="293"/>
      <c r="DU36" s="293"/>
      <c r="DV36" s="293"/>
      <c r="DW36" s="293"/>
      <c r="DX36" s="293"/>
      <c r="DY36" s="293"/>
      <c r="DZ36" s="293"/>
      <c r="EA36" s="293"/>
      <c r="EB36" s="293"/>
      <c r="EC36" s="293"/>
      <c r="ED36" s="293"/>
      <c r="EE36" s="293"/>
      <c r="EF36" s="293"/>
      <c r="EG36" s="293"/>
      <c r="EH36" s="293"/>
      <c r="EI36" s="293"/>
      <c r="EJ36" s="293"/>
      <c r="EK36" s="293"/>
      <c r="EL36" s="293"/>
      <c r="EM36" s="293"/>
      <c r="EN36" s="293"/>
      <c r="EO36" s="293"/>
      <c r="EP36" s="293"/>
      <c r="EQ36" s="293"/>
      <c r="ER36" s="293"/>
      <c r="ES36" s="293"/>
      <c r="ET36" s="293"/>
      <c r="EU36" s="293"/>
      <c r="EV36" s="293"/>
      <c r="EW36" s="293"/>
      <c r="EX36" s="293"/>
      <c r="EY36" s="293"/>
      <c r="EZ36" s="293"/>
      <c r="FA36" s="293"/>
      <c r="FB36" s="293"/>
      <c r="FC36" s="293"/>
      <c r="FD36" s="293"/>
      <c r="FE36" s="293"/>
      <c r="FF36" s="293"/>
      <c r="FG36" s="293"/>
      <c r="FH36" s="293"/>
      <c r="FI36" s="293"/>
      <c r="FJ36" s="293"/>
      <c r="FK36" s="293"/>
      <c r="FL36" s="293"/>
      <c r="FM36" s="293"/>
      <c r="FN36" s="293"/>
      <c r="FO36" s="293"/>
      <c r="FP36" s="293"/>
      <c r="FQ36" s="293"/>
      <c r="FR36" s="293"/>
      <c r="FS36" s="293"/>
      <c r="FT36" s="293"/>
      <c r="FU36" s="293"/>
      <c r="FV36" s="293"/>
      <c r="FW36" s="293"/>
      <c r="FX36" s="293"/>
      <c r="FY36" s="293"/>
      <c r="FZ36" s="293"/>
      <c r="GA36" s="293"/>
      <c r="GB36" s="293"/>
      <c r="GC36" s="293"/>
      <c r="GD36" s="293"/>
      <c r="GE36" s="293"/>
      <c r="GF36" s="293"/>
      <c r="GG36" s="293"/>
      <c r="GH36" s="293"/>
      <c r="GI36" s="293"/>
      <c r="GJ36" s="293"/>
      <c r="GK36" s="293"/>
      <c r="GL36" s="293"/>
      <c r="GM36" s="293"/>
      <c r="GN36" s="293"/>
      <c r="GO36" s="293"/>
      <c r="GP36" s="293"/>
      <c r="GQ36" s="293"/>
      <c r="GR36" s="293"/>
      <c r="GS36" s="293"/>
      <c r="GT36" s="293"/>
      <c r="GU36" s="293"/>
      <c r="GV36" s="293"/>
      <c r="GW36" s="293"/>
      <c r="GX36" s="293"/>
      <c r="GY36" s="293"/>
      <c r="GZ36" s="293"/>
      <c r="HA36" s="293"/>
      <c r="HB36" s="293"/>
      <c r="HC36" s="293"/>
      <c r="HD36" s="293"/>
      <c r="HE36" s="293"/>
      <c r="HF36" s="293"/>
      <c r="HG36" s="293"/>
      <c r="HH36" s="293"/>
      <c r="HI36" s="293"/>
      <c r="HJ36" s="293"/>
      <c r="HK36" s="293"/>
      <c r="HL36" s="293"/>
      <c r="HM36" s="293"/>
      <c r="HN36" s="293"/>
      <c r="HO36" s="293"/>
      <c r="HP36" s="293"/>
      <c r="HQ36" s="293"/>
      <c r="HR36" s="293"/>
      <c r="HS36" s="293"/>
      <c r="HT36" s="293"/>
      <c r="HU36" s="293"/>
      <c r="HV36" s="293"/>
      <c r="HW36" s="293"/>
      <c r="HX36" s="293"/>
      <c r="HY36" s="293"/>
      <c r="HZ36" s="293"/>
      <c r="IA36" s="293"/>
      <c r="IB36" s="293"/>
      <c r="IC36" s="293"/>
      <c r="ID36" s="293"/>
      <c r="IE36" s="293"/>
      <c r="IF36" s="293"/>
      <c r="IG36" s="293"/>
      <c r="IH36" s="293"/>
      <c r="II36" s="293"/>
      <c r="IJ36" s="293"/>
      <c r="IK36" s="293"/>
      <c r="IL36" s="293"/>
      <c r="IM36" s="293"/>
      <c r="IN36" s="293"/>
      <c r="IO36" s="293"/>
      <c r="IP36" s="293"/>
      <c r="IQ36" s="293"/>
      <c r="IR36" s="293"/>
      <c r="IS36" s="293"/>
      <c r="IT36" s="293"/>
      <c r="IU36" s="293"/>
      <c r="IV36" s="293"/>
      <c r="IW36" s="293"/>
    </row>
    <row r="37" customFormat="false" ht="12.75" hidden="false" customHeight="false" outlineLevel="0" collapsed="false">
      <c r="B37" s="153"/>
      <c r="C37" s="164"/>
      <c r="D37" s="153"/>
      <c r="E37" s="153"/>
      <c r="F37" s="153"/>
      <c r="G37" s="153"/>
      <c r="H37" s="153"/>
      <c r="I37" s="153"/>
      <c r="J37" s="153"/>
      <c r="K37" s="153"/>
      <c r="L37" s="153"/>
      <c r="M37" s="153"/>
      <c r="N37" s="153"/>
      <c r="O37" s="153"/>
      <c r="P37" s="153"/>
      <c r="Q37" s="153"/>
      <c r="R37" s="153"/>
      <c r="S37" s="153"/>
      <c r="T37" s="153"/>
      <c r="U37" s="153"/>
      <c r="W37" s="164"/>
    </row>
    <row r="38" customFormat="false" ht="15.75" hidden="false" customHeight="false" outlineLevel="0" collapsed="false">
      <c r="A38" s="178" t="s">
        <v>196</v>
      </c>
      <c r="B38" s="323" t="n">
        <f aca="false">SUM(B33:B36)</f>
        <v>7839.55695869936</v>
      </c>
      <c r="C38" s="323" t="n">
        <f aca="false">SUM(C33:C36)</f>
        <v>8793.90232446702</v>
      </c>
      <c r="D38" s="323" t="n">
        <f aca="false">SUM(D33:D36)</f>
        <v>9836.8899218775</v>
      </c>
      <c r="E38" s="323" t="n">
        <f aca="false">SUM(E33:E36)</f>
        <v>10955.9902369975</v>
      </c>
      <c r="F38" s="323" t="n">
        <f aca="false">SUM(F33:F36)</f>
        <v>12277.1591447244</v>
      </c>
      <c r="G38" s="323" t="n">
        <f aca="false">SUM(G33:G36)</f>
        <v>12804.0419442561</v>
      </c>
      <c r="H38" s="323" t="n">
        <f aca="false">SUM(H33:H36)</f>
        <v>13325.4898972701</v>
      </c>
      <c r="I38" s="323" t="n">
        <f aca="false">SUM(I33:I36)</f>
        <v>13891.2598639711</v>
      </c>
      <c r="J38" s="323" t="n">
        <f aca="false">SUM(J33:J36)</f>
        <v>14587.9766404362</v>
      </c>
      <c r="K38" s="323" t="n">
        <f aca="false">SUM(K33:K36)</f>
        <v>15355.1022830259</v>
      </c>
      <c r="L38" s="323" t="n">
        <f aca="false">SUM(L33:L36)</f>
        <v>15939.7212068749</v>
      </c>
      <c r="M38" s="323" t="n">
        <f aca="false">SUM(M33:M36)</f>
        <v>16851.9458207348</v>
      </c>
      <c r="N38" s="323" t="n">
        <f aca="false">SUM(N33:N36)</f>
        <v>17797.1913891662</v>
      </c>
      <c r="O38" s="323" t="n">
        <f aca="false">SUM(O33:O36)</f>
        <v>18730.415430548</v>
      </c>
      <c r="P38" s="323" t="n">
        <f aca="false">SUM(P33:P36)</f>
        <v>19674.4606799734</v>
      </c>
      <c r="Q38" s="323" t="n">
        <f aca="false">SUM(Q33:Q36)</f>
        <v>20712.7563450548</v>
      </c>
      <c r="R38" s="323" t="n">
        <f aca="false">SUM(R33:R36)</f>
        <v>21795.4618614735</v>
      </c>
      <c r="S38" s="323" t="n">
        <f aca="false">SUM(S33:S36)</f>
        <v>22843.7674406576</v>
      </c>
      <c r="T38" s="323" t="n">
        <f aca="false">SUM(T33:T36)</f>
        <v>23804.4130588072</v>
      </c>
      <c r="U38" s="323" t="n">
        <f aca="false">SUM(U33:U36)</f>
        <v>24768.7797831646</v>
      </c>
      <c r="V38" s="324"/>
      <c r="W38" s="164" t="n">
        <f aca="false">SUM(B38:U38)</f>
        <v>322586.28223218</v>
      </c>
    </row>
    <row r="39" customFormat="false" ht="12.75" hidden="false" customHeight="false" outlineLevel="0" collapsed="false">
      <c r="A39" s="317"/>
      <c r="B39" s="325"/>
      <c r="C39" s="325"/>
      <c r="D39" s="325"/>
      <c r="E39" s="325"/>
      <c r="F39" s="325"/>
      <c r="G39" s="325"/>
      <c r="H39" s="325"/>
      <c r="I39" s="325"/>
      <c r="J39" s="325"/>
      <c r="K39" s="325"/>
      <c r="L39" s="325"/>
      <c r="M39" s="325"/>
      <c r="N39" s="325"/>
      <c r="O39" s="325"/>
      <c r="P39" s="325"/>
      <c r="Q39" s="325"/>
      <c r="R39" s="325"/>
      <c r="S39" s="325"/>
      <c r="T39" s="325"/>
      <c r="U39" s="325"/>
      <c r="V39" s="316"/>
      <c r="W39" s="316"/>
      <c r="X39" s="293"/>
      <c r="Y39" s="293"/>
      <c r="Z39" s="293"/>
      <c r="AA39" s="293"/>
      <c r="AB39" s="293"/>
      <c r="AC39" s="293"/>
      <c r="AD39" s="293"/>
      <c r="AE39" s="293"/>
      <c r="AF39" s="293"/>
      <c r="AG39" s="293"/>
      <c r="AH39" s="293"/>
      <c r="AI39" s="293"/>
      <c r="AJ39" s="293"/>
      <c r="AK39" s="293"/>
      <c r="AL39" s="293"/>
      <c r="AM39" s="293"/>
      <c r="AN39" s="293"/>
      <c r="AO39" s="293"/>
      <c r="AP39" s="293"/>
      <c r="AQ39" s="293"/>
      <c r="AR39" s="293"/>
      <c r="AS39" s="293"/>
      <c r="AT39" s="293"/>
      <c r="AU39" s="293"/>
      <c r="AV39" s="293"/>
      <c r="AW39" s="293"/>
      <c r="AX39" s="293"/>
      <c r="AY39" s="293"/>
      <c r="AZ39" s="293"/>
      <c r="BA39" s="293"/>
      <c r="BB39" s="293"/>
      <c r="BC39" s="293"/>
      <c r="BD39" s="293"/>
      <c r="BE39" s="293"/>
      <c r="BF39" s="293"/>
      <c r="BG39" s="293"/>
      <c r="BH39" s="293"/>
      <c r="BI39" s="293"/>
      <c r="BJ39" s="293"/>
      <c r="BK39" s="293"/>
      <c r="BL39" s="293"/>
      <c r="BM39" s="293"/>
      <c r="BN39" s="293"/>
      <c r="BO39" s="293"/>
      <c r="BP39" s="293"/>
      <c r="BQ39" s="293"/>
      <c r="BR39" s="293"/>
      <c r="BS39" s="293"/>
      <c r="BT39" s="293"/>
      <c r="BU39" s="293"/>
      <c r="BV39" s="293"/>
      <c r="BW39" s="293"/>
      <c r="BX39" s="293"/>
      <c r="BY39" s="293"/>
      <c r="BZ39" s="293"/>
      <c r="CA39" s="293"/>
      <c r="CB39" s="293"/>
      <c r="CC39" s="293"/>
      <c r="CD39" s="293"/>
      <c r="CE39" s="293"/>
      <c r="CF39" s="293"/>
      <c r="CG39" s="293"/>
      <c r="CH39" s="293"/>
      <c r="CI39" s="293"/>
      <c r="CJ39" s="293"/>
      <c r="CK39" s="293"/>
      <c r="CL39" s="293"/>
      <c r="CM39" s="293"/>
      <c r="CN39" s="293"/>
      <c r="CO39" s="293"/>
      <c r="CP39" s="293"/>
      <c r="CQ39" s="293"/>
      <c r="CR39" s="293"/>
      <c r="CS39" s="293"/>
      <c r="CT39" s="293"/>
      <c r="CU39" s="293"/>
      <c r="CV39" s="293"/>
      <c r="CW39" s="293"/>
      <c r="CX39" s="293"/>
      <c r="CY39" s="293"/>
      <c r="CZ39" s="293"/>
      <c r="DA39" s="293"/>
      <c r="DB39" s="293"/>
      <c r="DC39" s="293"/>
      <c r="DD39" s="293"/>
      <c r="DE39" s="293"/>
      <c r="DF39" s="293"/>
      <c r="DG39" s="293"/>
      <c r="DH39" s="293"/>
      <c r="DI39" s="293"/>
      <c r="DJ39" s="293"/>
      <c r="DK39" s="293"/>
      <c r="DL39" s="293"/>
      <c r="DM39" s="293"/>
      <c r="DN39" s="293"/>
      <c r="DO39" s="293"/>
      <c r="DP39" s="293"/>
      <c r="DQ39" s="293"/>
      <c r="DR39" s="293"/>
      <c r="DS39" s="293"/>
      <c r="DT39" s="293"/>
      <c r="DU39" s="293"/>
      <c r="DV39" s="293"/>
      <c r="DW39" s="293"/>
      <c r="DX39" s="293"/>
      <c r="DY39" s="293"/>
      <c r="DZ39" s="293"/>
      <c r="EA39" s="293"/>
      <c r="EB39" s="293"/>
      <c r="EC39" s="293"/>
      <c r="ED39" s="293"/>
      <c r="EE39" s="293"/>
      <c r="EF39" s="293"/>
      <c r="EG39" s="293"/>
      <c r="EH39" s="293"/>
      <c r="EI39" s="293"/>
      <c r="EJ39" s="293"/>
      <c r="EK39" s="293"/>
      <c r="EL39" s="293"/>
      <c r="EM39" s="293"/>
      <c r="EN39" s="293"/>
      <c r="EO39" s="293"/>
      <c r="EP39" s="293"/>
      <c r="EQ39" s="293"/>
      <c r="ER39" s="293"/>
      <c r="ES39" s="293"/>
      <c r="ET39" s="293"/>
      <c r="EU39" s="293"/>
      <c r="EV39" s="293"/>
      <c r="EW39" s="293"/>
      <c r="EX39" s="293"/>
      <c r="EY39" s="293"/>
      <c r="EZ39" s="293"/>
      <c r="FA39" s="293"/>
      <c r="FB39" s="293"/>
      <c r="FC39" s="293"/>
      <c r="FD39" s="293"/>
      <c r="FE39" s="293"/>
      <c r="FF39" s="293"/>
      <c r="FG39" s="293"/>
      <c r="FH39" s="293"/>
      <c r="FI39" s="293"/>
      <c r="FJ39" s="293"/>
      <c r="FK39" s="293"/>
      <c r="FL39" s="293"/>
      <c r="FM39" s="293"/>
      <c r="FN39" s="293"/>
      <c r="FO39" s="293"/>
      <c r="FP39" s="293"/>
      <c r="FQ39" s="293"/>
      <c r="FR39" s="293"/>
      <c r="FS39" s="293"/>
      <c r="FT39" s="293"/>
      <c r="FU39" s="293"/>
      <c r="FV39" s="293"/>
      <c r="FW39" s="293"/>
      <c r="FX39" s="293"/>
      <c r="FY39" s="293"/>
      <c r="FZ39" s="293"/>
      <c r="GA39" s="293"/>
      <c r="GB39" s="293"/>
      <c r="GC39" s="293"/>
      <c r="GD39" s="293"/>
      <c r="GE39" s="293"/>
      <c r="GF39" s="293"/>
      <c r="GG39" s="293"/>
      <c r="GH39" s="293"/>
      <c r="GI39" s="293"/>
      <c r="GJ39" s="293"/>
      <c r="GK39" s="293"/>
      <c r="GL39" s="293"/>
      <c r="GM39" s="293"/>
      <c r="GN39" s="293"/>
      <c r="GO39" s="293"/>
      <c r="GP39" s="293"/>
      <c r="GQ39" s="293"/>
      <c r="GR39" s="293"/>
      <c r="GS39" s="293"/>
      <c r="GT39" s="293"/>
      <c r="GU39" s="293"/>
      <c r="GV39" s="293"/>
      <c r="GW39" s="293"/>
      <c r="GX39" s="293"/>
      <c r="GY39" s="293"/>
      <c r="GZ39" s="293"/>
      <c r="HA39" s="293"/>
      <c r="HB39" s="293"/>
      <c r="HC39" s="293"/>
      <c r="HD39" s="293"/>
      <c r="HE39" s="293"/>
      <c r="HF39" s="293"/>
      <c r="HG39" s="293"/>
      <c r="HH39" s="293"/>
      <c r="HI39" s="293"/>
      <c r="HJ39" s="293"/>
      <c r="HK39" s="293"/>
      <c r="HL39" s="293"/>
      <c r="HM39" s="293"/>
      <c r="HN39" s="293"/>
      <c r="HO39" s="293"/>
      <c r="HP39" s="293"/>
      <c r="HQ39" s="293"/>
      <c r="HR39" s="293"/>
      <c r="HS39" s="293"/>
      <c r="HT39" s="293"/>
      <c r="HU39" s="293"/>
      <c r="HV39" s="293"/>
      <c r="HW39" s="293"/>
      <c r="HX39" s="293"/>
      <c r="HY39" s="293"/>
      <c r="HZ39" s="293"/>
      <c r="IA39" s="293"/>
      <c r="IB39" s="293"/>
      <c r="IC39" s="293"/>
      <c r="ID39" s="293"/>
      <c r="IE39" s="293"/>
      <c r="IF39" s="293"/>
      <c r="IG39" s="293"/>
      <c r="IH39" s="293"/>
      <c r="II39" s="293"/>
      <c r="IJ39" s="293"/>
      <c r="IK39" s="293"/>
      <c r="IL39" s="293"/>
      <c r="IM39" s="293"/>
      <c r="IN39" s="293"/>
      <c r="IO39" s="293"/>
      <c r="IP39" s="293"/>
      <c r="IQ39" s="293"/>
      <c r="IR39" s="293"/>
      <c r="IS39" s="293"/>
      <c r="IT39" s="293"/>
      <c r="IU39" s="293"/>
      <c r="IV39" s="293"/>
      <c r="IW39" s="293"/>
    </row>
    <row r="40" customFormat="false" ht="12.75" hidden="false" customHeight="false" outlineLevel="0" collapsed="false">
      <c r="A40" s="163"/>
      <c r="B40" s="172"/>
      <c r="C40" s="172"/>
      <c r="D40" s="172"/>
      <c r="E40" s="172"/>
      <c r="F40" s="172"/>
      <c r="G40" s="172"/>
      <c r="H40" s="172"/>
      <c r="I40" s="172"/>
      <c r="J40" s="172"/>
      <c r="K40" s="172"/>
      <c r="L40" s="172"/>
      <c r="M40" s="172"/>
      <c r="N40" s="172"/>
      <c r="O40" s="172"/>
      <c r="P40" s="172"/>
      <c r="Q40" s="172"/>
      <c r="R40" s="172"/>
      <c r="S40" s="172"/>
      <c r="T40" s="172"/>
      <c r="U40" s="172"/>
      <c r="X40" s="293"/>
      <c r="Y40" s="293"/>
      <c r="Z40" s="293"/>
      <c r="AA40" s="293"/>
      <c r="AB40" s="293"/>
      <c r="AC40" s="293"/>
      <c r="AD40" s="293"/>
      <c r="AE40" s="293"/>
      <c r="AF40" s="293"/>
      <c r="AG40" s="293"/>
      <c r="AH40" s="293"/>
      <c r="AI40" s="293"/>
      <c r="AJ40" s="293"/>
      <c r="AK40" s="293"/>
      <c r="AL40" s="293"/>
      <c r="AM40" s="293"/>
      <c r="AN40" s="293"/>
      <c r="AO40" s="293"/>
      <c r="AP40" s="293"/>
      <c r="AQ40" s="293"/>
      <c r="AR40" s="293"/>
      <c r="AS40" s="293"/>
      <c r="AT40" s="293"/>
      <c r="AU40" s="293"/>
      <c r="AV40" s="293"/>
      <c r="AW40" s="293"/>
      <c r="AX40" s="293"/>
      <c r="AY40" s="293"/>
      <c r="AZ40" s="293"/>
      <c r="BA40" s="293"/>
      <c r="BB40" s="293"/>
      <c r="BC40" s="293"/>
      <c r="BD40" s="293"/>
      <c r="BE40" s="293"/>
      <c r="BF40" s="293"/>
      <c r="BG40" s="293"/>
      <c r="BH40" s="293"/>
      <c r="BI40" s="293"/>
      <c r="BJ40" s="293"/>
      <c r="BK40" s="293"/>
      <c r="BL40" s="293"/>
      <c r="BM40" s="293"/>
      <c r="BN40" s="293"/>
      <c r="BO40" s="293"/>
      <c r="BP40" s="293"/>
      <c r="BQ40" s="293"/>
      <c r="BR40" s="293"/>
      <c r="BS40" s="293"/>
      <c r="BT40" s="293"/>
      <c r="BU40" s="293"/>
      <c r="BV40" s="293"/>
      <c r="BW40" s="293"/>
      <c r="BX40" s="293"/>
      <c r="BY40" s="293"/>
      <c r="BZ40" s="293"/>
      <c r="CA40" s="293"/>
      <c r="CB40" s="293"/>
      <c r="CC40" s="293"/>
      <c r="CD40" s="293"/>
      <c r="CE40" s="293"/>
      <c r="CF40" s="293"/>
      <c r="CG40" s="293"/>
      <c r="CH40" s="293"/>
      <c r="CI40" s="293"/>
      <c r="CJ40" s="293"/>
      <c r="CK40" s="293"/>
      <c r="CL40" s="293"/>
      <c r="CM40" s="293"/>
      <c r="CN40" s="293"/>
      <c r="CO40" s="293"/>
      <c r="CP40" s="293"/>
      <c r="CQ40" s="293"/>
      <c r="CR40" s="293"/>
      <c r="CS40" s="293"/>
      <c r="CT40" s="293"/>
      <c r="CU40" s="293"/>
      <c r="CV40" s="293"/>
      <c r="CW40" s="293"/>
      <c r="CX40" s="293"/>
      <c r="CY40" s="293"/>
      <c r="CZ40" s="293"/>
      <c r="DA40" s="293"/>
      <c r="DB40" s="293"/>
      <c r="DC40" s="293"/>
      <c r="DD40" s="293"/>
      <c r="DE40" s="293"/>
      <c r="DF40" s="293"/>
      <c r="DG40" s="293"/>
      <c r="DH40" s="293"/>
      <c r="DI40" s="293"/>
      <c r="DJ40" s="293"/>
      <c r="DK40" s="293"/>
      <c r="DL40" s="293"/>
      <c r="DM40" s="293"/>
      <c r="DN40" s="293"/>
      <c r="DO40" s="293"/>
      <c r="DP40" s="293"/>
      <c r="DQ40" s="293"/>
      <c r="DR40" s="293"/>
      <c r="DS40" s="293"/>
      <c r="DT40" s="293"/>
      <c r="DU40" s="293"/>
      <c r="DV40" s="293"/>
      <c r="DW40" s="293"/>
      <c r="DX40" s="293"/>
      <c r="DY40" s="293"/>
      <c r="DZ40" s="293"/>
      <c r="EA40" s="293"/>
      <c r="EB40" s="293"/>
      <c r="EC40" s="293"/>
      <c r="ED40" s="293"/>
      <c r="EE40" s="293"/>
      <c r="EF40" s="293"/>
      <c r="EG40" s="293"/>
      <c r="EH40" s="293"/>
      <c r="EI40" s="293"/>
      <c r="EJ40" s="293"/>
      <c r="EK40" s="293"/>
      <c r="EL40" s="293"/>
      <c r="EM40" s="293"/>
      <c r="EN40" s="293"/>
      <c r="EO40" s="293"/>
      <c r="EP40" s="293"/>
      <c r="EQ40" s="293"/>
      <c r="ER40" s="293"/>
      <c r="ES40" s="293"/>
      <c r="ET40" s="293"/>
      <c r="EU40" s="293"/>
      <c r="EV40" s="293"/>
      <c r="EW40" s="293"/>
      <c r="EX40" s="293"/>
      <c r="EY40" s="293"/>
      <c r="EZ40" s="293"/>
      <c r="FA40" s="293"/>
      <c r="FB40" s="293"/>
      <c r="FC40" s="293"/>
      <c r="FD40" s="293"/>
      <c r="FE40" s="293"/>
      <c r="FF40" s="293"/>
      <c r="FG40" s="293"/>
      <c r="FH40" s="293"/>
      <c r="FI40" s="293"/>
      <c r="FJ40" s="293"/>
      <c r="FK40" s="293"/>
      <c r="FL40" s="293"/>
      <c r="FM40" s="293"/>
      <c r="FN40" s="293"/>
      <c r="FO40" s="293"/>
      <c r="FP40" s="293"/>
      <c r="FQ40" s="293"/>
      <c r="FR40" s="293"/>
      <c r="FS40" s="293"/>
      <c r="FT40" s="293"/>
      <c r="FU40" s="293"/>
      <c r="FV40" s="293"/>
      <c r="FW40" s="293"/>
      <c r="FX40" s="293"/>
      <c r="FY40" s="293"/>
      <c r="FZ40" s="293"/>
      <c r="GA40" s="293"/>
      <c r="GB40" s="293"/>
      <c r="GC40" s="293"/>
      <c r="GD40" s="293"/>
      <c r="GE40" s="293"/>
      <c r="GF40" s="293"/>
      <c r="GG40" s="293"/>
      <c r="GH40" s="293"/>
      <c r="GI40" s="293"/>
      <c r="GJ40" s="293"/>
      <c r="GK40" s="293"/>
      <c r="GL40" s="293"/>
      <c r="GM40" s="293"/>
      <c r="GN40" s="293"/>
      <c r="GO40" s="293"/>
      <c r="GP40" s="293"/>
      <c r="GQ40" s="293"/>
      <c r="GR40" s="293"/>
      <c r="GS40" s="293"/>
      <c r="GT40" s="293"/>
      <c r="GU40" s="293"/>
      <c r="GV40" s="293"/>
      <c r="GW40" s="293"/>
      <c r="GX40" s="293"/>
      <c r="GY40" s="293"/>
      <c r="GZ40" s="293"/>
      <c r="HA40" s="293"/>
      <c r="HB40" s="293"/>
      <c r="HC40" s="293"/>
      <c r="HD40" s="293"/>
      <c r="HE40" s="293"/>
      <c r="HF40" s="293"/>
      <c r="HG40" s="293"/>
      <c r="HH40" s="293"/>
      <c r="HI40" s="293"/>
      <c r="HJ40" s="293"/>
      <c r="HK40" s="293"/>
      <c r="HL40" s="293"/>
      <c r="HM40" s="293"/>
      <c r="HN40" s="293"/>
      <c r="HO40" s="293"/>
      <c r="HP40" s="293"/>
      <c r="HQ40" s="293"/>
      <c r="HR40" s="293"/>
      <c r="HS40" s="293"/>
      <c r="HT40" s="293"/>
      <c r="HU40" s="293"/>
      <c r="HV40" s="293"/>
      <c r="HW40" s="293"/>
      <c r="HX40" s="293"/>
      <c r="HY40" s="293"/>
      <c r="HZ40" s="293"/>
      <c r="IA40" s="293"/>
      <c r="IB40" s="293"/>
      <c r="IC40" s="293"/>
      <c r="ID40" s="293"/>
      <c r="IE40" s="293"/>
      <c r="IF40" s="293"/>
      <c r="IG40" s="293"/>
      <c r="IH40" s="293"/>
      <c r="II40" s="293"/>
      <c r="IJ40" s="293"/>
      <c r="IK40" s="293"/>
      <c r="IL40" s="293"/>
      <c r="IM40" s="293"/>
      <c r="IN40" s="293"/>
      <c r="IO40" s="293"/>
      <c r="IP40" s="293"/>
      <c r="IQ40" s="293"/>
      <c r="IR40" s="293"/>
      <c r="IS40" s="293"/>
      <c r="IT40" s="293"/>
      <c r="IU40" s="293"/>
      <c r="IV40" s="293"/>
      <c r="IW40" s="293"/>
    </row>
    <row r="41" customFormat="false" ht="12.75" hidden="false" customHeight="false" outlineLevel="0" collapsed="false">
      <c r="A41" s="258"/>
      <c r="B41" s="172"/>
      <c r="C41" s="172"/>
      <c r="D41" s="172"/>
      <c r="E41" s="172"/>
      <c r="F41" s="172"/>
      <c r="G41" s="172"/>
      <c r="H41" s="172"/>
      <c r="I41" s="172"/>
      <c r="J41" s="172"/>
      <c r="K41" s="172"/>
      <c r="L41" s="172"/>
      <c r="M41" s="172"/>
      <c r="N41" s="172"/>
      <c r="O41" s="172"/>
      <c r="P41" s="172"/>
      <c r="Q41" s="172"/>
      <c r="R41" s="172"/>
      <c r="S41" s="172"/>
      <c r="T41" s="172"/>
      <c r="U41" s="172"/>
    </row>
    <row r="42" customFormat="false" ht="18" hidden="false" customHeight="false" outlineLevel="0" collapsed="false">
      <c r="A42" s="326" t="s">
        <v>221</v>
      </c>
      <c r="B42" s="172"/>
      <c r="C42" s="172"/>
      <c r="D42" s="172"/>
      <c r="E42" s="172"/>
      <c r="F42" s="172"/>
      <c r="G42" s="172"/>
      <c r="H42" s="172"/>
      <c r="I42" s="172"/>
      <c r="J42" s="172"/>
      <c r="K42" s="172"/>
      <c r="L42" s="172"/>
      <c r="M42" s="172"/>
      <c r="N42" s="172"/>
      <c r="O42" s="172"/>
      <c r="P42" s="172"/>
      <c r="Q42" s="172"/>
      <c r="R42" s="172"/>
      <c r="S42" s="172"/>
      <c r="T42" s="172"/>
      <c r="U42" s="172"/>
    </row>
    <row r="43" customFormat="false" ht="12.75" hidden="false" customHeight="false" outlineLevel="0" collapsed="false">
      <c r="A43" s="163"/>
      <c r="B43" s="172"/>
      <c r="C43" s="172"/>
      <c r="D43" s="172"/>
      <c r="E43" s="172"/>
      <c r="F43" s="172"/>
      <c r="G43" s="172"/>
      <c r="H43" s="172"/>
      <c r="I43" s="172"/>
      <c r="J43" s="172"/>
      <c r="K43" s="172"/>
      <c r="L43" s="172"/>
      <c r="M43" s="172"/>
      <c r="N43" s="172"/>
      <c r="O43" s="172"/>
      <c r="P43" s="172"/>
      <c r="Q43" s="172"/>
      <c r="R43" s="172"/>
      <c r="S43" s="172"/>
      <c r="T43" s="172"/>
      <c r="U43" s="172"/>
    </row>
    <row r="44" customFormat="false" ht="15.75" hidden="false" customHeight="false" outlineLevel="0" collapsed="false">
      <c r="A44" s="163"/>
      <c r="B44" s="172"/>
      <c r="C44" s="172"/>
      <c r="D44" s="172"/>
      <c r="E44" s="172"/>
      <c r="F44" s="172"/>
      <c r="G44" s="172"/>
      <c r="H44" s="172"/>
      <c r="I44" s="172"/>
      <c r="J44" s="172"/>
      <c r="K44" s="172"/>
      <c r="L44" s="172"/>
      <c r="M44" s="172"/>
      <c r="N44" s="172"/>
      <c r="O44" s="172"/>
      <c r="P44" s="172"/>
      <c r="Q44" s="172"/>
      <c r="R44" s="172"/>
      <c r="S44" s="172"/>
      <c r="T44" s="172"/>
      <c r="U44" s="172"/>
      <c r="X44" s="324"/>
      <c r="Y44" s="324"/>
      <c r="Z44" s="324"/>
      <c r="AA44" s="324"/>
      <c r="AB44" s="324"/>
      <c r="AC44" s="324"/>
      <c r="AD44" s="324"/>
      <c r="AE44" s="324"/>
      <c r="AF44" s="324"/>
      <c r="AG44" s="324"/>
      <c r="AH44" s="324"/>
      <c r="AI44" s="324"/>
      <c r="AJ44" s="324"/>
      <c r="AK44" s="324"/>
      <c r="AL44" s="324"/>
      <c r="AM44" s="324"/>
      <c r="AN44" s="324"/>
      <c r="AO44" s="324"/>
      <c r="AP44" s="324"/>
      <c r="AQ44" s="324"/>
      <c r="AR44" s="324"/>
      <c r="AS44" s="324"/>
      <c r="AT44" s="324"/>
      <c r="AU44" s="324"/>
      <c r="AV44" s="324"/>
      <c r="AW44" s="324"/>
      <c r="AX44" s="324"/>
      <c r="AY44" s="324"/>
      <c r="AZ44" s="324"/>
      <c r="BA44" s="324"/>
      <c r="BB44" s="324"/>
      <c r="BC44" s="324"/>
      <c r="BD44" s="324"/>
      <c r="BE44" s="324"/>
      <c r="BF44" s="324"/>
      <c r="BG44" s="324"/>
      <c r="BH44" s="324"/>
      <c r="BI44" s="324"/>
      <c r="BJ44" s="324"/>
      <c r="BK44" s="324"/>
      <c r="BL44" s="324"/>
      <c r="BM44" s="324"/>
      <c r="BN44" s="324"/>
      <c r="BO44" s="324"/>
      <c r="BP44" s="324"/>
      <c r="BQ44" s="324"/>
      <c r="BR44" s="324"/>
      <c r="BS44" s="324"/>
      <c r="BT44" s="324"/>
      <c r="BU44" s="324"/>
      <c r="BV44" s="324"/>
      <c r="BW44" s="324"/>
      <c r="BX44" s="324"/>
      <c r="BY44" s="324"/>
      <c r="BZ44" s="324"/>
      <c r="CA44" s="324"/>
      <c r="CB44" s="324"/>
      <c r="CC44" s="324"/>
      <c r="CD44" s="324"/>
      <c r="CE44" s="324"/>
      <c r="CF44" s="324"/>
      <c r="CG44" s="324"/>
      <c r="CH44" s="324"/>
      <c r="CI44" s="324"/>
      <c r="CJ44" s="324"/>
      <c r="CK44" s="324"/>
      <c r="CL44" s="324"/>
      <c r="CM44" s="324"/>
      <c r="CN44" s="324"/>
      <c r="CO44" s="324"/>
      <c r="CP44" s="324"/>
      <c r="CQ44" s="324"/>
      <c r="CR44" s="324"/>
      <c r="CS44" s="324"/>
      <c r="CT44" s="324"/>
      <c r="CU44" s="324"/>
      <c r="CV44" s="324"/>
      <c r="CW44" s="324"/>
      <c r="CX44" s="324"/>
      <c r="CY44" s="324"/>
      <c r="CZ44" s="324"/>
      <c r="DA44" s="324"/>
      <c r="DB44" s="324"/>
      <c r="DC44" s="324"/>
      <c r="DD44" s="324"/>
      <c r="DE44" s="324"/>
      <c r="DF44" s="324"/>
      <c r="DG44" s="324"/>
      <c r="DH44" s="324"/>
      <c r="DI44" s="324"/>
      <c r="DJ44" s="324"/>
      <c r="DK44" s="324"/>
      <c r="DL44" s="324"/>
      <c r="DM44" s="324"/>
      <c r="DN44" s="324"/>
      <c r="DO44" s="324"/>
      <c r="DP44" s="324"/>
      <c r="DQ44" s="324"/>
      <c r="DR44" s="324"/>
      <c r="DS44" s="324"/>
      <c r="DT44" s="324"/>
      <c r="DU44" s="324"/>
      <c r="DV44" s="324"/>
      <c r="DW44" s="324"/>
      <c r="DX44" s="324"/>
      <c r="DY44" s="324"/>
      <c r="DZ44" s="324"/>
      <c r="EA44" s="324"/>
      <c r="EB44" s="324"/>
      <c r="EC44" s="324"/>
      <c r="ED44" s="324"/>
      <c r="EE44" s="324"/>
      <c r="EF44" s="324"/>
      <c r="EG44" s="324"/>
      <c r="EH44" s="324"/>
      <c r="EI44" s="324"/>
      <c r="EJ44" s="324"/>
      <c r="EK44" s="324"/>
      <c r="EL44" s="324"/>
      <c r="EM44" s="324"/>
      <c r="EN44" s="324"/>
      <c r="EO44" s="324"/>
      <c r="EP44" s="324"/>
      <c r="EQ44" s="324"/>
      <c r="ER44" s="324"/>
      <c r="ES44" s="324"/>
      <c r="ET44" s="324"/>
      <c r="EU44" s="324"/>
      <c r="EV44" s="324"/>
      <c r="EW44" s="324"/>
      <c r="EX44" s="324"/>
      <c r="EY44" s="324"/>
      <c r="EZ44" s="324"/>
      <c r="FA44" s="324"/>
      <c r="FB44" s="324"/>
      <c r="FC44" s="324"/>
      <c r="FD44" s="324"/>
      <c r="FE44" s="324"/>
      <c r="FF44" s="324"/>
      <c r="FG44" s="324"/>
      <c r="FH44" s="324"/>
      <c r="FI44" s="324"/>
      <c r="FJ44" s="324"/>
      <c r="FK44" s="324"/>
      <c r="FL44" s="324"/>
      <c r="FM44" s="324"/>
      <c r="FN44" s="324"/>
      <c r="FO44" s="324"/>
      <c r="FP44" s="324"/>
      <c r="FQ44" s="324"/>
      <c r="FR44" s="324"/>
      <c r="FS44" s="324"/>
      <c r="FT44" s="324"/>
      <c r="FU44" s="324"/>
      <c r="FV44" s="324"/>
      <c r="FW44" s="324"/>
      <c r="FX44" s="324"/>
      <c r="FY44" s="324"/>
      <c r="FZ44" s="324"/>
      <c r="GA44" s="324"/>
      <c r="GB44" s="324"/>
      <c r="GC44" s="324"/>
      <c r="GD44" s="324"/>
      <c r="GE44" s="324"/>
      <c r="GF44" s="324"/>
      <c r="GG44" s="324"/>
      <c r="GH44" s="324"/>
      <c r="GI44" s="324"/>
      <c r="GJ44" s="324"/>
      <c r="GK44" s="324"/>
      <c r="GL44" s="324"/>
      <c r="GM44" s="324"/>
      <c r="GN44" s="324"/>
      <c r="GO44" s="324"/>
      <c r="GP44" s="324"/>
      <c r="GQ44" s="324"/>
      <c r="GR44" s="324"/>
      <c r="GS44" s="324"/>
      <c r="GT44" s="324"/>
      <c r="GU44" s="324"/>
      <c r="GV44" s="324"/>
      <c r="GW44" s="324"/>
      <c r="GX44" s="324"/>
      <c r="GY44" s="324"/>
      <c r="GZ44" s="324"/>
      <c r="HA44" s="324"/>
      <c r="HB44" s="324"/>
      <c r="HC44" s="324"/>
      <c r="HD44" s="324"/>
      <c r="HE44" s="324"/>
      <c r="HF44" s="324"/>
      <c r="HG44" s="324"/>
      <c r="HH44" s="324"/>
      <c r="HI44" s="324"/>
      <c r="HJ44" s="324"/>
      <c r="HK44" s="324"/>
      <c r="HL44" s="324"/>
      <c r="HM44" s="324"/>
      <c r="HN44" s="324"/>
      <c r="HO44" s="324"/>
      <c r="HP44" s="324"/>
      <c r="HQ44" s="324"/>
      <c r="HR44" s="324"/>
      <c r="HS44" s="324"/>
      <c r="HT44" s="324"/>
      <c r="HU44" s="324"/>
      <c r="HV44" s="324"/>
      <c r="HW44" s="324"/>
      <c r="HX44" s="324"/>
      <c r="HY44" s="324"/>
      <c r="HZ44" s="324"/>
      <c r="IA44" s="324"/>
      <c r="IB44" s="324"/>
      <c r="IC44" s="324"/>
      <c r="ID44" s="324"/>
      <c r="IE44" s="324"/>
      <c r="IF44" s="324"/>
      <c r="IG44" s="324"/>
      <c r="IH44" s="324"/>
      <c r="II44" s="324"/>
      <c r="IJ44" s="324"/>
      <c r="IK44" s="324"/>
      <c r="IL44" s="324"/>
      <c r="IM44" s="324"/>
      <c r="IN44" s="324"/>
      <c r="IO44" s="324"/>
      <c r="IP44" s="324"/>
      <c r="IQ44" s="324"/>
      <c r="IR44" s="324"/>
      <c r="IS44" s="324"/>
      <c r="IT44" s="324"/>
      <c r="IU44" s="324"/>
      <c r="IV44" s="324"/>
      <c r="IW44" s="324"/>
    </row>
    <row r="45" customFormat="false" ht="12.75" hidden="false" customHeight="false" outlineLevel="0" collapsed="false">
      <c r="A45" s="163"/>
      <c r="B45" s="172"/>
      <c r="C45" s="172"/>
      <c r="D45" s="172"/>
      <c r="E45" s="172"/>
      <c r="F45" s="172"/>
      <c r="G45" s="172"/>
      <c r="H45" s="172"/>
      <c r="I45" s="172"/>
      <c r="J45" s="172"/>
      <c r="K45" s="172"/>
      <c r="L45" s="172"/>
      <c r="M45" s="172"/>
      <c r="N45" s="172"/>
      <c r="O45" s="172"/>
      <c r="P45" s="172"/>
      <c r="Q45" s="172"/>
      <c r="R45" s="172"/>
      <c r="S45" s="172"/>
      <c r="T45" s="172"/>
      <c r="U45" s="172"/>
      <c r="X45" s="316"/>
      <c r="Y45" s="316"/>
      <c r="Z45" s="316"/>
      <c r="AA45" s="316"/>
      <c r="AB45" s="316"/>
      <c r="AC45" s="316"/>
      <c r="AD45" s="316"/>
      <c r="AE45" s="316"/>
      <c r="AF45" s="316"/>
      <c r="AG45" s="316"/>
      <c r="AH45" s="316"/>
      <c r="AI45" s="316"/>
      <c r="AJ45" s="316"/>
      <c r="AK45" s="316"/>
      <c r="AL45" s="316"/>
      <c r="AM45" s="316"/>
      <c r="AN45" s="316"/>
      <c r="AO45" s="316"/>
      <c r="AP45" s="316"/>
      <c r="AQ45" s="316"/>
      <c r="AR45" s="316"/>
      <c r="AS45" s="316"/>
      <c r="AT45" s="316"/>
      <c r="AU45" s="316"/>
      <c r="AV45" s="316"/>
      <c r="AW45" s="316"/>
      <c r="AX45" s="316"/>
      <c r="AY45" s="316"/>
      <c r="AZ45" s="316"/>
      <c r="BA45" s="316"/>
      <c r="BB45" s="316"/>
      <c r="BC45" s="316"/>
      <c r="BD45" s="316"/>
      <c r="BE45" s="316"/>
      <c r="BF45" s="316"/>
      <c r="BG45" s="316"/>
      <c r="BH45" s="316"/>
      <c r="BI45" s="316"/>
      <c r="BJ45" s="316"/>
      <c r="BK45" s="316"/>
      <c r="BL45" s="316"/>
      <c r="BM45" s="316"/>
      <c r="BN45" s="316"/>
      <c r="BO45" s="316"/>
      <c r="BP45" s="316"/>
      <c r="BQ45" s="316"/>
      <c r="BR45" s="316"/>
      <c r="BS45" s="316"/>
      <c r="BT45" s="316"/>
      <c r="BU45" s="316"/>
      <c r="BV45" s="316"/>
      <c r="BW45" s="316"/>
      <c r="BX45" s="316"/>
      <c r="BY45" s="316"/>
      <c r="BZ45" s="316"/>
      <c r="CA45" s="316"/>
      <c r="CB45" s="316"/>
      <c r="CC45" s="316"/>
      <c r="CD45" s="316"/>
      <c r="CE45" s="316"/>
      <c r="CF45" s="316"/>
      <c r="CG45" s="316"/>
      <c r="CH45" s="316"/>
      <c r="CI45" s="316"/>
      <c r="CJ45" s="316"/>
      <c r="CK45" s="316"/>
      <c r="CL45" s="316"/>
      <c r="CM45" s="316"/>
      <c r="CN45" s="316"/>
      <c r="CO45" s="316"/>
      <c r="CP45" s="316"/>
      <c r="CQ45" s="316"/>
      <c r="CR45" s="316"/>
      <c r="CS45" s="316"/>
      <c r="CT45" s="316"/>
      <c r="CU45" s="316"/>
      <c r="CV45" s="316"/>
      <c r="CW45" s="316"/>
      <c r="CX45" s="316"/>
      <c r="CY45" s="316"/>
      <c r="CZ45" s="316"/>
      <c r="DA45" s="316"/>
      <c r="DB45" s="316"/>
      <c r="DC45" s="316"/>
      <c r="DD45" s="316"/>
      <c r="DE45" s="316"/>
      <c r="DF45" s="316"/>
      <c r="DG45" s="316"/>
      <c r="DH45" s="316"/>
      <c r="DI45" s="316"/>
      <c r="DJ45" s="316"/>
      <c r="DK45" s="316"/>
      <c r="DL45" s="316"/>
      <c r="DM45" s="316"/>
      <c r="DN45" s="316"/>
      <c r="DO45" s="316"/>
      <c r="DP45" s="316"/>
      <c r="DQ45" s="316"/>
      <c r="DR45" s="316"/>
      <c r="DS45" s="316"/>
      <c r="DT45" s="316"/>
      <c r="DU45" s="316"/>
      <c r="DV45" s="316"/>
      <c r="DW45" s="316"/>
      <c r="DX45" s="316"/>
      <c r="DY45" s="316"/>
      <c r="DZ45" s="316"/>
      <c r="EA45" s="316"/>
      <c r="EB45" s="316"/>
      <c r="EC45" s="316"/>
      <c r="ED45" s="316"/>
      <c r="EE45" s="316"/>
      <c r="EF45" s="316"/>
      <c r="EG45" s="316"/>
      <c r="EH45" s="316"/>
      <c r="EI45" s="316"/>
      <c r="EJ45" s="316"/>
      <c r="EK45" s="316"/>
      <c r="EL45" s="316"/>
      <c r="EM45" s="316"/>
      <c r="EN45" s="316"/>
      <c r="EO45" s="316"/>
      <c r="EP45" s="316"/>
      <c r="EQ45" s="316"/>
      <c r="ER45" s="316"/>
      <c r="ES45" s="316"/>
      <c r="ET45" s="316"/>
      <c r="EU45" s="316"/>
      <c r="EV45" s="316"/>
      <c r="EW45" s="316"/>
      <c r="EX45" s="316"/>
      <c r="EY45" s="316"/>
      <c r="EZ45" s="316"/>
      <c r="FA45" s="316"/>
      <c r="FB45" s="316"/>
      <c r="FC45" s="316"/>
      <c r="FD45" s="316"/>
      <c r="FE45" s="316"/>
      <c r="FF45" s="316"/>
      <c r="FG45" s="316"/>
      <c r="FH45" s="316"/>
      <c r="FI45" s="316"/>
      <c r="FJ45" s="316"/>
      <c r="FK45" s="316"/>
      <c r="FL45" s="316"/>
      <c r="FM45" s="316"/>
      <c r="FN45" s="316"/>
      <c r="FO45" s="316"/>
      <c r="FP45" s="316"/>
      <c r="FQ45" s="316"/>
      <c r="FR45" s="316"/>
      <c r="FS45" s="316"/>
      <c r="FT45" s="316"/>
      <c r="FU45" s="316"/>
      <c r="FV45" s="316"/>
      <c r="FW45" s="316"/>
      <c r="FX45" s="316"/>
      <c r="FY45" s="316"/>
      <c r="FZ45" s="316"/>
      <c r="GA45" s="316"/>
      <c r="GB45" s="316"/>
      <c r="GC45" s="316"/>
      <c r="GD45" s="316"/>
      <c r="GE45" s="316"/>
      <c r="GF45" s="316"/>
      <c r="GG45" s="316"/>
      <c r="GH45" s="316"/>
      <c r="GI45" s="316"/>
      <c r="GJ45" s="316"/>
      <c r="GK45" s="316"/>
      <c r="GL45" s="316"/>
      <c r="GM45" s="316"/>
      <c r="GN45" s="316"/>
      <c r="GO45" s="316"/>
      <c r="GP45" s="316"/>
      <c r="GQ45" s="316"/>
      <c r="GR45" s="316"/>
      <c r="GS45" s="316"/>
      <c r="GT45" s="316"/>
      <c r="GU45" s="316"/>
      <c r="GV45" s="316"/>
      <c r="GW45" s="316"/>
      <c r="GX45" s="316"/>
      <c r="GY45" s="316"/>
      <c r="GZ45" s="316"/>
      <c r="HA45" s="316"/>
      <c r="HB45" s="316"/>
      <c r="HC45" s="316"/>
      <c r="HD45" s="316"/>
      <c r="HE45" s="316"/>
      <c r="HF45" s="316"/>
      <c r="HG45" s="316"/>
      <c r="HH45" s="316"/>
      <c r="HI45" s="316"/>
      <c r="HJ45" s="316"/>
      <c r="HK45" s="316"/>
      <c r="HL45" s="316"/>
      <c r="HM45" s="316"/>
      <c r="HN45" s="316"/>
      <c r="HO45" s="316"/>
      <c r="HP45" s="316"/>
      <c r="HQ45" s="316"/>
      <c r="HR45" s="316"/>
      <c r="HS45" s="316"/>
      <c r="HT45" s="316"/>
      <c r="HU45" s="316"/>
      <c r="HV45" s="316"/>
      <c r="HW45" s="316"/>
      <c r="HX45" s="316"/>
      <c r="HY45" s="316"/>
      <c r="HZ45" s="316"/>
      <c r="IA45" s="316"/>
      <c r="IB45" s="316"/>
      <c r="IC45" s="316"/>
      <c r="ID45" s="316"/>
      <c r="IE45" s="316"/>
      <c r="IF45" s="316"/>
      <c r="IG45" s="316"/>
      <c r="IH45" s="316"/>
      <c r="II45" s="316"/>
      <c r="IJ45" s="316"/>
      <c r="IK45" s="316"/>
      <c r="IL45" s="316"/>
      <c r="IM45" s="316"/>
      <c r="IN45" s="316"/>
      <c r="IO45" s="316"/>
      <c r="IP45" s="316"/>
      <c r="IQ45" s="316"/>
      <c r="IR45" s="316"/>
      <c r="IS45" s="316"/>
      <c r="IT45" s="316"/>
      <c r="IU45" s="316"/>
      <c r="IV45" s="316"/>
      <c r="IW45" s="316"/>
    </row>
    <row r="46" customFormat="false" ht="13.5" hidden="false" customHeight="false" outlineLevel="0" collapsed="false">
      <c r="A46" s="154" t="s">
        <v>103</v>
      </c>
      <c r="B46" s="155" t="n">
        <v>2001</v>
      </c>
      <c r="C46" s="155" t="n">
        <f aca="false">B46+1</f>
        <v>2002</v>
      </c>
      <c r="D46" s="155" t="n">
        <f aca="false">C46+1</f>
        <v>2003</v>
      </c>
      <c r="E46" s="155" t="n">
        <f aca="false">D46+1</f>
        <v>2004</v>
      </c>
      <c r="F46" s="155" t="n">
        <f aca="false">E46+1</f>
        <v>2005</v>
      </c>
      <c r="G46" s="155" t="n">
        <f aca="false">F46+1</f>
        <v>2006</v>
      </c>
      <c r="H46" s="155" t="n">
        <f aca="false">G46+1</f>
        <v>2007</v>
      </c>
      <c r="I46" s="155" t="n">
        <f aca="false">H46+1</f>
        <v>2008</v>
      </c>
      <c r="J46" s="155" t="n">
        <f aca="false">I46+1</f>
        <v>2009</v>
      </c>
      <c r="K46" s="155" t="n">
        <f aca="false">J46+1</f>
        <v>2010</v>
      </c>
      <c r="L46" s="155" t="n">
        <f aca="false">K46+1</f>
        <v>2011</v>
      </c>
      <c r="M46" s="155" t="n">
        <f aca="false">L46+1</f>
        <v>2012</v>
      </c>
      <c r="N46" s="155" t="n">
        <f aca="false">M46+1</f>
        <v>2013</v>
      </c>
      <c r="O46" s="155" t="n">
        <f aca="false">N46+1</f>
        <v>2014</v>
      </c>
      <c r="P46" s="155" t="n">
        <f aca="false">O46+1</f>
        <v>2015</v>
      </c>
      <c r="Q46" s="155" t="n">
        <f aca="false">P46+1</f>
        <v>2016</v>
      </c>
      <c r="R46" s="155" t="n">
        <f aca="false">Q46+1</f>
        <v>2017</v>
      </c>
      <c r="S46" s="155" t="n">
        <f aca="false">R46+1</f>
        <v>2018</v>
      </c>
      <c r="T46" s="155" t="n">
        <f aca="false">S46+1</f>
        <v>2019</v>
      </c>
      <c r="U46" s="155" t="n">
        <f aca="false">T46+1</f>
        <v>2020</v>
      </c>
      <c r="W46" s="290" t="s">
        <v>125</v>
      </c>
    </row>
    <row r="47" customFormat="false" ht="12.75" hidden="false" customHeight="false" outlineLevel="0" collapsed="false">
      <c r="A47" s="254"/>
      <c r="B47" s="172"/>
      <c r="C47" s="172"/>
      <c r="D47" s="172"/>
      <c r="E47" s="172"/>
      <c r="F47" s="172"/>
      <c r="G47" s="172"/>
      <c r="H47" s="172"/>
      <c r="I47" s="172"/>
      <c r="J47" s="172"/>
      <c r="K47" s="172"/>
      <c r="L47" s="172"/>
      <c r="M47" s="172"/>
      <c r="N47" s="172"/>
      <c r="O47" s="172"/>
      <c r="P47" s="172"/>
      <c r="Q47" s="172"/>
      <c r="R47" s="172"/>
      <c r="S47" s="172"/>
      <c r="T47" s="172"/>
      <c r="U47" s="172"/>
      <c r="W47" s="266"/>
    </row>
    <row r="48" customFormat="false" ht="12.75" hidden="false" customHeight="false" outlineLevel="0" collapsed="false">
      <c r="A48" s="258" t="s">
        <v>115</v>
      </c>
      <c r="B48" s="172" t="n">
        <f aca="false">B25</f>
        <v>30899.4347829938</v>
      </c>
      <c r="C48" s="172" t="n">
        <f aca="false">C25</f>
        <v>32469.1813111663</v>
      </c>
      <c r="D48" s="172" t="n">
        <f aca="false">D25</f>
        <v>34149.3868647877</v>
      </c>
      <c r="E48" s="172" t="n">
        <f aca="false">E25</f>
        <v>35945.5170468694</v>
      </c>
      <c r="F48" s="172" t="n">
        <f aca="false">F25</f>
        <v>37871.9835590865</v>
      </c>
      <c r="G48" s="172" t="n">
        <f aca="false">G25</f>
        <v>38500.2834620847</v>
      </c>
      <c r="H48" s="172" t="n">
        <f aca="false">H25</f>
        <v>39092.517706428</v>
      </c>
      <c r="I48" s="172" t="n">
        <f aca="false">I25</f>
        <v>39760.5630298614</v>
      </c>
      <c r="J48" s="172" t="n">
        <f aca="false">J25</f>
        <v>40545.0727199837</v>
      </c>
      <c r="K48" s="172" t="n">
        <f aca="false">K25</f>
        <v>41424.0606694801</v>
      </c>
      <c r="L48" s="172" t="n">
        <f aca="false">L25</f>
        <v>41757.7395485013</v>
      </c>
      <c r="M48" s="172" t="n">
        <f aca="false">M25</f>
        <v>42253.2698665267</v>
      </c>
      <c r="N48" s="172" t="n">
        <f aca="false">N25</f>
        <v>42753.5883365404</v>
      </c>
      <c r="O48" s="172" t="n">
        <f aca="false">O25</f>
        <v>43258.7442251007</v>
      </c>
      <c r="P48" s="172" t="n">
        <f aca="false">P25</f>
        <v>43768.7522102855</v>
      </c>
      <c r="Q48" s="172" t="n">
        <f aca="false">Q25</f>
        <v>44393.8093972096</v>
      </c>
      <c r="R48" s="172" t="n">
        <f aca="false">R25</f>
        <v>45026.823232092</v>
      </c>
      <c r="S48" s="172" t="n">
        <f aca="false">S25</f>
        <v>45667.8691918607</v>
      </c>
      <c r="T48" s="172" t="n">
        <f aca="false">T25</f>
        <v>46317.0225498107</v>
      </c>
      <c r="U48" s="172" t="n">
        <f aca="false">U25</f>
        <v>46974.3583321795</v>
      </c>
      <c r="W48" s="170" t="n">
        <f aca="false">SUM(B48:U48)</f>
        <v>812829.978042849</v>
      </c>
    </row>
    <row r="49" customFormat="false" ht="12.75" hidden="false" customHeight="false" outlineLevel="0" collapsed="false">
      <c r="A49" s="258" t="s">
        <v>149</v>
      </c>
      <c r="B49" s="259" t="n">
        <f aca="false">B20</f>
        <v>0</v>
      </c>
      <c r="C49" s="259" t="n">
        <f aca="false">C20</f>
        <v>117.987</v>
      </c>
      <c r="D49" s="259" t="n">
        <f aca="false">D20</f>
        <v>216.843</v>
      </c>
      <c r="E49" s="259" t="n">
        <f aca="false">E20</f>
        <v>295.985</v>
      </c>
      <c r="F49" s="259" t="n">
        <f aca="false">F20</f>
        <v>346.251</v>
      </c>
      <c r="G49" s="259" t="n">
        <f aca="false">G20</f>
        <v>468.657</v>
      </c>
      <c r="H49" s="259" t="n">
        <f aca="false">H20</f>
        <v>641.059</v>
      </c>
      <c r="I49" s="259" t="n">
        <f aca="false">I20</f>
        <v>753.232</v>
      </c>
      <c r="J49" s="259" t="n">
        <f aca="false">J20</f>
        <v>765.3</v>
      </c>
      <c r="K49" s="259" t="n">
        <f aca="false">K20</f>
        <v>699.258</v>
      </c>
      <c r="L49" s="259" t="n">
        <f aca="false">L20</f>
        <v>854.333</v>
      </c>
      <c r="M49" s="259" t="n">
        <f aca="false">M20</f>
        <v>854.3</v>
      </c>
      <c r="N49" s="259" t="n">
        <f aca="false">N20</f>
        <v>854.3</v>
      </c>
      <c r="O49" s="259" t="n">
        <f aca="false">O20</f>
        <v>854.3</v>
      </c>
      <c r="P49" s="259" t="n">
        <f aca="false">P20</f>
        <v>854.3</v>
      </c>
      <c r="Q49" s="259" t="n">
        <f aca="false">Q20</f>
        <v>854.3</v>
      </c>
      <c r="R49" s="259" t="n">
        <f aca="false">R20</f>
        <v>854.3</v>
      </c>
      <c r="S49" s="259" t="n">
        <f aca="false">S20</f>
        <v>854.3</v>
      </c>
      <c r="T49" s="259" t="n">
        <f aca="false">T20</f>
        <v>854.3</v>
      </c>
      <c r="U49" s="259" t="n">
        <f aca="false">U20</f>
        <v>854.3</v>
      </c>
      <c r="W49" s="170" t="n">
        <f aca="false">SUM(B49:U49)</f>
        <v>12847.605</v>
      </c>
    </row>
    <row r="50" customFormat="false" ht="12.75" hidden="false" customHeight="false" outlineLevel="0" collapsed="false">
      <c r="A50" s="258" t="s">
        <v>150</v>
      </c>
      <c r="B50" s="327" t="n">
        <v>-203.273</v>
      </c>
      <c r="C50" s="259" t="n">
        <f aca="false">-B49</f>
        <v>-0</v>
      </c>
      <c r="D50" s="259" t="n">
        <f aca="false">-C49</f>
        <v>-117.987</v>
      </c>
      <c r="E50" s="259" t="n">
        <f aca="false">-D49</f>
        <v>-216.843</v>
      </c>
      <c r="F50" s="259" t="n">
        <f aca="false">-E49</f>
        <v>-295.985</v>
      </c>
      <c r="G50" s="259" t="n">
        <f aca="false">-F49</f>
        <v>-346.251</v>
      </c>
      <c r="H50" s="259" t="n">
        <f aca="false">-G49</f>
        <v>-468.657</v>
      </c>
      <c r="I50" s="259" t="n">
        <f aca="false">-H49</f>
        <v>-641.059</v>
      </c>
      <c r="J50" s="259" t="n">
        <f aca="false">-I49</f>
        <v>-753.232</v>
      </c>
      <c r="K50" s="259" t="n">
        <f aca="false">-J49</f>
        <v>-765.3</v>
      </c>
      <c r="L50" s="259" t="n">
        <f aca="false">-K49</f>
        <v>-699.258</v>
      </c>
      <c r="M50" s="259" t="n">
        <f aca="false">-L49</f>
        <v>-854.333</v>
      </c>
      <c r="N50" s="259" t="n">
        <f aca="false">-M49</f>
        <v>-854.3</v>
      </c>
      <c r="O50" s="259" t="n">
        <f aca="false">-N49</f>
        <v>-854.3</v>
      </c>
      <c r="P50" s="259" t="n">
        <f aca="false">-O49</f>
        <v>-854.3</v>
      </c>
      <c r="Q50" s="259" t="n">
        <f aca="false">-P49</f>
        <v>-854.3</v>
      </c>
      <c r="R50" s="259" t="n">
        <f aca="false">-Q49</f>
        <v>-854.3</v>
      </c>
      <c r="S50" s="259" t="n">
        <f aca="false">-R49</f>
        <v>-854.3</v>
      </c>
      <c r="T50" s="259" t="n">
        <f aca="false">-S49</f>
        <v>-854.3</v>
      </c>
      <c r="U50" s="259" t="n">
        <f aca="false">-T49</f>
        <v>-854.3</v>
      </c>
      <c r="W50" s="170" t="n">
        <f aca="false">SUM(B50:U50)</f>
        <v>-12196.578</v>
      </c>
    </row>
    <row r="51" customFormat="false" ht="12.75" hidden="false" customHeight="false" outlineLevel="0" collapsed="false">
      <c r="A51" s="258" t="s">
        <v>198</v>
      </c>
      <c r="B51" s="328" t="n">
        <f aca="false">-Debt!B77*Allocation!$E$7</f>
        <v>-11771.6055428957</v>
      </c>
      <c r="C51" s="328" t="n">
        <f aca="false">-Debt!C77*Allocation!$E$7</f>
        <v>-11803.945118563</v>
      </c>
      <c r="D51" s="328" t="n">
        <f aca="false">-Debt!D77*Allocation!$E$7</f>
        <v>-11803.945118563</v>
      </c>
      <c r="E51" s="328" t="n">
        <f aca="false">-Debt!E77*Allocation!$E$7</f>
        <v>-13205.888863506</v>
      </c>
      <c r="F51" s="328" t="n">
        <f aca="false">-Debt!F77*Allocation!$E$7</f>
        <v>-13534.3213758602</v>
      </c>
      <c r="G51" s="328" t="n">
        <f aca="false">-Debt!G77*Allocation!$E$7</f>
        <v>-13578.9915593648</v>
      </c>
      <c r="H51" s="328" t="n">
        <f aca="false">-Debt!H77*Allocation!$E$7</f>
        <v>-13530.0627515179</v>
      </c>
      <c r="I51" s="328" t="n">
        <f aca="false">-Debt!I77*Allocation!$E$7</f>
        <v>-13618.1215219815</v>
      </c>
      <c r="J51" s="328" t="n">
        <f aca="false">-Debt!J77*Allocation!$E$7</f>
        <v>-13545.4066848237</v>
      </c>
      <c r="K51" s="328" t="n">
        <f aca="false">-Debt!K77*Allocation!$E$7</f>
        <v>-14410.4099840777</v>
      </c>
      <c r="L51" s="328" t="n">
        <f aca="false">-Debt!L77*Allocation!$E$7</f>
        <v>-18499.7472648396</v>
      </c>
      <c r="M51" s="328" t="n">
        <f aca="false">-Debt!M77*Allocation!$E$7</f>
        <v>-17525.7252447901</v>
      </c>
      <c r="N51" s="328" t="n">
        <f aca="false">-Debt!N77*Allocation!$E$7</f>
        <v>-16503.2961216805</v>
      </c>
      <c r="O51" s="328" t="n">
        <f aca="false">-Debt!O77*Allocation!$E$7</f>
        <v>-15505.070550101</v>
      </c>
      <c r="P51" s="328" t="n">
        <f aca="false">-Debt!P77*Allocation!$E$7</f>
        <v>-14940.2062477606</v>
      </c>
      <c r="Q51" s="328" t="n">
        <f aca="false">-Debt!Q77*Allocation!$E$7</f>
        <v>-14338.5580168236</v>
      </c>
      <c r="R51" s="328" t="n">
        <f aca="false">-Debt!R77*Allocation!$E$7</f>
        <v>-13227.3825381037</v>
      </c>
      <c r="S51" s="328" t="n">
        <f aca="false">-Debt!S77*Allocation!$E$7</f>
        <v>-10395.8893324099</v>
      </c>
      <c r="T51" s="328" t="n">
        <f aca="false">-Debt!T77*Allocation!$E$7</f>
        <v>-9497.48631798839</v>
      </c>
      <c r="U51" s="328" t="n">
        <f aca="false">-Debt!U77*Allocation!$E$7</f>
        <v>-7709.38790261947</v>
      </c>
      <c r="W51" s="170" t="n">
        <f aca="false">SUM(B51:U51)</f>
        <v>-268945.44805827</v>
      </c>
    </row>
    <row r="52" customFormat="false" ht="12.75" hidden="false" customHeight="false" outlineLevel="0" collapsed="false">
      <c r="A52" s="258"/>
      <c r="B52" s="329"/>
      <c r="C52" s="329"/>
      <c r="D52" s="329"/>
      <c r="E52" s="329"/>
      <c r="F52" s="329"/>
      <c r="G52" s="329"/>
      <c r="H52" s="329"/>
      <c r="I52" s="329"/>
      <c r="J52" s="329"/>
      <c r="K52" s="329"/>
      <c r="L52" s="329"/>
      <c r="M52" s="329"/>
      <c r="N52" s="329"/>
      <c r="O52" s="329"/>
      <c r="P52" s="329"/>
      <c r="Q52" s="329"/>
      <c r="R52" s="329"/>
      <c r="S52" s="329"/>
      <c r="T52" s="329"/>
      <c r="U52" s="329"/>
      <c r="W52" s="251"/>
    </row>
    <row r="53" customFormat="false" ht="12.75" hidden="false" customHeight="false" outlineLevel="0" collapsed="false">
      <c r="A53" s="254" t="s">
        <v>199</v>
      </c>
      <c r="B53" s="160" t="n">
        <f aca="false">SUM(B48:B51)</f>
        <v>18924.5562400981</v>
      </c>
      <c r="C53" s="160" t="n">
        <f aca="false">SUM(C48:C51)</f>
        <v>20783.2231926034</v>
      </c>
      <c r="D53" s="160" t="n">
        <f aca="false">SUM(D48:D51)</f>
        <v>22444.2977462247</v>
      </c>
      <c r="E53" s="160" t="n">
        <f aca="false">SUM(E48:E51)</f>
        <v>22818.7701833634</v>
      </c>
      <c r="F53" s="160" t="n">
        <f aca="false">SUM(F48:F51)</f>
        <v>24387.9281832263</v>
      </c>
      <c r="G53" s="160" t="n">
        <f aca="false">SUM(G48:G51)</f>
        <v>25043.69790272</v>
      </c>
      <c r="H53" s="160" t="n">
        <f aca="false">SUM(H48:H51)</f>
        <v>25734.8569549101</v>
      </c>
      <c r="I53" s="160" t="n">
        <f aca="false">SUM(I48:I51)</f>
        <v>26254.6145078799</v>
      </c>
      <c r="J53" s="160" t="n">
        <f aca="false">SUM(J48:J51)</f>
        <v>27011.73403516</v>
      </c>
      <c r="K53" s="160" t="n">
        <f aca="false">SUM(K48:K51)</f>
        <v>26947.6086854024</v>
      </c>
      <c r="L53" s="160" t="n">
        <f aca="false">SUM(L48:L51)</f>
        <v>23413.0672836617</v>
      </c>
      <c r="M53" s="160" t="n">
        <f aca="false">SUM(M48:M51)</f>
        <v>24727.5116217365</v>
      </c>
      <c r="N53" s="160" t="n">
        <f aca="false">SUM(N48:N51)</f>
        <v>26250.2922148599</v>
      </c>
      <c r="O53" s="160" t="n">
        <f aca="false">SUM(O48:O51)</f>
        <v>27753.6736749997</v>
      </c>
      <c r="P53" s="160" t="n">
        <f aca="false">SUM(P48:P51)</f>
        <v>28828.5459625249</v>
      </c>
      <c r="Q53" s="160" t="n">
        <f aca="false">SUM(Q48:Q51)</f>
        <v>30055.251380386</v>
      </c>
      <c r="R53" s="160" t="n">
        <f aca="false">SUM(R48:R51)</f>
        <v>31799.4406939883</v>
      </c>
      <c r="S53" s="160" t="n">
        <f aca="false">SUM(S48:S51)</f>
        <v>35271.9798594507</v>
      </c>
      <c r="T53" s="160" t="n">
        <f aca="false">SUM(T48:T51)</f>
        <v>36819.5362318223</v>
      </c>
      <c r="U53" s="160" t="n">
        <f aca="false">SUM(U48:U51)</f>
        <v>39264.97042956</v>
      </c>
      <c r="V53" s="293"/>
      <c r="W53" s="170" t="n">
        <f aca="false">SUM(B53:U53)</f>
        <v>544535.556984578</v>
      </c>
    </row>
    <row r="54" customFormat="false" ht="12.75" hidden="false" customHeight="false" outlineLevel="0" collapsed="false">
      <c r="A54" s="254"/>
      <c r="B54" s="172"/>
      <c r="C54" s="172"/>
      <c r="D54" s="172"/>
      <c r="E54" s="172"/>
      <c r="F54" s="172"/>
      <c r="G54" s="172"/>
      <c r="H54" s="172"/>
      <c r="I54" s="172"/>
      <c r="J54" s="172"/>
      <c r="K54" s="172"/>
      <c r="L54" s="172"/>
      <c r="M54" s="172"/>
      <c r="N54" s="172"/>
      <c r="O54" s="172"/>
      <c r="P54" s="172"/>
      <c r="Q54" s="172"/>
      <c r="R54" s="172"/>
      <c r="S54" s="172"/>
      <c r="T54" s="172"/>
      <c r="U54" s="172"/>
      <c r="W54" s="251"/>
    </row>
    <row r="55" customFormat="false" ht="15" hidden="false" customHeight="false" outlineLevel="0" collapsed="false">
      <c r="A55" s="258" t="s">
        <v>200</v>
      </c>
      <c r="B55" s="329" t="n">
        <f aca="false">-B100</f>
        <v>-802.744596817566</v>
      </c>
      <c r="C55" s="329" t="n">
        <f aca="false">-C100</f>
        <v>-485.540212692667</v>
      </c>
      <c r="D55" s="329" t="n">
        <f aca="false">-D100</f>
        <v>-710.882352918574</v>
      </c>
      <c r="E55" s="329" t="n">
        <f aca="false">-E100</f>
        <v>-936.163019340078</v>
      </c>
      <c r="F55" s="329" t="n">
        <f aca="false">-F100</f>
        <v>-1179.36163528302</v>
      </c>
      <c r="G55" s="329" t="n">
        <f aca="false">-G100</f>
        <v>-1314.651515436</v>
      </c>
      <c r="H55" s="329" t="n">
        <f aca="false">-H100</f>
        <v>-1413.18216601427</v>
      </c>
      <c r="I55" s="329" t="n">
        <f aca="false">-I100</f>
        <v>-1484.21031086013</v>
      </c>
      <c r="J55" s="329" t="n">
        <f aca="false">-J100</f>
        <v>-1573.85305237774</v>
      </c>
      <c r="K55" s="329" t="n">
        <f aca="false">-K100</f>
        <v>-1670.50680881475</v>
      </c>
      <c r="L55" s="329" t="n">
        <f aca="false">-L100</f>
        <v>-1745.8833717473</v>
      </c>
      <c r="M55" s="329" t="n">
        <f aca="false">-M100</f>
        <v>-1861.00320749216</v>
      </c>
      <c r="N55" s="329" t="n">
        <f aca="false">-N100</f>
        <v>-1982.27506631195</v>
      </c>
      <c r="O55" s="329" t="n">
        <f aca="false">-O100</f>
        <v>-2100.06740269995</v>
      </c>
      <c r="P55" s="329" t="n">
        <f aca="false">-P100</f>
        <v>-2221.18650243563</v>
      </c>
      <c r="Q55" s="329" t="n">
        <f aca="false">-Q100</f>
        <v>-2640.89131460475</v>
      </c>
      <c r="R55" s="329" t="n">
        <f aca="false">-R100</f>
        <v>-3066.24796447929</v>
      </c>
      <c r="S55" s="329" t="n">
        <f aca="false">-S100</f>
        <v>-3199.66099831827</v>
      </c>
      <c r="T55" s="329" t="n">
        <f aca="false">-T100</f>
        <v>-3321.91795173562</v>
      </c>
      <c r="U55" s="329" t="n">
        <f aca="false">-U100</f>
        <v>-3444.64847324063</v>
      </c>
      <c r="W55" s="170" t="n">
        <f aca="false">SUM(B55:U55)</f>
        <v>-37154.8779236204</v>
      </c>
      <c r="X55" s="1"/>
      <c r="Y55" s="1"/>
      <c r="Z55" s="1"/>
      <c r="AA55" s="1"/>
      <c r="AB55" s="12"/>
      <c r="AC55" s="12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</row>
    <row r="56" customFormat="false" ht="12.75" hidden="false" customHeight="false" outlineLevel="0" collapsed="false">
      <c r="A56" s="258" t="s">
        <v>201</v>
      </c>
      <c r="B56" s="331" t="n">
        <f aca="false">-Allocation!$E$7*Tax!B24</f>
        <v>-2275.5557210367</v>
      </c>
      <c r="C56" s="331" t="n">
        <f aca="false">-Allocation!$E$7*Tax!C24</f>
        <v>-0</v>
      </c>
      <c r="D56" s="331" t="n">
        <f aca="false">-Allocation!$E$7*Tax!D24</f>
        <v>-0</v>
      </c>
      <c r="E56" s="331" t="n">
        <f aca="false">-Allocation!$E$7*Tax!E24</f>
        <v>-1349.3250244007</v>
      </c>
      <c r="F56" s="331" t="n">
        <f aca="false">-Allocation!$E$7*Tax!F24</f>
        <v>-3017.89747703579</v>
      </c>
      <c r="G56" s="331" t="n">
        <f aca="false">-Allocation!$E$7*Tax!G24</f>
        <v>-3811.16147297199</v>
      </c>
      <c r="H56" s="331" t="n">
        <f aca="false">-Allocation!$E$7*Tax!H24</f>
        <v>-4356.93813349228</v>
      </c>
      <c r="I56" s="331" t="n">
        <f aca="false">-Allocation!$E$7*Tax!I24</f>
        <v>-4640.93405198593</v>
      </c>
      <c r="J56" s="331" t="n">
        <f aca="false">-Allocation!$E$7*Tax!J24</f>
        <v>-4985.26858763307</v>
      </c>
      <c r="K56" s="331" t="n">
        <f aca="false">-Allocation!$E$7*Tax!K24</f>
        <v>-5331.49399989065</v>
      </c>
      <c r="L56" s="331" t="n">
        <f aca="false">-Allocation!$E$7*Tax!L24</f>
        <v>-5749.01784334213</v>
      </c>
      <c r="M56" s="331" t="n">
        <f aca="false">-Allocation!$E$7*Tax!M24</f>
        <v>-6288.69283785452</v>
      </c>
      <c r="N56" s="331" t="n">
        <f aca="false">-Allocation!$E$7*Tax!N24</f>
        <v>-6828.76530774758</v>
      </c>
      <c r="O56" s="331" t="n">
        <f aca="false">-Allocation!$E$7*Tax!O24</f>
        <v>-7383.9429526091</v>
      </c>
      <c r="P56" s="331" t="n">
        <f aca="false">-Allocation!$E$7*Tax!P24</f>
        <v>-7919.23033855753</v>
      </c>
      <c r="Q56" s="331" t="n">
        <f aca="false">-Allocation!$E$7*Tax!Q24</f>
        <v>-10867.9076458865</v>
      </c>
      <c r="R56" s="331" t="n">
        <f aca="false">-Allocation!$E$7*Tax!R24</f>
        <v>-13781.7759909343</v>
      </c>
      <c r="S56" s="331" t="n">
        <f aca="false">-Allocation!$E$7*Tax!S24</f>
        <v>-14334.4177586298</v>
      </c>
      <c r="T56" s="331" t="n">
        <f aca="false">-Allocation!$E$7*Tax!T24</f>
        <v>-14841.1524035031</v>
      </c>
      <c r="U56" s="331" t="n">
        <f aca="false">-Allocation!$E$7*Tax!U24</f>
        <v>-15349.8811799123</v>
      </c>
      <c r="W56" s="170" t="n">
        <f aca="false">SUM(B56:U56)</f>
        <v>-133113.358727424</v>
      </c>
      <c r="X56" s="1"/>
      <c r="Y56" s="1"/>
      <c r="Z56" s="1"/>
      <c r="AA56" s="1"/>
      <c r="AB56" s="12"/>
      <c r="AC56" s="12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</row>
    <row r="57" customFormat="false" ht="15" hidden="false" customHeight="false" outlineLevel="0" collapsed="false">
      <c r="A57" s="258"/>
      <c r="B57" s="197"/>
      <c r="C57" s="197"/>
      <c r="D57" s="197"/>
      <c r="E57" s="197"/>
      <c r="F57" s="197"/>
      <c r="G57" s="197"/>
      <c r="H57" s="197"/>
      <c r="I57" s="197"/>
      <c r="J57" s="197"/>
      <c r="K57" s="197"/>
      <c r="L57" s="197"/>
      <c r="M57" s="197"/>
      <c r="N57" s="197"/>
      <c r="O57" s="197"/>
      <c r="P57" s="197"/>
      <c r="Q57" s="197"/>
      <c r="R57" s="197"/>
      <c r="S57" s="197"/>
      <c r="T57" s="197"/>
      <c r="U57" s="197"/>
      <c r="W57" s="251"/>
    </row>
    <row r="58" customFormat="false" ht="15.75" hidden="false" customHeight="false" outlineLevel="0" collapsed="false">
      <c r="A58" s="332" t="s">
        <v>202</v>
      </c>
      <c r="B58" s="333" t="n">
        <f aca="false">B53+B56+B55</f>
        <v>15846.2559222438</v>
      </c>
      <c r="C58" s="333" t="n">
        <f aca="false">C53+C56+C55</f>
        <v>20297.6829799107</v>
      </c>
      <c r="D58" s="333" t="n">
        <f aca="false">D53+D56+D55</f>
        <v>21733.4153933062</v>
      </c>
      <c r="E58" s="333" t="n">
        <f aca="false">E53+E56+E55</f>
        <v>20533.2821396226</v>
      </c>
      <c r="F58" s="333" t="n">
        <f aca="false">F53+F56+F55</f>
        <v>20190.6690709075</v>
      </c>
      <c r="G58" s="333" t="n">
        <f aca="false">G53+G56+G55</f>
        <v>19917.884914312</v>
      </c>
      <c r="H58" s="333" t="n">
        <f aca="false">H53+H56+H55</f>
        <v>19964.7366554036</v>
      </c>
      <c r="I58" s="333" t="n">
        <f aca="false">I53+I56+I55</f>
        <v>20129.4701450338</v>
      </c>
      <c r="J58" s="333" t="n">
        <f aca="false">J53+J56+J55</f>
        <v>20452.6123951492</v>
      </c>
      <c r="K58" s="333" t="n">
        <f aca="false">K53+K56+K55</f>
        <v>19945.607876697</v>
      </c>
      <c r="L58" s="333" t="n">
        <f aca="false">L53+L56+L55</f>
        <v>15918.1660685723</v>
      </c>
      <c r="M58" s="333" t="n">
        <f aca="false">M53+M56+M55</f>
        <v>16577.8155763899</v>
      </c>
      <c r="N58" s="333" t="n">
        <f aca="false">N53+N56+N55</f>
        <v>17439.2518408003</v>
      </c>
      <c r="O58" s="333" t="n">
        <f aca="false">O53+O56+O55</f>
        <v>18269.6633196907</v>
      </c>
      <c r="P58" s="333" t="n">
        <f aca="false">P53+P56+P55</f>
        <v>18688.1291215318</v>
      </c>
      <c r="Q58" s="333" t="n">
        <f aca="false">Q53+Q56+Q55</f>
        <v>16546.4524198948</v>
      </c>
      <c r="R58" s="333" t="n">
        <f aca="false">R53+R56+R55</f>
        <v>14951.4167385747</v>
      </c>
      <c r="S58" s="333" t="n">
        <f aca="false">S53+S56+S55</f>
        <v>17737.9011025026</v>
      </c>
      <c r="T58" s="333" t="n">
        <f aca="false">T53+T56+T55</f>
        <v>18656.4658765835</v>
      </c>
      <c r="U58" s="333" t="n">
        <f aca="false">U53+U56+U55</f>
        <v>20470.4407764071</v>
      </c>
      <c r="V58" s="324"/>
      <c r="W58" s="170" t="n">
        <f aca="false">SUM(B58:U58)</f>
        <v>374267.320333534</v>
      </c>
    </row>
    <row r="59" customFormat="false" ht="12.75" hidden="false" customHeight="false" outlineLevel="0" collapsed="false">
      <c r="A59" s="93"/>
      <c r="B59" s="348"/>
      <c r="C59" s="348"/>
      <c r="D59" s="348"/>
      <c r="E59" s="348"/>
      <c r="F59" s="348"/>
      <c r="G59" s="348"/>
      <c r="H59" s="348"/>
      <c r="I59" s="348"/>
      <c r="J59" s="348"/>
      <c r="K59" s="348"/>
      <c r="L59" s="172"/>
      <c r="M59" s="172"/>
      <c r="N59" s="172"/>
      <c r="O59" s="172"/>
      <c r="P59" s="172"/>
      <c r="Q59" s="172"/>
      <c r="R59" s="172"/>
      <c r="S59" s="172"/>
      <c r="T59" s="172"/>
      <c r="U59" s="172"/>
      <c r="X59" s="293"/>
      <c r="Y59" s="293"/>
      <c r="Z59" s="293"/>
      <c r="AA59" s="293"/>
      <c r="AB59" s="293"/>
      <c r="AC59" s="293"/>
      <c r="AD59" s="293"/>
      <c r="AE59" s="293"/>
      <c r="AF59" s="293"/>
      <c r="AG59" s="293"/>
      <c r="AH59" s="293"/>
      <c r="AI59" s="293"/>
      <c r="AJ59" s="293"/>
      <c r="AK59" s="293"/>
      <c r="AL59" s="293"/>
      <c r="AM59" s="293"/>
      <c r="AN59" s="293"/>
      <c r="AO59" s="293"/>
      <c r="AP59" s="293"/>
      <c r="AQ59" s="293"/>
      <c r="AR59" s="293"/>
      <c r="AS59" s="293"/>
      <c r="AT59" s="293"/>
      <c r="AU59" s="293"/>
      <c r="AV59" s="293"/>
      <c r="AW59" s="293"/>
      <c r="AX59" s="293"/>
      <c r="AY59" s="293"/>
      <c r="AZ59" s="293"/>
      <c r="BA59" s="293"/>
      <c r="BB59" s="293"/>
      <c r="BC59" s="293"/>
      <c r="BD59" s="293"/>
      <c r="BE59" s="293"/>
      <c r="BF59" s="293"/>
      <c r="BG59" s="293"/>
      <c r="BH59" s="293"/>
      <c r="BI59" s="293"/>
      <c r="BJ59" s="293"/>
      <c r="BK59" s="293"/>
      <c r="BL59" s="293"/>
      <c r="BM59" s="293"/>
      <c r="BN59" s="293"/>
      <c r="BO59" s="293"/>
      <c r="BP59" s="293"/>
      <c r="BQ59" s="293"/>
      <c r="BR59" s="293"/>
      <c r="BS59" s="293"/>
      <c r="BT59" s="293"/>
      <c r="BU59" s="293"/>
      <c r="BV59" s="293"/>
      <c r="BW59" s="293"/>
      <c r="BX59" s="293"/>
      <c r="BY59" s="293"/>
      <c r="BZ59" s="293"/>
      <c r="CA59" s="293"/>
      <c r="CB59" s="293"/>
      <c r="CC59" s="293"/>
      <c r="CD59" s="293"/>
      <c r="CE59" s="293"/>
      <c r="CF59" s="293"/>
      <c r="CG59" s="293"/>
      <c r="CH59" s="293"/>
      <c r="CI59" s="293"/>
      <c r="CJ59" s="293"/>
      <c r="CK59" s="293"/>
      <c r="CL59" s="293"/>
      <c r="CM59" s="293"/>
      <c r="CN59" s="293"/>
      <c r="CO59" s="293"/>
      <c r="CP59" s="293"/>
      <c r="CQ59" s="293"/>
      <c r="CR59" s="293"/>
      <c r="CS59" s="293"/>
      <c r="CT59" s="293"/>
      <c r="CU59" s="293"/>
      <c r="CV59" s="293"/>
      <c r="CW59" s="293"/>
      <c r="CX59" s="293"/>
      <c r="CY59" s="293"/>
      <c r="CZ59" s="293"/>
      <c r="DA59" s="293"/>
      <c r="DB59" s="293"/>
      <c r="DC59" s="293"/>
      <c r="DD59" s="293"/>
      <c r="DE59" s="293"/>
      <c r="DF59" s="293"/>
      <c r="DG59" s="293"/>
      <c r="DH59" s="293"/>
      <c r="DI59" s="293"/>
      <c r="DJ59" s="293"/>
      <c r="DK59" s="293"/>
      <c r="DL59" s="293"/>
      <c r="DM59" s="293"/>
      <c r="DN59" s="293"/>
      <c r="DO59" s="293"/>
      <c r="DP59" s="293"/>
      <c r="DQ59" s="293"/>
      <c r="DR59" s="293"/>
      <c r="DS59" s="293"/>
      <c r="DT59" s="293"/>
      <c r="DU59" s="293"/>
      <c r="DV59" s="293"/>
      <c r="DW59" s="293"/>
      <c r="DX59" s="293"/>
      <c r="DY59" s="293"/>
      <c r="DZ59" s="293"/>
      <c r="EA59" s="293"/>
      <c r="EB59" s="293"/>
      <c r="EC59" s="293"/>
      <c r="ED59" s="293"/>
      <c r="EE59" s="293"/>
      <c r="EF59" s="293"/>
      <c r="EG59" s="293"/>
      <c r="EH59" s="293"/>
      <c r="EI59" s="293"/>
      <c r="EJ59" s="293"/>
      <c r="EK59" s="293"/>
      <c r="EL59" s="293"/>
      <c r="EM59" s="293"/>
      <c r="EN59" s="293"/>
      <c r="EO59" s="293"/>
      <c r="EP59" s="293"/>
      <c r="EQ59" s="293"/>
      <c r="ER59" s="293"/>
      <c r="ES59" s="293"/>
      <c r="ET59" s="293"/>
      <c r="EU59" s="293"/>
      <c r="EV59" s="293"/>
      <c r="EW59" s="293"/>
      <c r="EX59" s="293"/>
      <c r="EY59" s="293"/>
      <c r="EZ59" s="293"/>
      <c r="FA59" s="293"/>
      <c r="FB59" s="293"/>
      <c r="FC59" s="293"/>
      <c r="FD59" s="293"/>
      <c r="FE59" s="293"/>
      <c r="FF59" s="293"/>
      <c r="FG59" s="293"/>
      <c r="FH59" s="293"/>
      <c r="FI59" s="293"/>
      <c r="FJ59" s="293"/>
      <c r="FK59" s="293"/>
      <c r="FL59" s="293"/>
      <c r="FM59" s="293"/>
      <c r="FN59" s="293"/>
      <c r="FO59" s="293"/>
      <c r="FP59" s="293"/>
      <c r="FQ59" s="293"/>
      <c r="FR59" s="293"/>
      <c r="FS59" s="293"/>
      <c r="FT59" s="293"/>
      <c r="FU59" s="293"/>
      <c r="FV59" s="293"/>
      <c r="FW59" s="293"/>
      <c r="FX59" s="293"/>
      <c r="FY59" s="293"/>
      <c r="FZ59" s="293"/>
      <c r="GA59" s="293"/>
      <c r="GB59" s="293"/>
      <c r="GC59" s="293"/>
      <c r="GD59" s="293"/>
      <c r="GE59" s="293"/>
      <c r="GF59" s="293"/>
      <c r="GG59" s="293"/>
      <c r="GH59" s="293"/>
      <c r="GI59" s="293"/>
      <c r="GJ59" s="293"/>
      <c r="GK59" s="293"/>
      <c r="GL59" s="293"/>
      <c r="GM59" s="293"/>
      <c r="GN59" s="293"/>
      <c r="GO59" s="293"/>
      <c r="GP59" s="293"/>
      <c r="GQ59" s="293"/>
      <c r="GR59" s="293"/>
      <c r="GS59" s="293"/>
      <c r="GT59" s="293"/>
      <c r="GU59" s="293"/>
      <c r="GV59" s="293"/>
      <c r="GW59" s="293"/>
      <c r="GX59" s="293"/>
      <c r="GY59" s="293"/>
      <c r="GZ59" s="293"/>
      <c r="HA59" s="293"/>
      <c r="HB59" s="293"/>
      <c r="HC59" s="293"/>
      <c r="HD59" s="293"/>
      <c r="HE59" s="293"/>
      <c r="HF59" s="293"/>
      <c r="HG59" s="293"/>
      <c r="HH59" s="293"/>
      <c r="HI59" s="293"/>
      <c r="HJ59" s="293"/>
      <c r="HK59" s="293"/>
      <c r="HL59" s="293"/>
      <c r="HM59" s="293"/>
      <c r="HN59" s="293"/>
      <c r="HO59" s="293"/>
      <c r="HP59" s="293"/>
      <c r="HQ59" s="293"/>
      <c r="HR59" s="293"/>
      <c r="HS59" s="293"/>
      <c r="HT59" s="293"/>
      <c r="HU59" s="293"/>
      <c r="HV59" s="293"/>
      <c r="HW59" s="293"/>
      <c r="HX59" s="293"/>
      <c r="HY59" s="293"/>
      <c r="HZ59" s="293"/>
      <c r="IA59" s="293"/>
      <c r="IB59" s="293"/>
      <c r="IC59" s="293"/>
      <c r="ID59" s="293"/>
      <c r="IE59" s="293"/>
      <c r="IF59" s="293"/>
      <c r="IG59" s="293"/>
      <c r="IH59" s="293"/>
      <c r="II59" s="293"/>
      <c r="IJ59" s="293"/>
      <c r="IK59" s="293"/>
      <c r="IL59" s="293"/>
      <c r="IM59" s="293"/>
      <c r="IN59" s="293"/>
      <c r="IO59" s="293"/>
      <c r="IP59" s="293"/>
      <c r="IQ59" s="293"/>
      <c r="IR59" s="293"/>
      <c r="IS59" s="293"/>
      <c r="IT59" s="293"/>
      <c r="IU59" s="293"/>
      <c r="IV59" s="293"/>
      <c r="IW59" s="293"/>
    </row>
    <row r="60" customFormat="false" ht="15" hidden="false" customHeight="false" outlineLevel="0" collapsed="false">
      <c r="A60" s="349"/>
      <c r="B60" s="350"/>
      <c r="C60" s="350"/>
      <c r="D60" s="350"/>
      <c r="E60" s="350"/>
      <c r="F60" s="350"/>
      <c r="G60" s="350"/>
      <c r="H60" s="350"/>
      <c r="I60" s="350"/>
      <c r="J60" s="350"/>
      <c r="K60" s="350"/>
      <c r="L60" s="172"/>
      <c r="M60" s="172"/>
      <c r="N60" s="172"/>
      <c r="O60" s="172"/>
      <c r="P60" s="172"/>
      <c r="Q60" s="172"/>
      <c r="R60" s="172"/>
      <c r="S60" s="172"/>
      <c r="T60" s="172"/>
      <c r="U60" s="172"/>
    </row>
    <row r="61" customFormat="false" ht="12.75" hidden="false" customHeight="false" outlineLevel="0" collapsed="false">
      <c r="A61" s="254"/>
      <c r="B61" s="172"/>
      <c r="C61" s="172"/>
      <c r="D61" s="172"/>
      <c r="E61" s="172"/>
      <c r="F61" s="172"/>
      <c r="G61" s="172"/>
      <c r="H61" s="172"/>
      <c r="I61" s="172"/>
      <c r="J61" s="172"/>
      <c r="K61" s="172"/>
      <c r="L61" s="172"/>
      <c r="M61" s="172"/>
      <c r="N61" s="172"/>
      <c r="O61" s="172"/>
      <c r="P61" s="172"/>
      <c r="Q61" s="172"/>
      <c r="R61" s="172"/>
      <c r="S61" s="172"/>
      <c r="T61" s="172"/>
      <c r="U61" s="172"/>
    </row>
    <row r="62" customFormat="false" ht="18" hidden="false" customHeight="false" outlineLevel="0" collapsed="false">
      <c r="A62" s="326" t="s">
        <v>222</v>
      </c>
      <c r="B62" s="272"/>
      <c r="C62" s="272"/>
      <c r="D62" s="272"/>
      <c r="E62" s="272"/>
      <c r="F62" s="272"/>
      <c r="G62" s="272"/>
      <c r="H62" s="272"/>
      <c r="I62" s="272"/>
      <c r="J62" s="272"/>
      <c r="K62" s="272"/>
      <c r="L62" s="272"/>
      <c r="M62" s="272"/>
      <c r="N62" s="272"/>
      <c r="O62" s="272"/>
      <c r="P62" s="272"/>
      <c r="Q62" s="272"/>
      <c r="R62" s="272"/>
      <c r="S62" s="272"/>
      <c r="T62" s="272"/>
      <c r="U62" s="272"/>
    </row>
    <row r="63" customFormat="false" ht="12.75" hidden="false" customHeight="false" outlineLevel="0" collapsed="false">
      <c r="A63" s="293"/>
      <c r="B63" s="294"/>
      <c r="C63" s="294"/>
      <c r="D63" s="294"/>
      <c r="E63" s="294"/>
      <c r="F63" s="294"/>
      <c r="G63" s="295"/>
      <c r="H63" s="294"/>
      <c r="I63" s="294"/>
      <c r="J63" s="294"/>
      <c r="K63" s="294"/>
      <c r="L63" s="294"/>
      <c r="M63" s="295"/>
      <c r="N63" s="294"/>
      <c r="O63" s="294"/>
      <c r="P63" s="294"/>
      <c r="Q63" s="294"/>
      <c r="R63" s="294"/>
      <c r="S63" s="295"/>
      <c r="T63" s="294"/>
      <c r="U63" s="294"/>
    </row>
    <row r="64" customFormat="false" ht="15.75" hidden="false" customHeight="false" outlineLevel="0" collapsed="false">
      <c r="A64" s="248"/>
      <c r="B64" s="297" t="n">
        <v>3</v>
      </c>
      <c r="C64" s="297" t="n">
        <v>4</v>
      </c>
      <c r="D64" s="297" t="n">
        <v>5</v>
      </c>
      <c r="E64" s="298" t="n">
        <v>6</v>
      </c>
      <c r="F64" s="297" t="n">
        <v>7</v>
      </c>
      <c r="G64" s="297" t="n">
        <v>8</v>
      </c>
      <c r="H64" s="297" t="n">
        <v>9</v>
      </c>
      <c r="I64" s="297" t="n">
        <v>10</v>
      </c>
      <c r="J64" s="297" t="n">
        <v>11</v>
      </c>
      <c r="K64" s="298" t="n">
        <v>12</v>
      </c>
      <c r="L64" s="297" t="n">
        <v>13</v>
      </c>
      <c r="M64" s="297" t="n">
        <v>14</v>
      </c>
      <c r="N64" s="297" t="n">
        <v>15</v>
      </c>
      <c r="O64" s="297" t="n">
        <v>16</v>
      </c>
      <c r="P64" s="297" t="n">
        <v>17</v>
      </c>
      <c r="Q64" s="298" t="n">
        <v>18</v>
      </c>
      <c r="R64" s="297" t="n">
        <v>19</v>
      </c>
      <c r="S64" s="297" t="n">
        <v>20</v>
      </c>
      <c r="T64" s="297" t="n">
        <v>21</v>
      </c>
      <c r="U64" s="297" t="n">
        <v>22</v>
      </c>
      <c r="X64" s="324"/>
      <c r="Y64" s="324"/>
      <c r="Z64" s="324"/>
      <c r="AA64" s="324"/>
      <c r="AB64" s="324"/>
      <c r="AC64" s="324"/>
      <c r="AD64" s="324"/>
      <c r="AE64" s="324"/>
      <c r="AF64" s="324"/>
      <c r="AG64" s="324"/>
      <c r="AH64" s="324"/>
      <c r="AI64" s="324"/>
      <c r="AJ64" s="324"/>
      <c r="AK64" s="324"/>
      <c r="AL64" s="324"/>
      <c r="AM64" s="324"/>
      <c r="AN64" s="324"/>
      <c r="AO64" s="324"/>
      <c r="AP64" s="324"/>
      <c r="AQ64" s="324"/>
      <c r="AR64" s="324"/>
      <c r="AS64" s="324"/>
      <c r="AT64" s="324"/>
      <c r="AU64" s="324"/>
      <c r="AV64" s="324"/>
      <c r="AW64" s="324"/>
      <c r="AX64" s="324"/>
      <c r="AY64" s="324"/>
      <c r="AZ64" s="324"/>
      <c r="BA64" s="324"/>
      <c r="BB64" s="324"/>
      <c r="BC64" s="324"/>
      <c r="BD64" s="324"/>
      <c r="BE64" s="324"/>
      <c r="BF64" s="324"/>
      <c r="BG64" s="324"/>
      <c r="BH64" s="324"/>
      <c r="BI64" s="324"/>
      <c r="BJ64" s="324"/>
      <c r="BK64" s="324"/>
      <c r="BL64" s="324"/>
      <c r="BM64" s="324"/>
      <c r="BN64" s="324"/>
      <c r="BO64" s="324"/>
      <c r="BP64" s="324"/>
      <c r="BQ64" s="324"/>
      <c r="BR64" s="324"/>
      <c r="BS64" s="324"/>
      <c r="BT64" s="324"/>
      <c r="BU64" s="324"/>
      <c r="BV64" s="324"/>
      <c r="BW64" s="324"/>
      <c r="BX64" s="324"/>
      <c r="BY64" s="324"/>
      <c r="BZ64" s="324"/>
      <c r="CA64" s="324"/>
      <c r="CB64" s="324"/>
      <c r="CC64" s="324"/>
      <c r="CD64" s="324"/>
      <c r="CE64" s="324"/>
      <c r="CF64" s="324"/>
      <c r="CG64" s="324"/>
      <c r="CH64" s="324"/>
      <c r="CI64" s="324"/>
      <c r="CJ64" s="324"/>
      <c r="CK64" s="324"/>
      <c r="CL64" s="324"/>
      <c r="CM64" s="324"/>
      <c r="CN64" s="324"/>
      <c r="CO64" s="324"/>
      <c r="CP64" s="324"/>
      <c r="CQ64" s="324"/>
      <c r="CR64" s="324"/>
      <c r="CS64" s="324"/>
      <c r="CT64" s="324"/>
      <c r="CU64" s="324"/>
      <c r="CV64" s="324"/>
      <c r="CW64" s="324"/>
      <c r="CX64" s="324"/>
      <c r="CY64" s="324"/>
      <c r="CZ64" s="324"/>
      <c r="DA64" s="324"/>
      <c r="DB64" s="324"/>
      <c r="DC64" s="324"/>
      <c r="DD64" s="324"/>
      <c r="DE64" s="324"/>
      <c r="DF64" s="324"/>
      <c r="DG64" s="324"/>
      <c r="DH64" s="324"/>
      <c r="DI64" s="324"/>
      <c r="DJ64" s="324"/>
      <c r="DK64" s="324"/>
      <c r="DL64" s="324"/>
      <c r="DM64" s="324"/>
      <c r="DN64" s="324"/>
      <c r="DO64" s="324"/>
      <c r="DP64" s="324"/>
      <c r="DQ64" s="324"/>
      <c r="DR64" s="324"/>
      <c r="DS64" s="324"/>
      <c r="DT64" s="324"/>
      <c r="DU64" s="324"/>
      <c r="DV64" s="324"/>
      <c r="DW64" s="324"/>
      <c r="DX64" s="324"/>
      <c r="DY64" s="324"/>
      <c r="DZ64" s="324"/>
      <c r="EA64" s="324"/>
      <c r="EB64" s="324"/>
      <c r="EC64" s="324"/>
      <c r="ED64" s="324"/>
      <c r="EE64" s="324"/>
      <c r="EF64" s="324"/>
      <c r="EG64" s="324"/>
      <c r="EH64" s="324"/>
      <c r="EI64" s="324"/>
      <c r="EJ64" s="324"/>
      <c r="EK64" s="324"/>
      <c r="EL64" s="324"/>
      <c r="EM64" s="324"/>
      <c r="EN64" s="324"/>
      <c r="EO64" s="324"/>
      <c r="EP64" s="324"/>
      <c r="EQ64" s="324"/>
      <c r="ER64" s="324"/>
      <c r="ES64" s="324"/>
      <c r="ET64" s="324"/>
      <c r="EU64" s="324"/>
      <c r="EV64" s="324"/>
      <c r="EW64" s="324"/>
      <c r="EX64" s="324"/>
      <c r="EY64" s="324"/>
      <c r="EZ64" s="324"/>
      <c r="FA64" s="324"/>
      <c r="FB64" s="324"/>
      <c r="FC64" s="324"/>
      <c r="FD64" s="324"/>
      <c r="FE64" s="324"/>
      <c r="FF64" s="324"/>
      <c r="FG64" s="324"/>
      <c r="FH64" s="324"/>
      <c r="FI64" s="324"/>
      <c r="FJ64" s="324"/>
      <c r="FK64" s="324"/>
      <c r="FL64" s="324"/>
      <c r="FM64" s="324"/>
      <c r="FN64" s="324"/>
      <c r="FO64" s="324"/>
      <c r="FP64" s="324"/>
      <c r="FQ64" s="324"/>
      <c r="FR64" s="324"/>
      <c r="FS64" s="324"/>
      <c r="FT64" s="324"/>
      <c r="FU64" s="324"/>
      <c r="FV64" s="324"/>
      <c r="FW64" s="324"/>
      <c r="FX64" s="324"/>
      <c r="FY64" s="324"/>
      <c r="FZ64" s="324"/>
      <c r="GA64" s="324"/>
      <c r="GB64" s="324"/>
      <c r="GC64" s="324"/>
      <c r="GD64" s="324"/>
      <c r="GE64" s="324"/>
      <c r="GF64" s="324"/>
      <c r="GG64" s="324"/>
      <c r="GH64" s="324"/>
      <c r="GI64" s="324"/>
      <c r="GJ64" s="324"/>
      <c r="GK64" s="324"/>
      <c r="GL64" s="324"/>
      <c r="GM64" s="324"/>
      <c r="GN64" s="324"/>
      <c r="GO64" s="324"/>
      <c r="GP64" s="324"/>
      <c r="GQ64" s="324"/>
      <c r="GR64" s="324"/>
      <c r="GS64" s="324"/>
      <c r="GT64" s="324"/>
      <c r="GU64" s="324"/>
      <c r="GV64" s="324"/>
      <c r="GW64" s="324"/>
      <c r="GX64" s="324"/>
      <c r="GY64" s="324"/>
      <c r="GZ64" s="324"/>
      <c r="HA64" s="324"/>
      <c r="HB64" s="324"/>
      <c r="HC64" s="324"/>
      <c r="HD64" s="324"/>
      <c r="HE64" s="324"/>
      <c r="HF64" s="324"/>
      <c r="HG64" s="324"/>
      <c r="HH64" s="324"/>
      <c r="HI64" s="324"/>
      <c r="HJ64" s="324"/>
      <c r="HK64" s="324"/>
      <c r="HL64" s="324"/>
      <c r="HM64" s="324"/>
      <c r="HN64" s="324"/>
      <c r="HO64" s="324"/>
      <c r="HP64" s="324"/>
      <c r="HQ64" s="324"/>
      <c r="HR64" s="324"/>
      <c r="HS64" s="324"/>
      <c r="HT64" s="324"/>
      <c r="HU64" s="324"/>
      <c r="HV64" s="324"/>
      <c r="HW64" s="324"/>
      <c r="HX64" s="324"/>
      <c r="HY64" s="324"/>
      <c r="HZ64" s="324"/>
      <c r="IA64" s="324"/>
      <c r="IB64" s="324"/>
      <c r="IC64" s="324"/>
      <c r="ID64" s="324"/>
      <c r="IE64" s="324"/>
      <c r="IF64" s="324"/>
      <c r="IG64" s="324"/>
      <c r="IH64" s="324"/>
      <c r="II64" s="324"/>
      <c r="IJ64" s="324"/>
      <c r="IK64" s="324"/>
      <c r="IL64" s="324"/>
      <c r="IM64" s="324"/>
      <c r="IN64" s="324"/>
      <c r="IO64" s="324"/>
      <c r="IP64" s="324"/>
      <c r="IQ64" s="324"/>
      <c r="IR64" s="324"/>
      <c r="IS64" s="324"/>
      <c r="IT64" s="324"/>
      <c r="IU64" s="324"/>
      <c r="IV64" s="324"/>
      <c r="IW64" s="324"/>
    </row>
    <row r="65" customFormat="false" ht="13.5" hidden="false" customHeight="false" outlineLevel="0" collapsed="false">
      <c r="A65" s="154" t="s">
        <v>103</v>
      </c>
      <c r="B65" s="155" t="n">
        <v>2001</v>
      </c>
      <c r="C65" s="155" t="n">
        <v>2002</v>
      </c>
      <c r="D65" s="155" t="n">
        <v>2003</v>
      </c>
      <c r="E65" s="155" t="n">
        <v>2004</v>
      </c>
      <c r="F65" s="155" t="n">
        <v>2005</v>
      </c>
      <c r="G65" s="155" t="n">
        <v>2006</v>
      </c>
      <c r="H65" s="155" t="n">
        <v>2007</v>
      </c>
      <c r="I65" s="155" t="n">
        <v>2008</v>
      </c>
      <c r="J65" s="155" t="n">
        <v>2009</v>
      </c>
      <c r="K65" s="155" t="n">
        <v>2010</v>
      </c>
      <c r="L65" s="155" t="n">
        <v>2011</v>
      </c>
      <c r="M65" s="155" t="n">
        <v>2012</v>
      </c>
      <c r="N65" s="155" t="n">
        <v>2013</v>
      </c>
      <c r="O65" s="155" t="n">
        <v>2014</v>
      </c>
      <c r="P65" s="155" t="n">
        <v>2015</v>
      </c>
      <c r="Q65" s="155" t="n">
        <v>2016</v>
      </c>
      <c r="R65" s="155" t="n">
        <v>2017</v>
      </c>
      <c r="S65" s="155" t="n">
        <v>2018</v>
      </c>
      <c r="T65" s="155" t="n">
        <v>2019</v>
      </c>
      <c r="U65" s="155" t="n">
        <v>2020</v>
      </c>
    </row>
    <row r="66" customFormat="false" ht="12.75" hidden="false" customHeight="false" outlineLevel="0" collapsed="false">
      <c r="A66" s="248"/>
      <c r="B66" s="300"/>
      <c r="C66" s="156"/>
      <c r="D66" s="156"/>
      <c r="E66" s="156"/>
      <c r="F66" s="156"/>
      <c r="G66" s="156"/>
      <c r="H66" s="156"/>
      <c r="I66" s="156"/>
      <c r="J66" s="156"/>
      <c r="K66" s="156"/>
      <c r="L66" s="156"/>
      <c r="M66" s="156"/>
      <c r="N66" s="156"/>
      <c r="O66" s="156"/>
      <c r="P66" s="156"/>
      <c r="Q66" s="156"/>
      <c r="R66" s="156"/>
      <c r="S66" s="156"/>
      <c r="T66" s="156"/>
      <c r="U66" s="156"/>
    </row>
    <row r="67" customFormat="false" ht="12.75" hidden="false" customHeight="false" outlineLevel="0" collapsed="false">
      <c r="A67" s="301" t="s">
        <v>223</v>
      </c>
      <c r="B67" s="300"/>
      <c r="C67" s="156"/>
      <c r="D67" s="156"/>
      <c r="E67" s="156"/>
      <c r="F67" s="156"/>
      <c r="G67" s="156"/>
      <c r="H67" s="156"/>
      <c r="I67" s="156"/>
      <c r="J67" s="156"/>
      <c r="K67" s="156"/>
      <c r="L67" s="156"/>
      <c r="M67" s="156"/>
      <c r="N67" s="156"/>
      <c r="O67" s="156"/>
      <c r="P67" s="156"/>
      <c r="Q67" s="156"/>
      <c r="R67" s="156"/>
      <c r="S67" s="156"/>
      <c r="T67" s="156"/>
      <c r="U67" s="156"/>
    </row>
    <row r="68" customFormat="false" ht="12.75" hidden="false" customHeight="false" outlineLevel="0" collapsed="false">
      <c r="A68" s="248"/>
      <c r="B68" s="300"/>
      <c r="C68" s="156"/>
      <c r="D68" s="156"/>
      <c r="E68" s="156"/>
      <c r="F68" s="156"/>
      <c r="G68" s="156"/>
      <c r="H68" s="156"/>
      <c r="I68" s="156"/>
      <c r="J68" s="156"/>
      <c r="K68" s="156"/>
      <c r="L68" s="156"/>
      <c r="M68" s="156"/>
      <c r="N68" s="156"/>
      <c r="O68" s="156"/>
      <c r="P68" s="156"/>
      <c r="Q68" s="156"/>
      <c r="R68" s="156"/>
      <c r="S68" s="156"/>
      <c r="T68" s="156"/>
      <c r="U68" s="156"/>
    </row>
    <row r="69" customFormat="false" ht="12.75" hidden="false" customHeight="false" outlineLevel="0" collapsed="false">
      <c r="A69" s="301" t="s">
        <v>81</v>
      </c>
      <c r="B69" s="351"/>
      <c r="C69" s="351"/>
      <c r="D69" s="352"/>
      <c r="E69" s="352"/>
      <c r="F69" s="352"/>
      <c r="G69" s="352"/>
      <c r="H69" s="352"/>
      <c r="I69" s="352"/>
      <c r="J69" s="352"/>
      <c r="K69" s="352"/>
      <c r="L69" s="352"/>
      <c r="M69" s="352"/>
      <c r="N69" s="352"/>
      <c r="O69" s="352"/>
      <c r="P69" s="352"/>
      <c r="Q69" s="352"/>
      <c r="R69" s="352"/>
      <c r="S69" s="352"/>
      <c r="T69" s="352"/>
      <c r="U69" s="352"/>
      <c r="V69" s="352"/>
      <c r="W69" s="352"/>
    </row>
    <row r="70" customFormat="false" ht="12.75" hidden="false" customHeight="false" outlineLevel="0" collapsed="false">
      <c r="A70" s="24" t="s">
        <v>183</v>
      </c>
      <c r="B70" s="88" t="n">
        <f aca="false">B33</f>
        <v>12629.1694864267</v>
      </c>
      <c r="C70" s="88" t="n">
        <f aca="false">C33</f>
        <v>14166.576438932</v>
      </c>
      <c r="D70" s="88" t="n">
        <f aca="false">D33</f>
        <v>15846.7819925534</v>
      </c>
      <c r="E70" s="88" t="n">
        <f aca="false">E33</f>
        <v>17649.6016705558</v>
      </c>
      <c r="F70" s="88" t="n">
        <f aca="false">F33</f>
        <v>19777.9446552145</v>
      </c>
      <c r="G70" s="88" t="n">
        <f aca="false">G33</f>
        <v>20626.7288671061</v>
      </c>
      <c r="H70" s="88" t="n">
        <f aca="false">H33</f>
        <v>21466.7577885947</v>
      </c>
      <c r="I70" s="88" t="n">
        <f aca="false">I33</f>
        <v>22378.1874570618</v>
      </c>
      <c r="J70" s="88" t="n">
        <f aca="false">J33</f>
        <v>23500.5664767398</v>
      </c>
      <c r="K70" s="88" t="n">
        <f aca="false">K33</f>
        <v>24736.3709754747</v>
      </c>
      <c r="L70" s="88" t="n">
        <f aca="false">L33</f>
        <v>25678.1654561013</v>
      </c>
      <c r="M70" s="88" t="n">
        <f aca="false">M33</f>
        <v>27147.7177941761</v>
      </c>
      <c r="N70" s="88" t="n">
        <f aca="false">N33</f>
        <v>28670.4653872995</v>
      </c>
      <c r="O70" s="88" t="n">
        <f aca="false">O33</f>
        <v>30173.8468474393</v>
      </c>
      <c r="P70" s="88" t="n">
        <f aca="false">P33</f>
        <v>31694.6607812701</v>
      </c>
      <c r="Q70" s="88" t="n">
        <f aca="false">Q33</f>
        <v>33367.3078454367</v>
      </c>
      <c r="R70" s="88" t="n">
        <f aca="false">R33</f>
        <v>35111.497159039</v>
      </c>
      <c r="S70" s="88" t="n">
        <f aca="false">S33</f>
        <v>36800.2697392792</v>
      </c>
      <c r="T70" s="88" t="n">
        <f aca="false">T33</f>
        <v>38347.8261116508</v>
      </c>
      <c r="U70" s="88" t="n">
        <f aca="false">U33</f>
        <v>39901.3770167774</v>
      </c>
      <c r="V70" s="353"/>
      <c r="W70" s="353"/>
    </row>
    <row r="71" customFormat="false" ht="12.75" hidden="false" customHeight="false" outlineLevel="0" collapsed="false">
      <c r="A71" s="24" t="s">
        <v>224</v>
      </c>
      <c r="B71" s="354" t="n">
        <f aca="false">Assumptions!$D$39</f>
        <v>0.034</v>
      </c>
      <c r="C71" s="354" t="n">
        <f aca="false">Assumptions!$D$39</f>
        <v>0.034</v>
      </c>
      <c r="D71" s="354" t="n">
        <f aca="false">Assumptions!$D$39</f>
        <v>0.034</v>
      </c>
      <c r="E71" s="354" t="n">
        <f aca="false">Assumptions!$D$39</f>
        <v>0.034</v>
      </c>
      <c r="F71" s="354" t="n">
        <f aca="false">Assumptions!$D$39</f>
        <v>0.034</v>
      </c>
      <c r="G71" s="354" t="n">
        <f aca="false">Assumptions!$D$39</f>
        <v>0.034</v>
      </c>
      <c r="H71" s="354" t="n">
        <f aca="false">Assumptions!$D$39</f>
        <v>0.034</v>
      </c>
      <c r="I71" s="354" t="n">
        <f aca="false">Assumptions!$D$39</f>
        <v>0.034</v>
      </c>
      <c r="J71" s="354" t="n">
        <f aca="false">Assumptions!$D$39</f>
        <v>0.034</v>
      </c>
      <c r="K71" s="354" t="n">
        <f aca="false">Assumptions!$D$39</f>
        <v>0.034</v>
      </c>
      <c r="L71" s="354" t="n">
        <f aca="false">Assumptions!$D$39</f>
        <v>0.034</v>
      </c>
      <c r="M71" s="354" t="n">
        <f aca="false">Assumptions!$D$39</f>
        <v>0.034</v>
      </c>
      <c r="N71" s="354" t="n">
        <f aca="false">Assumptions!$D$39</f>
        <v>0.034</v>
      </c>
      <c r="O71" s="354" t="n">
        <f aca="false">Assumptions!$D$39</f>
        <v>0.034</v>
      </c>
      <c r="P71" s="354" t="n">
        <f aca="false">Assumptions!$D$39</f>
        <v>0.034</v>
      </c>
      <c r="Q71" s="354" t="n">
        <f aca="false">Assumptions!$D$39</f>
        <v>0.034</v>
      </c>
      <c r="R71" s="354" t="n">
        <f aca="false">Assumptions!$D$39</f>
        <v>0.034</v>
      </c>
      <c r="S71" s="354" t="n">
        <f aca="false">Assumptions!$D$39</f>
        <v>0.034</v>
      </c>
      <c r="T71" s="354" t="n">
        <f aca="false">Assumptions!$D$39</f>
        <v>0.034</v>
      </c>
      <c r="U71" s="354" t="n">
        <f aca="false">Assumptions!$D$39</f>
        <v>0.034</v>
      </c>
      <c r="V71" s="354"/>
      <c r="W71" s="354"/>
    </row>
    <row r="72" customFormat="false" ht="12.75" hidden="false" customHeight="false" outlineLevel="0" collapsed="false">
      <c r="A72" s="24" t="s">
        <v>225</v>
      </c>
      <c r="B72" s="172" t="n">
        <f aca="false">B70*B71</f>
        <v>429.391762538507</v>
      </c>
      <c r="C72" s="172" t="n">
        <f aca="false">C70*C71</f>
        <v>481.663598923687</v>
      </c>
      <c r="D72" s="172" t="n">
        <f aca="false">D70*D71</f>
        <v>538.790587746815</v>
      </c>
      <c r="E72" s="172" t="n">
        <f aca="false">E70*E71</f>
        <v>600.086456798898</v>
      </c>
      <c r="F72" s="172" t="n">
        <f aca="false">F70*F71</f>
        <v>672.450118277294</v>
      </c>
      <c r="G72" s="172" t="n">
        <f aca="false">G70*G71</f>
        <v>701.308781481607</v>
      </c>
      <c r="H72" s="172" t="n">
        <f aca="false">H70*H71</f>
        <v>729.869764812218</v>
      </c>
      <c r="I72" s="172" t="n">
        <f aca="false">I70*I71</f>
        <v>760.858373540102</v>
      </c>
      <c r="J72" s="172" t="n">
        <f aca="false">J70*J71</f>
        <v>799.019260209152</v>
      </c>
      <c r="K72" s="172" t="n">
        <f aca="false">K70*K71</f>
        <v>841.036613166141</v>
      </c>
      <c r="L72" s="172" t="n">
        <f aca="false">L70*L71</f>
        <v>873.057625507445</v>
      </c>
      <c r="M72" s="172" t="n">
        <f aca="false">M70*M71</f>
        <v>923.022405001989</v>
      </c>
      <c r="N72" s="172" t="n">
        <f aca="false">N70*N71</f>
        <v>974.795823168182</v>
      </c>
      <c r="O72" s="172" t="n">
        <f aca="false">O70*O71</f>
        <v>1025.91079281294</v>
      </c>
      <c r="P72" s="172" t="n">
        <f aca="false">P70*P71</f>
        <v>1077.61846656318</v>
      </c>
      <c r="Q72" s="172" t="n">
        <f aca="false">Q70*Q71</f>
        <v>1134.48846674485</v>
      </c>
      <c r="R72" s="172" t="n">
        <f aca="false">R70*R71</f>
        <v>1193.79090340733</v>
      </c>
      <c r="S72" s="172" t="n">
        <f aca="false">S70*S71</f>
        <v>1251.20917113549</v>
      </c>
      <c r="T72" s="172" t="n">
        <f aca="false">T70*T71</f>
        <v>1303.82608779613</v>
      </c>
      <c r="U72" s="172" t="n">
        <f aca="false">U70*U71</f>
        <v>1356.64681857043</v>
      </c>
      <c r="V72" s="355"/>
      <c r="W72" s="355"/>
    </row>
    <row r="73" customFormat="false" ht="12.75" hidden="false" customHeight="false" outlineLevel="0" collapsed="false">
      <c r="A73" s="351"/>
      <c r="B73" s="12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</row>
    <row r="74" customFormat="false" ht="12.75" hidden="false" customHeight="false" outlineLevel="0" collapsed="false">
      <c r="A74" s="301" t="s">
        <v>226</v>
      </c>
      <c r="B74" s="12"/>
      <c r="C74" s="12"/>
      <c r="D74" s="356"/>
      <c r="E74" s="356"/>
      <c r="F74" s="356"/>
      <c r="G74" s="356"/>
      <c r="H74" s="356"/>
      <c r="I74" s="356"/>
      <c r="J74" s="356"/>
      <c r="K74" s="356"/>
      <c r="L74" s="356"/>
      <c r="M74" s="356"/>
      <c r="N74" s="356"/>
      <c r="O74" s="356"/>
      <c r="P74" s="356"/>
      <c r="Q74" s="356"/>
      <c r="R74" s="356"/>
      <c r="S74" s="356"/>
      <c r="T74" s="356"/>
      <c r="U74" s="356"/>
      <c r="V74" s="356"/>
      <c r="W74" s="356"/>
    </row>
    <row r="75" customFormat="false" ht="12.75" hidden="false" customHeight="false" outlineLevel="0" collapsed="false">
      <c r="A75" s="24" t="s">
        <v>227</v>
      </c>
      <c r="B75" s="357" t="n">
        <f aca="false">B13</f>
        <v>34665.1108335295</v>
      </c>
      <c r="C75" s="357" t="n">
        <f aca="false">C13</f>
        <v>36465.8146432181</v>
      </c>
      <c r="D75" s="357" t="n">
        <f aca="false">D13</f>
        <v>38361.2355868011</v>
      </c>
      <c r="E75" s="357" t="n">
        <f aca="false">E13</f>
        <v>40356.3579405432</v>
      </c>
      <c r="F75" s="357" t="n">
        <f aca="false">F13</f>
        <v>42456.5361295705</v>
      </c>
      <c r="G75" s="357" t="n">
        <f aca="false">G13</f>
        <v>43334.3910796832</v>
      </c>
      <c r="H75" s="357" t="n">
        <f aca="false">H13</f>
        <v>44229.9908425545</v>
      </c>
      <c r="I75" s="357" t="n">
        <f aca="false">I13</f>
        <v>45145.1015900716</v>
      </c>
      <c r="J75" s="357" t="n">
        <f aca="false">J13</f>
        <v>46080.6184770002</v>
      </c>
      <c r="K75" s="357" t="n">
        <f aca="false">K13</f>
        <v>47036.6717992071</v>
      </c>
      <c r="L75" s="357" t="n">
        <f aca="false">L13</f>
        <v>47672.8262721201</v>
      </c>
      <c r="M75" s="357" t="n">
        <f aca="false">M13</f>
        <v>48320.1462018541</v>
      </c>
      <c r="N75" s="357" t="n">
        <f aca="false">N13</f>
        <v>48976.8419619276</v>
      </c>
      <c r="O75" s="357" t="n">
        <f aca="false">O13</f>
        <v>49643.0664592496</v>
      </c>
      <c r="P75" s="357" t="n">
        <f aca="false">P13</f>
        <v>50318.9751114588</v>
      </c>
      <c r="Q75" s="357" t="n">
        <f aca="false">Q13</f>
        <v>51114.9099854181</v>
      </c>
      <c r="R75" s="357" t="n">
        <f aca="false">R13</f>
        <v>51923.9278379467</v>
      </c>
      <c r="S75" s="357" t="n">
        <f aca="false">S13</f>
        <v>52746.2579358911</v>
      </c>
      <c r="T75" s="357" t="n">
        <f aca="false">T13</f>
        <v>53582.133956162</v>
      </c>
      <c r="U75" s="357" t="n">
        <f aca="false">U13</f>
        <v>54431.7940807213</v>
      </c>
      <c r="V75" s="353"/>
      <c r="W75" s="353"/>
      <c r="X75" s="352"/>
      <c r="Y75" s="352"/>
      <c r="Z75" s="352"/>
      <c r="AA75" s="352"/>
      <c r="AB75" s="352"/>
      <c r="AC75" s="351"/>
      <c r="AD75" s="351"/>
      <c r="AE75" s="358"/>
      <c r="AF75" s="358"/>
      <c r="AG75" s="358"/>
      <c r="AH75" s="358"/>
      <c r="AI75" s="358"/>
      <c r="AJ75" s="358"/>
      <c r="AK75" s="358"/>
      <c r="AL75" s="358"/>
      <c r="AM75" s="358"/>
      <c r="AN75" s="358"/>
      <c r="AO75" s="358"/>
      <c r="AP75" s="358"/>
      <c r="AQ75" s="358"/>
      <c r="AR75" s="358"/>
      <c r="AS75" s="358"/>
      <c r="AT75" s="305"/>
      <c r="AU75" s="305"/>
      <c r="AV75" s="305"/>
      <c r="AW75" s="305"/>
      <c r="AX75" s="305"/>
      <c r="AY75" s="305"/>
      <c r="AZ75" s="305"/>
      <c r="BA75" s="305"/>
      <c r="BB75" s="305"/>
      <c r="BC75" s="305"/>
      <c r="BD75" s="305"/>
      <c r="BE75" s="305"/>
      <c r="BF75" s="305"/>
      <c r="BG75" s="305"/>
      <c r="BH75" s="305"/>
      <c r="BI75" s="305"/>
      <c r="BJ75" s="305"/>
      <c r="BK75" s="305"/>
      <c r="BL75" s="305"/>
      <c r="BM75" s="305"/>
      <c r="BN75" s="305"/>
      <c r="BO75" s="305"/>
      <c r="BP75" s="305"/>
      <c r="BQ75" s="305"/>
      <c r="BR75" s="305"/>
      <c r="BS75" s="305"/>
      <c r="BT75" s="305"/>
      <c r="BU75" s="305"/>
      <c r="BV75" s="305"/>
      <c r="BW75" s="305"/>
      <c r="BX75" s="305"/>
      <c r="BY75" s="305"/>
      <c r="BZ75" s="305"/>
      <c r="CA75" s="305"/>
      <c r="CB75" s="305"/>
      <c r="CC75" s="305"/>
      <c r="CD75" s="305"/>
      <c r="CE75" s="305"/>
      <c r="CF75" s="305"/>
      <c r="CG75" s="305"/>
      <c r="CH75" s="305"/>
      <c r="CI75" s="305"/>
      <c r="CJ75" s="305"/>
      <c r="CK75" s="305"/>
      <c r="CL75" s="305"/>
      <c r="CM75" s="305"/>
      <c r="CN75" s="305"/>
      <c r="CO75" s="305"/>
      <c r="CP75" s="305"/>
      <c r="CQ75" s="305"/>
      <c r="CR75" s="305"/>
      <c r="CS75" s="305"/>
      <c r="CT75" s="305"/>
      <c r="CU75" s="305"/>
      <c r="CV75" s="305"/>
      <c r="CW75" s="305"/>
      <c r="CX75" s="305"/>
      <c r="CY75" s="305"/>
      <c r="CZ75" s="305"/>
      <c r="DA75" s="305"/>
      <c r="DB75" s="305"/>
      <c r="DC75" s="305"/>
      <c r="DD75" s="305"/>
      <c r="DE75" s="305"/>
      <c r="DF75" s="305"/>
      <c r="DG75" s="305"/>
      <c r="DH75" s="305"/>
      <c r="DI75" s="305"/>
      <c r="DJ75" s="305"/>
      <c r="DK75" s="305"/>
      <c r="DL75" s="305"/>
      <c r="DM75" s="305"/>
      <c r="DN75" s="305"/>
      <c r="DO75" s="305"/>
      <c r="DP75" s="305"/>
      <c r="DQ75" s="305"/>
      <c r="DR75" s="305"/>
      <c r="DS75" s="305"/>
      <c r="DT75" s="305"/>
      <c r="DU75" s="305"/>
      <c r="DV75" s="305"/>
      <c r="DW75" s="305"/>
      <c r="DX75" s="305"/>
      <c r="DY75" s="305"/>
      <c r="DZ75" s="305"/>
      <c r="EA75" s="305"/>
      <c r="EB75" s="305"/>
      <c r="EC75" s="305"/>
      <c r="ED75" s="305"/>
      <c r="EE75" s="305"/>
      <c r="EF75" s="305"/>
      <c r="EG75" s="305"/>
      <c r="EH75" s="305"/>
      <c r="EI75" s="305"/>
      <c r="EJ75" s="305"/>
      <c r="EK75" s="305"/>
      <c r="EL75" s="305"/>
      <c r="EM75" s="305"/>
      <c r="EN75" s="305"/>
      <c r="EO75" s="305"/>
      <c r="EP75" s="305"/>
      <c r="EQ75" s="305"/>
      <c r="ER75" s="305"/>
      <c r="ES75" s="305"/>
      <c r="ET75" s="305"/>
      <c r="EU75" s="305"/>
      <c r="EV75" s="305"/>
      <c r="EW75" s="305"/>
      <c r="EX75" s="305"/>
      <c r="EY75" s="305"/>
      <c r="EZ75" s="305"/>
      <c r="FA75" s="305"/>
      <c r="FB75" s="305"/>
      <c r="FC75" s="305"/>
      <c r="FD75" s="305"/>
      <c r="FE75" s="305"/>
      <c r="FF75" s="305"/>
      <c r="FG75" s="305"/>
      <c r="FH75" s="305"/>
      <c r="FI75" s="305"/>
      <c r="FJ75" s="305"/>
      <c r="FK75" s="305"/>
      <c r="FL75" s="305"/>
      <c r="FM75" s="305"/>
      <c r="FN75" s="305"/>
      <c r="FO75" s="305"/>
      <c r="FP75" s="305"/>
      <c r="FQ75" s="305"/>
      <c r="FR75" s="305"/>
      <c r="FS75" s="305"/>
      <c r="FT75" s="305"/>
      <c r="FU75" s="305"/>
      <c r="FV75" s="305"/>
      <c r="FW75" s="305"/>
      <c r="FX75" s="305"/>
      <c r="FY75" s="305"/>
      <c r="FZ75" s="305"/>
      <c r="GA75" s="305"/>
      <c r="GB75" s="305"/>
      <c r="GC75" s="305"/>
      <c r="GD75" s="305"/>
      <c r="GE75" s="305"/>
      <c r="GF75" s="305"/>
      <c r="GG75" s="305"/>
      <c r="GH75" s="305"/>
      <c r="GI75" s="305"/>
      <c r="GJ75" s="305"/>
      <c r="GK75" s="305"/>
      <c r="GL75" s="305"/>
      <c r="GM75" s="305"/>
      <c r="GN75" s="305"/>
      <c r="GO75" s="305"/>
      <c r="GP75" s="305"/>
      <c r="GQ75" s="305"/>
      <c r="GR75" s="305"/>
      <c r="GS75" s="305"/>
      <c r="GT75" s="305"/>
      <c r="GU75" s="305"/>
      <c r="GV75" s="305"/>
      <c r="GW75" s="305"/>
      <c r="GX75" s="305"/>
      <c r="GY75" s="305"/>
      <c r="GZ75" s="305"/>
      <c r="HA75" s="305"/>
      <c r="HB75" s="305"/>
      <c r="HC75" s="305"/>
      <c r="HD75" s="305"/>
      <c r="HE75" s="305"/>
      <c r="HF75" s="305"/>
      <c r="HG75" s="305"/>
      <c r="HH75" s="305"/>
      <c r="HI75" s="305"/>
      <c r="HJ75" s="305"/>
      <c r="HK75" s="305"/>
      <c r="HL75" s="305"/>
      <c r="HM75" s="305"/>
      <c r="HN75" s="305"/>
      <c r="HO75" s="305"/>
      <c r="HP75" s="305"/>
      <c r="HQ75" s="305"/>
      <c r="HR75" s="305"/>
      <c r="HS75" s="305"/>
      <c r="HT75" s="305"/>
      <c r="HU75" s="305"/>
      <c r="HV75" s="305"/>
      <c r="HW75" s="305"/>
      <c r="HX75" s="305"/>
      <c r="HY75" s="305"/>
      <c r="HZ75" s="305"/>
      <c r="IA75" s="305"/>
      <c r="IB75" s="305"/>
      <c r="IC75" s="305"/>
      <c r="ID75" s="305"/>
      <c r="IE75" s="305"/>
      <c r="IF75" s="305"/>
      <c r="IG75" s="305"/>
      <c r="IH75" s="305"/>
      <c r="II75" s="305"/>
      <c r="IJ75" s="305"/>
      <c r="IK75" s="305"/>
      <c r="IL75" s="305"/>
      <c r="IM75" s="305"/>
      <c r="IN75" s="305"/>
      <c r="IO75" s="305"/>
      <c r="IP75" s="305"/>
      <c r="IQ75" s="305"/>
      <c r="IR75" s="305"/>
      <c r="IS75" s="305"/>
      <c r="IT75" s="305"/>
      <c r="IU75" s="305"/>
      <c r="IV75" s="305"/>
      <c r="IW75" s="305"/>
    </row>
    <row r="76" customFormat="false" ht="12.75" hidden="false" customHeight="false" outlineLevel="0" collapsed="false">
      <c r="A76" s="24" t="s">
        <v>83</v>
      </c>
      <c r="B76" s="354" t="n">
        <f aca="false">Assumptions!$D$40</f>
        <v>0.012</v>
      </c>
      <c r="C76" s="354" t="n">
        <f aca="false">Assumptions!$D$40</f>
        <v>0.012</v>
      </c>
      <c r="D76" s="354" t="n">
        <f aca="false">Assumptions!$D$40</f>
        <v>0.012</v>
      </c>
      <c r="E76" s="354" t="n">
        <f aca="false">Assumptions!$D$40</f>
        <v>0.012</v>
      </c>
      <c r="F76" s="354" t="n">
        <f aca="false">Assumptions!$D$40</f>
        <v>0.012</v>
      </c>
      <c r="G76" s="354" t="n">
        <f aca="false">Assumptions!$D$40</f>
        <v>0.012</v>
      </c>
      <c r="H76" s="354" t="n">
        <f aca="false">Assumptions!$D$40</f>
        <v>0.012</v>
      </c>
      <c r="I76" s="354" t="n">
        <f aca="false">Assumptions!$D$40</f>
        <v>0.012</v>
      </c>
      <c r="J76" s="354" t="n">
        <f aca="false">Assumptions!$D$40</f>
        <v>0.012</v>
      </c>
      <c r="K76" s="354" t="n">
        <f aca="false">Assumptions!$D$40</f>
        <v>0.012</v>
      </c>
      <c r="L76" s="354" t="n">
        <f aca="false">Assumptions!$D$40</f>
        <v>0.012</v>
      </c>
      <c r="M76" s="354" t="n">
        <f aca="false">Assumptions!$D$40</f>
        <v>0.012</v>
      </c>
      <c r="N76" s="354" t="n">
        <f aca="false">Assumptions!$D$40</f>
        <v>0.012</v>
      </c>
      <c r="O76" s="354" t="n">
        <f aca="false">Assumptions!$D$40</f>
        <v>0.012</v>
      </c>
      <c r="P76" s="354" t="n">
        <f aca="false">Assumptions!$D$40</f>
        <v>0.012</v>
      </c>
      <c r="Q76" s="354" t="n">
        <f aca="false">Assumptions!$D$40</f>
        <v>0.012</v>
      </c>
      <c r="R76" s="354" t="n">
        <f aca="false">Assumptions!$D$40</f>
        <v>0.012</v>
      </c>
      <c r="S76" s="354" t="n">
        <f aca="false">Assumptions!$D$40</f>
        <v>0.012</v>
      </c>
      <c r="T76" s="354" t="n">
        <f aca="false">Assumptions!$D$40</f>
        <v>0.012</v>
      </c>
      <c r="U76" s="354" t="n">
        <f aca="false">Assumptions!$D$40</f>
        <v>0.012</v>
      </c>
      <c r="V76" s="354"/>
      <c r="W76" s="354"/>
      <c r="X76" s="353"/>
      <c r="Y76" s="353"/>
      <c r="Z76" s="353"/>
      <c r="AA76" s="353"/>
      <c r="AB76" s="353"/>
      <c r="AC76" s="351"/>
      <c r="AD76" s="351"/>
      <c r="AE76" s="358"/>
      <c r="AF76" s="358"/>
      <c r="AG76" s="358"/>
      <c r="AH76" s="358"/>
      <c r="AI76" s="358"/>
      <c r="AJ76" s="358"/>
      <c r="AK76" s="358"/>
      <c r="AL76" s="358"/>
      <c r="AM76" s="358"/>
      <c r="AN76" s="358"/>
      <c r="AO76" s="358"/>
      <c r="AP76" s="358"/>
      <c r="AQ76" s="358"/>
      <c r="AR76" s="358"/>
      <c r="AS76" s="358"/>
      <c r="AT76" s="305"/>
      <c r="AU76" s="305"/>
      <c r="AV76" s="305"/>
      <c r="AW76" s="305"/>
      <c r="AX76" s="305"/>
      <c r="AY76" s="305"/>
      <c r="AZ76" s="305"/>
      <c r="BA76" s="305"/>
      <c r="BB76" s="305"/>
      <c r="BC76" s="305"/>
      <c r="BD76" s="305"/>
      <c r="BE76" s="305"/>
      <c r="BF76" s="305"/>
      <c r="BG76" s="305"/>
      <c r="BH76" s="305"/>
      <c r="BI76" s="305"/>
      <c r="BJ76" s="305"/>
      <c r="BK76" s="305"/>
      <c r="BL76" s="305"/>
      <c r="BM76" s="305"/>
      <c r="BN76" s="305"/>
      <c r="BO76" s="305"/>
      <c r="BP76" s="305"/>
      <c r="BQ76" s="305"/>
      <c r="BR76" s="305"/>
      <c r="BS76" s="305"/>
      <c r="BT76" s="305"/>
      <c r="BU76" s="305"/>
      <c r="BV76" s="305"/>
      <c r="BW76" s="305"/>
      <c r="BX76" s="305"/>
      <c r="BY76" s="305"/>
      <c r="BZ76" s="305"/>
      <c r="CA76" s="305"/>
      <c r="CB76" s="305"/>
      <c r="CC76" s="305"/>
      <c r="CD76" s="305"/>
      <c r="CE76" s="305"/>
      <c r="CF76" s="305"/>
      <c r="CG76" s="305"/>
      <c r="CH76" s="305"/>
      <c r="CI76" s="305"/>
      <c r="CJ76" s="305"/>
      <c r="CK76" s="305"/>
      <c r="CL76" s="305"/>
      <c r="CM76" s="305"/>
      <c r="CN76" s="305"/>
      <c r="CO76" s="305"/>
      <c r="CP76" s="305"/>
      <c r="CQ76" s="305"/>
      <c r="CR76" s="305"/>
      <c r="CS76" s="305"/>
      <c r="CT76" s="305"/>
      <c r="CU76" s="305"/>
      <c r="CV76" s="305"/>
      <c r="CW76" s="305"/>
      <c r="CX76" s="305"/>
      <c r="CY76" s="305"/>
      <c r="CZ76" s="305"/>
      <c r="DA76" s="305"/>
      <c r="DB76" s="305"/>
      <c r="DC76" s="305"/>
      <c r="DD76" s="305"/>
      <c r="DE76" s="305"/>
      <c r="DF76" s="305"/>
      <c r="DG76" s="305"/>
      <c r="DH76" s="305"/>
      <c r="DI76" s="305"/>
      <c r="DJ76" s="305"/>
      <c r="DK76" s="305"/>
      <c r="DL76" s="305"/>
      <c r="DM76" s="305"/>
      <c r="DN76" s="305"/>
      <c r="DO76" s="305"/>
      <c r="DP76" s="305"/>
      <c r="DQ76" s="305"/>
      <c r="DR76" s="305"/>
      <c r="DS76" s="305"/>
      <c r="DT76" s="305"/>
      <c r="DU76" s="305"/>
      <c r="DV76" s="305"/>
      <c r="DW76" s="305"/>
      <c r="DX76" s="305"/>
      <c r="DY76" s="305"/>
      <c r="DZ76" s="305"/>
      <c r="EA76" s="305"/>
      <c r="EB76" s="305"/>
      <c r="EC76" s="305"/>
      <c r="ED76" s="305"/>
      <c r="EE76" s="305"/>
      <c r="EF76" s="305"/>
      <c r="EG76" s="305"/>
      <c r="EH76" s="305"/>
      <c r="EI76" s="305"/>
      <c r="EJ76" s="305"/>
      <c r="EK76" s="305"/>
      <c r="EL76" s="305"/>
      <c r="EM76" s="305"/>
      <c r="EN76" s="305"/>
      <c r="EO76" s="305"/>
      <c r="EP76" s="305"/>
      <c r="EQ76" s="305"/>
      <c r="ER76" s="305"/>
      <c r="ES76" s="305"/>
      <c r="ET76" s="305"/>
      <c r="EU76" s="305"/>
      <c r="EV76" s="305"/>
      <c r="EW76" s="305"/>
      <c r="EX76" s="305"/>
      <c r="EY76" s="305"/>
      <c r="EZ76" s="305"/>
      <c r="FA76" s="305"/>
      <c r="FB76" s="305"/>
      <c r="FC76" s="305"/>
      <c r="FD76" s="305"/>
      <c r="FE76" s="305"/>
      <c r="FF76" s="305"/>
      <c r="FG76" s="305"/>
      <c r="FH76" s="305"/>
      <c r="FI76" s="305"/>
      <c r="FJ76" s="305"/>
      <c r="FK76" s="305"/>
      <c r="FL76" s="305"/>
      <c r="FM76" s="305"/>
      <c r="FN76" s="305"/>
      <c r="FO76" s="305"/>
      <c r="FP76" s="305"/>
      <c r="FQ76" s="305"/>
      <c r="FR76" s="305"/>
      <c r="FS76" s="305"/>
      <c r="FT76" s="305"/>
      <c r="FU76" s="305"/>
      <c r="FV76" s="305"/>
      <c r="FW76" s="305"/>
      <c r="FX76" s="305"/>
      <c r="FY76" s="305"/>
      <c r="FZ76" s="305"/>
      <c r="GA76" s="305"/>
      <c r="GB76" s="305"/>
      <c r="GC76" s="305"/>
      <c r="GD76" s="305"/>
      <c r="GE76" s="305"/>
      <c r="GF76" s="305"/>
      <c r="GG76" s="305"/>
      <c r="GH76" s="305"/>
      <c r="GI76" s="305"/>
      <c r="GJ76" s="305"/>
      <c r="GK76" s="305"/>
      <c r="GL76" s="305"/>
      <c r="GM76" s="305"/>
      <c r="GN76" s="305"/>
      <c r="GO76" s="305"/>
      <c r="GP76" s="305"/>
      <c r="GQ76" s="305"/>
      <c r="GR76" s="305"/>
      <c r="GS76" s="305"/>
      <c r="GT76" s="305"/>
      <c r="GU76" s="305"/>
      <c r="GV76" s="305"/>
      <c r="GW76" s="305"/>
      <c r="GX76" s="305"/>
      <c r="GY76" s="305"/>
      <c r="GZ76" s="305"/>
      <c r="HA76" s="305"/>
      <c r="HB76" s="305"/>
      <c r="HC76" s="305"/>
      <c r="HD76" s="305"/>
      <c r="HE76" s="305"/>
      <c r="HF76" s="305"/>
      <c r="HG76" s="305"/>
      <c r="HH76" s="305"/>
      <c r="HI76" s="305"/>
      <c r="HJ76" s="305"/>
      <c r="HK76" s="305"/>
      <c r="HL76" s="305"/>
      <c r="HM76" s="305"/>
      <c r="HN76" s="305"/>
      <c r="HO76" s="305"/>
      <c r="HP76" s="305"/>
      <c r="HQ76" s="305"/>
      <c r="HR76" s="305"/>
      <c r="HS76" s="305"/>
      <c r="HT76" s="305"/>
      <c r="HU76" s="305"/>
      <c r="HV76" s="305"/>
      <c r="HW76" s="305"/>
      <c r="HX76" s="305"/>
      <c r="HY76" s="305"/>
      <c r="HZ76" s="305"/>
      <c r="IA76" s="305"/>
      <c r="IB76" s="305"/>
      <c r="IC76" s="305"/>
      <c r="ID76" s="305"/>
      <c r="IE76" s="305"/>
      <c r="IF76" s="305"/>
      <c r="IG76" s="305"/>
      <c r="IH76" s="305"/>
      <c r="II76" s="305"/>
      <c r="IJ76" s="305"/>
      <c r="IK76" s="305"/>
      <c r="IL76" s="305"/>
      <c r="IM76" s="305"/>
      <c r="IN76" s="305"/>
      <c r="IO76" s="305"/>
      <c r="IP76" s="305"/>
      <c r="IQ76" s="305"/>
      <c r="IR76" s="305"/>
      <c r="IS76" s="305"/>
      <c r="IT76" s="305"/>
      <c r="IU76" s="305"/>
      <c r="IV76" s="305"/>
      <c r="IW76" s="305"/>
    </row>
    <row r="77" customFormat="false" ht="12.75" hidden="false" customHeight="false" outlineLevel="0" collapsed="false">
      <c r="A77" s="24" t="s">
        <v>228</v>
      </c>
      <c r="B77" s="172" t="n">
        <f aca="false">B75*B76</f>
        <v>415.981330002354</v>
      </c>
      <c r="C77" s="172" t="n">
        <f aca="false">C75*C76</f>
        <v>437.589775718618</v>
      </c>
      <c r="D77" s="172" t="n">
        <f aca="false">D75*D76</f>
        <v>460.334827041613</v>
      </c>
      <c r="E77" s="172" t="n">
        <f aca="false">E75*E76</f>
        <v>484.276295286518</v>
      </c>
      <c r="F77" s="172" t="n">
        <f aca="false">F75*F76</f>
        <v>509.478433554846</v>
      </c>
      <c r="G77" s="172" t="n">
        <f aca="false">G75*G76</f>
        <v>520.012692956198</v>
      </c>
      <c r="H77" s="172" t="n">
        <f aca="false">H75*H76</f>
        <v>530.759890110653</v>
      </c>
      <c r="I77" s="172" t="n">
        <f aca="false">I75*I76</f>
        <v>541.741219080859</v>
      </c>
      <c r="J77" s="172" t="n">
        <f aca="false">J75*J76</f>
        <v>552.967421724003</v>
      </c>
      <c r="K77" s="172" t="n">
        <f aca="false">K75*K76</f>
        <v>564.440061590485</v>
      </c>
      <c r="L77" s="172" t="n">
        <f aca="false">L75*L76</f>
        <v>572.073915265441</v>
      </c>
      <c r="M77" s="172" t="n">
        <f aca="false">M75*M76</f>
        <v>579.841754422249</v>
      </c>
      <c r="N77" s="172" t="n">
        <f aca="false">N75*N76</f>
        <v>587.722103543132</v>
      </c>
      <c r="O77" s="172" t="n">
        <f aca="false">O75*O76</f>
        <v>595.716797510995</v>
      </c>
      <c r="P77" s="172" t="n">
        <f aca="false">P75*P76</f>
        <v>603.827701337506</v>
      </c>
      <c r="Q77" s="172" t="n">
        <f aca="false">Q75*Q76</f>
        <v>613.378919825017</v>
      </c>
      <c r="R77" s="172" t="n">
        <f aca="false">R75*R76</f>
        <v>623.087134055361</v>
      </c>
      <c r="S77" s="172" t="n">
        <f aca="false">S75*S76</f>
        <v>632.955095230693</v>
      </c>
      <c r="T77" s="172" t="n">
        <f aca="false">T75*T76</f>
        <v>642.985607473944</v>
      </c>
      <c r="U77" s="172" t="n">
        <f aca="false">U75*U76</f>
        <v>653.181528968656</v>
      </c>
      <c r="V77" s="355"/>
      <c r="W77" s="355"/>
      <c r="X77" s="354"/>
      <c r="Y77" s="354"/>
      <c r="Z77" s="354"/>
      <c r="AA77" s="354"/>
      <c r="AB77" s="354"/>
      <c r="AC77" s="358"/>
      <c r="AD77" s="358"/>
      <c r="AE77" s="358"/>
      <c r="AF77" s="358"/>
      <c r="AG77" s="358"/>
      <c r="AH77" s="358"/>
      <c r="AI77" s="358"/>
      <c r="AJ77" s="358"/>
      <c r="AK77" s="358"/>
      <c r="AL77" s="358"/>
      <c r="AM77" s="358"/>
      <c r="AN77" s="358"/>
      <c r="AO77" s="358"/>
      <c r="AP77" s="358"/>
      <c r="AQ77" s="358"/>
      <c r="AR77" s="358"/>
      <c r="AS77" s="358"/>
      <c r="AT77" s="351"/>
      <c r="AU77" s="351"/>
      <c r="AV77" s="351"/>
      <c r="AW77" s="351"/>
      <c r="AX77" s="351"/>
      <c r="AY77" s="351"/>
      <c r="AZ77" s="351"/>
      <c r="BA77" s="351"/>
      <c r="BB77" s="351"/>
      <c r="BC77" s="351"/>
      <c r="BD77" s="351"/>
      <c r="BE77" s="351"/>
      <c r="BF77" s="351"/>
      <c r="BG77" s="351"/>
      <c r="BH77" s="351"/>
      <c r="BI77" s="351"/>
      <c r="BJ77" s="351"/>
      <c r="BK77" s="351"/>
      <c r="BL77" s="351"/>
      <c r="BM77" s="351"/>
      <c r="BN77" s="351"/>
      <c r="BO77" s="351"/>
      <c r="BP77" s="351"/>
      <c r="BQ77" s="351"/>
      <c r="BR77" s="351"/>
      <c r="BS77" s="351"/>
      <c r="BT77" s="351"/>
      <c r="BU77" s="351"/>
      <c r="BV77" s="351"/>
      <c r="BW77" s="351"/>
      <c r="BX77" s="351"/>
      <c r="BY77" s="351"/>
      <c r="BZ77" s="351"/>
      <c r="CA77" s="351"/>
      <c r="CB77" s="351"/>
      <c r="CC77" s="351"/>
      <c r="CD77" s="351"/>
      <c r="CE77" s="351"/>
      <c r="CF77" s="351"/>
      <c r="CG77" s="351"/>
      <c r="CH77" s="351"/>
      <c r="CI77" s="351"/>
      <c r="CJ77" s="351"/>
      <c r="CK77" s="351"/>
      <c r="CL77" s="351"/>
      <c r="CM77" s="351"/>
      <c r="CN77" s="351"/>
      <c r="CO77" s="351"/>
      <c r="CP77" s="351"/>
      <c r="CQ77" s="351"/>
      <c r="CR77" s="351"/>
      <c r="CS77" s="351"/>
      <c r="CT77" s="351"/>
      <c r="CU77" s="351"/>
      <c r="CV77" s="351"/>
      <c r="CW77" s="351"/>
      <c r="CX77" s="351"/>
      <c r="CY77" s="351"/>
      <c r="CZ77" s="351"/>
      <c r="DA77" s="351"/>
      <c r="DB77" s="351"/>
      <c r="DC77" s="351"/>
      <c r="DD77" s="351"/>
      <c r="DE77" s="351"/>
      <c r="DF77" s="351"/>
      <c r="DG77" s="351"/>
      <c r="DH77" s="351"/>
      <c r="DI77" s="351"/>
      <c r="DJ77" s="351"/>
      <c r="DK77" s="351"/>
      <c r="DL77" s="351"/>
      <c r="DM77" s="351"/>
      <c r="DN77" s="351"/>
      <c r="DO77" s="351"/>
      <c r="DP77" s="351"/>
      <c r="DQ77" s="351"/>
      <c r="DR77" s="351"/>
      <c r="DS77" s="351"/>
      <c r="DT77" s="351"/>
      <c r="DU77" s="351"/>
      <c r="DV77" s="351"/>
      <c r="DW77" s="351"/>
      <c r="DX77" s="351"/>
      <c r="DY77" s="351"/>
      <c r="DZ77" s="351"/>
      <c r="EA77" s="351"/>
      <c r="EB77" s="351"/>
      <c r="EC77" s="351"/>
      <c r="ED77" s="351"/>
      <c r="EE77" s="351"/>
      <c r="EF77" s="351"/>
      <c r="EG77" s="351"/>
      <c r="EH77" s="351"/>
      <c r="EI77" s="351"/>
      <c r="EJ77" s="351"/>
      <c r="EK77" s="351"/>
      <c r="EL77" s="351"/>
      <c r="EM77" s="351"/>
      <c r="EN77" s="351"/>
      <c r="EO77" s="351"/>
      <c r="EP77" s="351"/>
      <c r="EQ77" s="351"/>
      <c r="ER77" s="351"/>
      <c r="ES77" s="351"/>
      <c r="ET77" s="351"/>
      <c r="EU77" s="351"/>
      <c r="EV77" s="351"/>
      <c r="EW77" s="351"/>
      <c r="EX77" s="351"/>
      <c r="EY77" s="351"/>
      <c r="EZ77" s="351"/>
      <c r="FA77" s="351"/>
      <c r="FB77" s="351"/>
      <c r="FC77" s="351"/>
      <c r="FD77" s="351"/>
      <c r="FE77" s="351"/>
      <c r="FF77" s="351"/>
      <c r="FG77" s="351"/>
      <c r="FH77" s="351"/>
      <c r="FI77" s="351"/>
      <c r="FJ77" s="351"/>
      <c r="FK77" s="351"/>
      <c r="FL77" s="351"/>
      <c r="FM77" s="351"/>
      <c r="FN77" s="351"/>
      <c r="FO77" s="351"/>
      <c r="FP77" s="351"/>
      <c r="FQ77" s="351"/>
      <c r="FR77" s="351"/>
      <c r="FS77" s="351"/>
      <c r="FT77" s="351"/>
      <c r="FU77" s="351"/>
      <c r="FV77" s="351"/>
      <c r="FW77" s="351"/>
      <c r="FX77" s="351"/>
      <c r="FY77" s="351"/>
      <c r="FZ77" s="351"/>
      <c r="GA77" s="351"/>
      <c r="GB77" s="351"/>
      <c r="GC77" s="351"/>
      <c r="GD77" s="351"/>
      <c r="GE77" s="351"/>
      <c r="GF77" s="351"/>
      <c r="GG77" s="351"/>
      <c r="GH77" s="351"/>
      <c r="GI77" s="351"/>
      <c r="GJ77" s="351"/>
      <c r="GK77" s="351"/>
      <c r="GL77" s="351"/>
      <c r="GM77" s="351"/>
      <c r="GN77" s="351"/>
      <c r="GO77" s="351"/>
      <c r="GP77" s="351"/>
      <c r="GQ77" s="351"/>
      <c r="GR77" s="351"/>
      <c r="GS77" s="351"/>
      <c r="GT77" s="351"/>
      <c r="GU77" s="351"/>
      <c r="GV77" s="351"/>
      <c r="GW77" s="351"/>
      <c r="GX77" s="351"/>
      <c r="GY77" s="351"/>
      <c r="GZ77" s="351"/>
      <c r="HA77" s="351"/>
      <c r="HB77" s="351"/>
      <c r="HC77" s="351"/>
      <c r="HD77" s="351"/>
      <c r="HE77" s="351"/>
      <c r="HF77" s="351"/>
      <c r="HG77" s="351"/>
      <c r="HH77" s="351"/>
      <c r="HI77" s="351"/>
      <c r="HJ77" s="351"/>
      <c r="HK77" s="351"/>
      <c r="HL77" s="351"/>
      <c r="HM77" s="351"/>
      <c r="HN77" s="351"/>
      <c r="HO77" s="351"/>
      <c r="HP77" s="351"/>
      <c r="HQ77" s="351"/>
      <c r="HR77" s="351"/>
      <c r="HS77" s="351"/>
      <c r="HT77" s="351"/>
      <c r="HU77" s="351"/>
      <c r="HV77" s="351"/>
      <c r="HW77" s="351"/>
      <c r="HX77" s="351"/>
      <c r="HY77" s="351"/>
      <c r="HZ77" s="351"/>
      <c r="IA77" s="351"/>
      <c r="IB77" s="351"/>
      <c r="IC77" s="351"/>
      <c r="ID77" s="351"/>
      <c r="IE77" s="351"/>
      <c r="IF77" s="351"/>
      <c r="IG77" s="351"/>
      <c r="IH77" s="351"/>
      <c r="II77" s="351"/>
      <c r="IJ77" s="351"/>
      <c r="IK77" s="351"/>
      <c r="IL77" s="351"/>
      <c r="IM77" s="351"/>
      <c r="IN77" s="351"/>
      <c r="IO77" s="351"/>
      <c r="IP77" s="351"/>
      <c r="IQ77" s="351"/>
      <c r="IR77" s="351"/>
      <c r="IS77" s="351"/>
      <c r="IT77" s="351"/>
      <c r="IU77" s="351"/>
      <c r="IV77" s="351"/>
      <c r="IW77" s="351"/>
    </row>
    <row r="78" customFormat="false" ht="12.75" hidden="false" customHeight="false" outlineLevel="0" collapsed="false">
      <c r="A78" s="24"/>
      <c r="B78" s="40"/>
      <c r="C78" s="40"/>
      <c r="D78" s="355"/>
      <c r="E78" s="355"/>
      <c r="F78" s="355"/>
      <c r="G78" s="355"/>
      <c r="H78" s="355"/>
      <c r="I78" s="355"/>
      <c r="J78" s="355"/>
      <c r="K78" s="355"/>
      <c r="L78" s="355"/>
      <c r="M78" s="355"/>
      <c r="N78" s="355"/>
      <c r="O78" s="355"/>
      <c r="P78" s="355"/>
      <c r="Q78" s="355"/>
      <c r="R78" s="355"/>
      <c r="S78" s="355"/>
      <c r="T78" s="355"/>
      <c r="U78" s="355"/>
      <c r="V78" s="355"/>
      <c r="W78" s="355"/>
      <c r="X78" s="355"/>
      <c r="Y78" s="355"/>
      <c r="Z78" s="355"/>
      <c r="AA78" s="355"/>
      <c r="AB78" s="355"/>
      <c r="AC78" s="351"/>
      <c r="AD78" s="358"/>
      <c r="AE78" s="358"/>
      <c r="AF78" s="358"/>
      <c r="AG78" s="358"/>
      <c r="AH78" s="358"/>
      <c r="AI78" s="358"/>
      <c r="AJ78" s="358"/>
      <c r="AK78" s="358"/>
      <c r="AL78" s="358"/>
      <c r="AM78" s="358"/>
      <c r="AN78" s="358"/>
      <c r="AO78" s="358"/>
      <c r="AP78" s="358"/>
      <c r="AQ78" s="358"/>
      <c r="AR78" s="358"/>
      <c r="AS78" s="358"/>
      <c r="AT78" s="351"/>
      <c r="AU78" s="351"/>
      <c r="AV78" s="351"/>
      <c r="AW78" s="351"/>
      <c r="AX78" s="351"/>
      <c r="AY78" s="351"/>
      <c r="AZ78" s="351"/>
      <c r="BA78" s="351"/>
      <c r="BB78" s="351"/>
      <c r="BC78" s="351"/>
      <c r="BD78" s="351"/>
      <c r="BE78" s="351"/>
      <c r="BF78" s="351"/>
      <c r="BG78" s="351"/>
      <c r="BH78" s="351"/>
      <c r="BI78" s="351"/>
      <c r="BJ78" s="351"/>
      <c r="BK78" s="351"/>
      <c r="BL78" s="351"/>
      <c r="BM78" s="351"/>
      <c r="BN78" s="351"/>
      <c r="BO78" s="351"/>
      <c r="BP78" s="351"/>
      <c r="BQ78" s="351"/>
      <c r="BR78" s="351"/>
      <c r="BS78" s="351"/>
      <c r="BT78" s="351"/>
      <c r="BU78" s="351"/>
      <c r="BV78" s="351"/>
      <c r="BW78" s="351"/>
      <c r="BX78" s="351"/>
      <c r="BY78" s="351"/>
      <c r="BZ78" s="351"/>
      <c r="CA78" s="351"/>
      <c r="CB78" s="351"/>
      <c r="CC78" s="351"/>
      <c r="CD78" s="351"/>
      <c r="CE78" s="351"/>
      <c r="CF78" s="351"/>
      <c r="CG78" s="351"/>
      <c r="CH78" s="351"/>
      <c r="CI78" s="351"/>
      <c r="CJ78" s="351"/>
      <c r="CK78" s="351"/>
      <c r="CL78" s="351"/>
      <c r="CM78" s="351"/>
      <c r="CN78" s="351"/>
      <c r="CO78" s="351"/>
      <c r="CP78" s="351"/>
      <c r="CQ78" s="351"/>
      <c r="CR78" s="351"/>
      <c r="CS78" s="351"/>
      <c r="CT78" s="351"/>
      <c r="CU78" s="351"/>
      <c r="CV78" s="351"/>
      <c r="CW78" s="351"/>
      <c r="CX78" s="351"/>
      <c r="CY78" s="351"/>
      <c r="CZ78" s="351"/>
      <c r="DA78" s="351"/>
      <c r="DB78" s="351"/>
      <c r="DC78" s="351"/>
      <c r="DD78" s="351"/>
      <c r="DE78" s="351"/>
      <c r="DF78" s="351"/>
      <c r="DG78" s="351"/>
      <c r="DH78" s="351"/>
      <c r="DI78" s="351"/>
      <c r="DJ78" s="351"/>
      <c r="DK78" s="351"/>
      <c r="DL78" s="351"/>
      <c r="DM78" s="351"/>
      <c r="DN78" s="351"/>
      <c r="DO78" s="351"/>
      <c r="DP78" s="351"/>
      <c r="DQ78" s="351"/>
      <c r="DR78" s="351"/>
      <c r="DS78" s="351"/>
      <c r="DT78" s="351"/>
      <c r="DU78" s="351"/>
      <c r="DV78" s="351"/>
      <c r="DW78" s="351"/>
      <c r="DX78" s="351"/>
      <c r="DY78" s="351"/>
      <c r="DZ78" s="351"/>
      <c r="EA78" s="351"/>
      <c r="EB78" s="351"/>
      <c r="EC78" s="351"/>
      <c r="ED78" s="351"/>
      <c r="EE78" s="351"/>
      <c r="EF78" s="351"/>
      <c r="EG78" s="351"/>
      <c r="EH78" s="351"/>
      <c r="EI78" s="351"/>
      <c r="EJ78" s="351"/>
      <c r="EK78" s="351"/>
      <c r="EL78" s="351"/>
      <c r="EM78" s="351"/>
      <c r="EN78" s="351"/>
      <c r="EO78" s="351"/>
      <c r="EP78" s="351"/>
      <c r="EQ78" s="351"/>
      <c r="ER78" s="351"/>
      <c r="ES78" s="351"/>
      <c r="ET78" s="351"/>
      <c r="EU78" s="351"/>
      <c r="EV78" s="351"/>
      <c r="EW78" s="351"/>
      <c r="EX78" s="351"/>
      <c r="EY78" s="351"/>
      <c r="EZ78" s="351"/>
      <c r="FA78" s="351"/>
      <c r="FB78" s="351"/>
      <c r="FC78" s="351"/>
      <c r="FD78" s="351"/>
      <c r="FE78" s="351"/>
      <c r="FF78" s="351"/>
      <c r="FG78" s="351"/>
      <c r="FH78" s="351"/>
      <c r="FI78" s="351"/>
      <c r="FJ78" s="351"/>
      <c r="FK78" s="351"/>
      <c r="FL78" s="351"/>
      <c r="FM78" s="351"/>
      <c r="FN78" s="351"/>
      <c r="FO78" s="351"/>
      <c r="FP78" s="351"/>
      <c r="FQ78" s="351"/>
      <c r="FR78" s="351"/>
      <c r="FS78" s="351"/>
      <c r="FT78" s="351"/>
      <c r="FU78" s="351"/>
      <c r="FV78" s="351"/>
      <c r="FW78" s="351"/>
      <c r="FX78" s="351"/>
      <c r="FY78" s="351"/>
      <c r="FZ78" s="351"/>
      <c r="GA78" s="351"/>
      <c r="GB78" s="351"/>
      <c r="GC78" s="351"/>
      <c r="GD78" s="351"/>
      <c r="GE78" s="351"/>
      <c r="GF78" s="351"/>
      <c r="GG78" s="351"/>
      <c r="GH78" s="351"/>
      <c r="GI78" s="351"/>
      <c r="GJ78" s="351"/>
      <c r="GK78" s="351"/>
      <c r="GL78" s="351"/>
      <c r="GM78" s="351"/>
      <c r="GN78" s="351"/>
      <c r="GO78" s="351"/>
      <c r="GP78" s="351"/>
      <c r="GQ78" s="351"/>
      <c r="GR78" s="351"/>
      <c r="GS78" s="351"/>
      <c r="GT78" s="351"/>
      <c r="GU78" s="351"/>
      <c r="GV78" s="351"/>
      <c r="GW78" s="351"/>
      <c r="GX78" s="351"/>
      <c r="GY78" s="351"/>
      <c r="GZ78" s="351"/>
      <c r="HA78" s="351"/>
      <c r="HB78" s="351"/>
      <c r="HC78" s="351"/>
      <c r="HD78" s="351"/>
      <c r="HE78" s="351"/>
      <c r="HF78" s="351"/>
      <c r="HG78" s="351"/>
      <c r="HH78" s="351"/>
      <c r="HI78" s="351"/>
      <c r="HJ78" s="351"/>
      <c r="HK78" s="351"/>
      <c r="HL78" s="351"/>
      <c r="HM78" s="351"/>
      <c r="HN78" s="351"/>
      <c r="HO78" s="351"/>
      <c r="HP78" s="351"/>
      <c r="HQ78" s="351"/>
      <c r="HR78" s="351"/>
      <c r="HS78" s="351"/>
      <c r="HT78" s="351"/>
      <c r="HU78" s="351"/>
      <c r="HV78" s="351"/>
      <c r="HW78" s="351"/>
      <c r="HX78" s="351"/>
      <c r="HY78" s="351"/>
      <c r="HZ78" s="351"/>
      <c r="IA78" s="351"/>
      <c r="IB78" s="351"/>
      <c r="IC78" s="351"/>
      <c r="ID78" s="351"/>
      <c r="IE78" s="351"/>
      <c r="IF78" s="351"/>
      <c r="IG78" s="351"/>
      <c r="IH78" s="351"/>
      <c r="II78" s="351"/>
      <c r="IJ78" s="351"/>
      <c r="IK78" s="351"/>
      <c r="IL78" s="351"/>
      <c r="IM78" s="351"/>
      <c r="IN78" s="351"/>
      <c r="IO78" s="351"/>
      <c r="IP78" s="351"/>
      <c r="IQ78" s="351"/>
      <c r="IR78" s="351"/>
      <c r="IS78" s="351"/>
      <c r="IT78" s="351"/>
      <c r="IU78" s="351"/>
      <c r="IV78" s="351"/>
      <c r="IW78" s="351"/>
    </row>
    <row r="79" customFormat="false" ht="12.75" hidden="false" customHeight="false" outlineLevel="0" collapsed="false">
      <c r="A79" s="307" t="s">
        <v>229</v>
      </c>
      <c r="B79" s="359" t="n">
        <f aca="false">MAX(B77,B72)</f>
        <v>429.391762538507</v>
      </c>
      <c r="C79" s="359" t="n">
        <f aca="false">MAX(C77,C72)</f>
        <v>481.663598923687</v>
      </c>
      <c r="D79" s="359" t="n">
        <f aca="false">MAX(D77,D72)</f>
        <v>538.790587746815</v>
      </c>
      <c r="E79" s="359" t="n">
        <f aca="false">MAX(E77,E72)</f>
        <v>600.086456798898</v>
      </c>
      <c r="F79" s="359" t="n">
        <f aca="false">MAX(F77,F72)</f>
        <v>672.450118277294</v>
      </c>
      <c r="G79" s="359" t="n">
        <f aca="false">MAX(G77,G72)</f>
        <v>701.308781481607</v>
      </c>
      <c r="H79" s="359" t="n">
        <f aca="false">MAX(H77,H72)</f>
        <v>729.869764812218</v>
      </c>
      <c r="I79" s="359" t="n">
        <f aca="false">MAX(I77,I72)</f>
        <v>760.858373540102</v>
      </c>
      <c r="J79" s="359" t="n">
        <f aca="false">MAX(J77,J72)</f>
        <v>799.019260209152</v>
      </c>
      <c r="K79" s="359" t="n">
        <f aca="false">MAX(K77,K72)</f>
        <v>841.036613166141</v>
      </c>
      <c r="L79" s="359" t="n">
        <f aca="false">MAX(L77,L72)</f>
        <v>873.057625507445</v>
      </c>
      <c r="M79" s="359" t="n">
        <f aca="false">MAX(M77,M72)</f>
        <v>923.022405001989</v>
      </c>
      <c r="N79" s="359" t="n">
        <f aca="false">MAX(N77,N72)</f>
        <v>974.795823168182</v>
      </c>
      <c r="O79" s="359" t="n">
        <f aca="false">MAX(O77,O72)</f>
        <v>1025.91079281294</v>
      </c>
      <c r="P79" s="359" t="n">
        <f aca="false">MAX(P77,P72)</f>
        <v>1077.61846656318</v>
      </c>
      <c r="Q79" s="359" t="n">
        <f aca="false">MAX(Q77,Q72)</f>
        <v>1134.48846674485</v>
      </c>
      <c r="R79" s="359" t="n">
        <f aca="false">MAX(R77,R72)</f>
        <v>1193.79090340733</v>
      </c>
      <c r="S79" s="359" t="n">
        <f aca="false">MAX(S77,S72)</f>
        <v>1251.20917113549</v>
      </c>
      <c r="T79" s="359" t="n">
        <f aca="false">MAX(T77,T72)</f>
        <v>1303.82608779613</v>
      </c>
      <c r="U79" s="359" t="n">
        <f aca="false">MAX(U77,U72)</f>
        <v>1356.64681857043</v>
      </c>
      <c r="V79" s="355"/>
      <c r="W79" s="355"/>
      <c r="X79" s="24"/>
      <c r="Y79" s="24"/>
      <c r="Z79" s="24"/>
      <c r="AA79" s="24"/>
      <c r="AB79" s="24"/>
      <c r="AC79" s="360"/>
      <c r="AD79" s="360"/>
      <c r="AE79" s="351"/>
      <c r="AF79" s="351"/>
      <c r="AG79" s="351"/>
      <c r="AH79" s="351"/>
      <c r="AI79" s="351"/>
      <c r="AJ79" s="351"/>
      <c r="AK79" s="351"/>
      <c r="AL79" s="351"/>
      <c r="AM79" s="351"/>
      <c r="AN79" s="351"/>
      <c r="AO79" s="351"/>
      <c r="AP79" s="351"/>
      <c r="AQ79" s="351"/>
      <c r="AR79" s="351"/>
      <c r="AS79" s="351"/>
      <c r="AT79" s="351"/>
      <c r="AU79" s="351"/>
      <c r="AV79" s="351"/>
      <c r="AW79" s="351"/>
      <c r="AX79" s="351"/>
      <c r="AY79" s="351"/>
      <c r="AZ79" s="351"/>
      <c r="BA79" s="351"/>
      <c r="BB79" s="351"/>
      <c r="BC79" s="351"/>
      <c r="BD79" s="351"/>
      <c r="BE79" s="351"/>
      <c r="BF79" s="351"/>
      <c r="BG79" s="351"/>
      <c r="BH79" s="351"/>
      <c r="BI79" s="351"/>
      <c r="BJ79" s="351"/>
      <c r="BK79" s="351"/>
      <c r="BL79" s="351"/>
      <c r="BM79" s="351"/>
      <c r="BN79" s="351"/>
      <c r="BO79" s="351"/>
      <c r="BP79" s="351"/>
      <c r="BQ79" s="351"/>
      <c r="BR79" s="351"/>
      <c r="BS79" s="351"/>
      <c r="BT79" s="351"/>
      <c r="BU79" s="351"/>
      <c r="BV79" s="351"/>
      <c r="BW79" s="351"/>
      <c r="BX79" s="351"/>
      <c r="BY79" s="351"/>
      <c r="BZ79" s="351"/>
      <c r="CA79" s="351"/>
      <c r="CB79" s="351"/>
      <c r="CC79" s="351"/>
      <c r="CD79" s="351"/>
      <c r="CE79" s="351"/>
      <c r="CF79" s="351"/>
      <c r="CG79" s="351"/>
      <c r="CH79" s="351"/>
      <c r="CI79" s="351"/>
      <c r="CJ79" s="351"/>
      <c r="CK79" s="351"/>
      <c r="CL79" s="351"/>
      <c r="CM79" s="351"/>
      <c r="CN79" s="351"/>
      <c r="CO79" s="351"/>
      <c r="CP79" s="351"/>
      <c r="CQ79" s="351"/>
      <c r="CR79" s="351"/>
      <c r="CS79" s="351"/>
      <c r="CT79" s="351"/>
      <c r="CU79" s="351"/>
      <c r="CV79" s="351"/>
      <c r="CW79" s="351"/>
      <c r="CX79" s="351"/>
      <c r="CY79" s="351"/>
      <c r="CZ79" s="351"/>
      <c r="DA79" s="351"/>
      <c r="DB79" s="351"/>
      <c r="DC79" s="351"/>
      <c r="DD79" s="351"/>
      <c r="DE79" s="351"/>
      <c r="DF79" s="351"/>
      <c r="DG79" s="351"/>
      <c r="DH79" s="351"/>
      <c r="DI79" s="351"/>
      <c r="DJ79" s="351"/>
      <c r="DK79" s="351"/>
      <c r="DL79" s="351"/>
      <c r="DM79" s="351"/>
      <c r="DN79" s="351"/>
      <c r="DO79" s="351"/>
      <c r="DP79" s="351"/>
      <c r="DQ79" s="351"/>
      <c r="DR79" s="351"/>
      <c r="DS79" s="351"/>
      <c r="DT79" s="351"/>
      <c r="DU79" s="351"/>
      <c r="DV79" s="351"/>
      <c r="DW79" s="351"/>
      <c r="DX79" s="351"/>
      <c r="DY79" s="351"/>
      <c r="DZ79" s="351"/>
      <c r="EA79" s="351"/>
      <c r="EB79" s="351"/>
      <c r="EC79" s="351"/>
      <c r="ED79" s="351"/>
      <c r="EE79" s="351"/>
      <c r="EF79" s="351"/>
      <c r="EG79" s="351"/>
      <c r="EH79" s="351"/>
      <c r="EI79" s="351"/>
      <c r="EJ79" s="351"/>
      <c r="EK79" s="351"/>
      <c r="EL79" s="351"/>
      <c r="EM79" s="351"/>
      <c r="EN79" s="351"/>
      <c r="EO79" s="351"/>
      <c r="EP79" s="351"/>
      <c r="EQ79" s="351"/>
      <c r="ER79" s="351"/>
      <c r="ES79" s="351"/>
      <c r="ET79" s="351"/>
      <c r="EU79" s="351"/>
      <c r="EV79" s="351"/>
      <c r="EW79" s="351"/>
      <c r="EX79" s="351"/>
      <c r="EY79" s="351"/>
      <c r="EZ79" s="351"/>
      <c r="FA79" s="351"/>
      <c r="FB79" s="351"/>
      <c r="FC79" s="351"/>
      <c r="FD79" s="351"/>
      <c r="FE79" s="351"/>
      <c r="FF79" s="351"/>
      <c r="FG79" s="351"/>
      <c r="FH79" s="351"/>
      <c r="FI79" s="351"/>
      <c r="FJ79" s="351"/>
      <c r="FK79" s="351"/>
      <c r="FL79" s="351"/>
      <c r="FM79" s="351"/>
      <c r="FN79" s="351"/>
      <c r="FO79" s="351"/>
      <c r="FP79" s="351"/>
      <c r="FQ79" s="351"/>
      <c r="FR79" s="351"/>
      <c r="FS79" s="351"/>
      <c r="FT79" s="351"/>
      <c r="FU79" s="351"/>
      <c r="FV79" s="351"/>
      <c r="FW79" s="351"/>
      <c r="FX79" s="351"/>
      <c r="FY79" s="351"/>
      <c r="FZ79" s="351"/>
      <c r="GA79" s="351"/>
      <c r="GB79" s="351"/>
      <c r="GC79" s="351"/>
      <c r="GD79" s="351"/>
      <c r="GE79" s="351"/>
      <c r="GF79" s="351"/>
      <c r="GG79" s="351"/>
      <c r="GH79" s="351"/>
      <c r="GI79" s="351"/>
      <c r="GJ79" s="351"/>
      <c r="GK79" s="351"/>
      <c r="GL79" s="351"/>
      <c r="GM79" s="351"/>
      <c r="GN79" s="351"/>
      <c r="GO79" s="351"/>
      <c r="GP79" s="351"/>
      <c r="GQ79" s="351"/>
      <c r="GR79" s="351"/>
      <c r="GS79" s="351"/>
      <c r="GT79" s="351"/>
      <c r="GU79" s="351"/>
      <c r="GV79" s="351"/>
      <c r="GW79" s="351"/>
      <c r="GX79" s="351"/>
      <c r="GY79" s="351"/>
      <c r="GZ79" s="351"/>
      <c r="HA79" s="351"/>
      <c r="HB79" s="351"/>
      <c r="HC79" s="351"/>
      <c r="HD79" s="351"/>
      <c r="HE79" s="351"/>
      <c r="HF79" s="351"/>
      <c r="HG79" s="351"/>
      <c r="HH79" s="351"/>
      <c r="HI79" s="351"/>
      <c r="HJ79" s="351"/>
      <c r="HK79" s="351"/>
      <c r="HL79" s="351"/>
      <c r="HM79" s="351"/>
      <c r="HN79" s="351"/>
      <c r="HO79" s="351"/>
      <c r="HP79" s="351"/>
      <c r="HQ79" s="351"/>
      <c r="HR79" s="351"/>
      <c r="HS79" s="351"/>
      <c r="HT79" s="351"/>
      <c r="HU79" s="351"/>
      <c r="HV79" s="351"/>
      <c r="HW79" s="351"/>
      <c r="HX79" s="351"/>
      <c r="HY79" s="351"/>
      <c r="HZ79" s="351"/>
      <c r="IA79" s="351"/>
      <c r="IB79" s="351"/>
      <c r="IC79" s="351"/>
      <c r="ID79" s="351"/>
      <c r="IE79" s="351"/>
      <c r="IF79" s="351"/>
      <c r="IG79" s="351"/>
      <c r="IH79" s="351"/>
      <c r="II79" s="351"/>
      <c r="IJ79" s="351"/>
      <c r="IK79" s="351"/>
      <c r="IL79" s="351"/>
      <c r="IM79" s="351"/>
      <c r="IN79" s="351"/>
      <c r="IO79" s="351"/>
      <c r="IP79" s="351"/>
      <c r="IQ79" s="351"/>
      <c r="IR79" s="351"/>
      <c r="IS79" s="351"/>
      <c r="IT79" s="351"/>
      <c r="IU79" s="351"/>
      <c r="IV79" s="351"/>
      <c r="IW79" s="351"/>
    </row>
    <row r="80" customFormat="false" ht="12.75" hidden="false" customHeight="false" outlineLevel="0" collapsed="false">
      <c r="A80" s="361"/>
      <c r="B80" s="40"/>
      <c r="C80" s="40"/>
      <c r="D80" s="355"/>
      <c r="E80" s="355"/>
      <c r="F80" s="355"/>
      <c r="G80" s="355"/>
      <c r="H80" s="355"/>
      <c r="I80" s="355"/>
      <c r="J80" s="355"/>
      <c r="K80" s="355"/>
      <c r="L80" s="355"/>
      <c r="M80" s="355"/>
      <c r="N80" s="355"/>
      <c r="O80" s="355"/>
      <c r="P80" s="355"/>
      <c r="Q80" s="355"/>
      <c r="R80" s="355"/>
      <c r="S80" s="355"/>
      <c r="T80" s="355"/>
      <c r="U80" s="355"/>
      <c r="V80" s="355"/>
      <c r="W80" s="355"/>
      <c r="X80" s="356"/>
      <c r="Y80" s="356"/>
      <c r="Z80" s="356"/>
      <c r="AA80" s="356"/>
      <c r="AB80" s="356"/>
      <c r="AC80" s="351"/>
      <c r="AD80" s="351"/>
      <c r="AE80" s="358"/>
      <c r="AF80" s="358"/>
      <c r="AG80" s="358"/>
      <c r="AH80" s="358"/>
      <c r="AI80" s="358"/>
      <c r="AJ80" s="358"/>
      <c r="AK80" s="358"/>
      <c r="AL80" s="358"/>
      <c r="AM80" s="358"/>
      <c r="AN80" s="358"/>
      <c r="AO80" s="358"/>
      <c r="AP80" s="358"/>
      <c r="AQ80" s="358"/>
      <c r="AR80" s="358"/>
      <c r="AS80" s="358"/>
      <c r="AT80" s="305"/>
      <c r="AU80" s="305"/>
      <c r="AV80" s="305"/>
      <c r="AW80" s="305"/>
      <c r="AX80" s="305"/>
      <c r="AY80" s="305"/>
      <c r="AZ80" s="305"/>
      <c r="BA80" s="305"/>
      <c r="BB80" s="305"/>
      <c r="BC80" s="305"/>
      <c r="BD80" s="305"/>
      <c r="BE80" s="305"/>
      <c r="BF80" s="305"/>
      <c r="BG80" s="305"/>
      <c r="BH80" s="305"/>
      <c r="BI80" s="305"/>
      <c r="BJ80" s="305"/>
      <c r="BK80" s="305"/>
      <c r="BL80" s="305"/>
      <c r="BM80" s="305"/>
      <c r="BN80" s="305"/>
      <c r="BO80" s="305"/>
      <c r="BP80" s="305"/>
      <c r="BQ80" s="305"/>
      <c r="BR80" s="305"/>
      <c r="BS80" s="305"/>
      <c r="BT80" s="305"/>
      <c r="BU80" s="305"/>
      <c r="BV80" s="305"/>
      <c r="BW80" s="305"/>
      <c r="BX80" s="305"/>
      <c r="BY80" s="305"/>
      <c r="BZ80" s="305"/>
      <c r="CA80" s="305"/>
      <c r="CB80" s="305"/>
      <c r="CC80" s="305"/>
      <c r="CD80" s="305"/>
      <c r="CE80" s="305"/>
      <c r="CF80" s="305"/>
      <c r="CG80" s="305"/>
      <c r="CH80" s="305"/>
      <c r="CI80" s="305"/>
      <c r="CJ80" s="305"/>
      <c r="CK80" s="305"/>
      <c r="CL80" s="305"/>
      <c r="CM80" s="305"/>
      <c r="CN80" s="305"/>
      <c r="CO80" s="305"/>
      <c r="CP80" s="305"/>
      <c r="CQ80" s="305"/>
      <c r="CR80" s="305"/>
      <c r="CS80" s="305"/>
      <c r="CT80" s="305"/>
      <c r="CU80" s="305"/>
      <c r="CV80" s="305"/>
      <c r="CW80" s="305"/>
      <c r="CX80" s="305"/>
      <c r="CY80" s="305"/>
      <c r="CZ80" s="305"/>
      <c r="DA80" s="305"/>
      <c r="DB80" s="305"/>
      <c r="DC80" s="305"/>
      <c r="DD80" s="305"/>
      <c r="DE80" s="305"/>
      <c r="DF80" s="305"/>
      <c r="DG80" s="305"/>
      <c r="DH80" s="305"/>
      <c r="DI80" s="305"/>
      <c r="DJ80" s="305"/>
      <c r="DK80" s="305"/>
      <c r="DL80" s="305"/>
      <c r="DM80" s="305"/>
      <c r="DN80" s="305"/>
      <c r="DO80" s="305"/>
      <c r="DP80" s="305"/>
      <c r="DQ80" s="305"/>
      <c r="DR80" s="305"/>
      <c r="DS80" s="305"/>
      <c r="DT80" s="305"/>
      <c r="DU80" s="305"/>
      <c r="DV80" s="305"/>
      <c r="DW80" s="305"/>
      <c r="DX80" s="305"/>
      <c r="DY80" s="305"/>
      <c r="DZ80" s="305"/>
      <c r="EA80" s="305"/>
      <c r="EB80" s="305"/>
      <c r="EC80" s="305"/>
      <c r="ED80" s="305"/>
      <c r="EE80" s="305"/>
      <c r="EF80" s="305"/>
      <c r="EG80" s="305"/>
      <c r="EH80" s="305"/>
      <c r="EI80" s="305"/>
      <c r="EJ80" s="305"/>
      <c r="EK80" s="305"/>
      <c r="EL80" s="305"/>
      <c r="EM80" s="305"/>
      <c r="EN80" s="305"/>
      <c r="EO80" s="305"/>
      <c r="EP80" s="305"/>
      <c r="EQ80" s="305"/>
      <c r="ER80" s="305"/>
      <c r="ES80" s="305"/>
      <c r="ET80" s="305"/>
      <c r="EU80" s="305"/>
      <c r="EV80" s="305"/>
      <c r="EW80" s="305"/>
      <c r="EX80" s="305"/>
      <c r="EY80" s="305"/>
      <c r="EZ80" s="305"/>
      <c r="FA80" s="305"/>
      <c r="FB80" s="305"/>
      <c r="FC80" s="305"/>
      <c r="FD80" s="305"/>
      <c r="FE80" s="305"/>
      <c r="FF80" s="305"/>
      <c r="FG80" s="305"/>
      <c r="FH80" s="305"/>
      <c r="FI80" s="305"/>
      <c r="FJ80" s="305"/>
      <c r="FK80" s="305"/>
      <c r="FL80" s="305"/>
      <c r="FM80" s="305"/>
      <c r="FN80" s="305"/>
      <c r="FO80" s="305"/>
      <c r="FP80" s="305"/>
      <c r="FQ80" s="305"/>
      <c r="FR80" s="305"/>
      <c r="FS80" s="305"/>
      <c r="FT80" s="305"/>
      <c r="FU80" s="305"/>
      <c r="FV80" s="305"/>
      <c r="FW80" s="305"/>
      <c r="FX80" s="305"/>
      <c r="FY80" s="305"/>
      <c r="FZ80" s="305"/>
      <c r="GA80" s="305"/>
      <c r="GB80" s="305"/>
      <c r="GC80" s="305"/>
      <c r="GD80" s="305"/>
      <c r="GE80" s="305"/>
      <c r="GF80" s="305"/>
      <c r="GG80" s="305"/>
      <c r="GH80" s="305"/>
      <c r="GI80" s="305"/>
      <c r="GJ80" s="305"/>
      <c r="GK80" s="305"/>
      <c r="GL80" s="305"/>
      <c r="GM80" s="305"/>
      <c r="GN80" s="305"/>
      <c r="GO80" s="305"/>
      <c r="GP80" s="305"/>
      <c r="GQ80" s="305"/>
      <c r="GR80" s="305"/>
      <c r="GS80" s="305"/>
      <c r="GT80" s="305"/>
      <c r="GU80" s="305"/>
      <c r="GV80" s="305"/>
      <c r="GW80" s="305"/>
      <c r="GX80" s="305"/>
      <c r="GY80" s="305"/>
      <c r="GZ80" s="305"/>
      <c r="HA80" s="305"/>
      <c r="HB80" s="305"/>
      <c r="HC80" s="305"/>
      <c r="HD80" s="305"/>
      <c r="HE80" s="305"/>
      <c r="HF80" s="305"/>
      <c r="HG80" s="305"/>
      <c r="HH80" s="305"/>
      <c r="HI80" s="305"/>
      <c r="HJ80" s="305"/>
      <c r="HK80" s="305"/>
      <c r="HL80" s="305"/>
      <c r="HM80" s="305"/>
      <c r="HN80" s="305"/>
      <c r="HO80" s="305"/>
      <c r="HP80" s="305"/>
      <c r="HQ80" s="305"/>
      <c r="HR80" s="305"/>
      <c r="HS80" s="305"/>
      <c r="HT80" s="305"/>
      <c r="HU80" s="305"/>
      <c r="HV80" s="305"/>
      <c r="HW80" s="305"/>
      <c r="HX80" s="305"/>
      <c r="HY80" s="305"/>
      <c r="HZ80" s="305"/>
      <c r="IA80" s="305"/>
      <c r="IB80" s="305"/>
      <c r="IC80" s="305"/>
      <c r="ID80" s="305"/>
      <c r="IE80" s="305"/>
      <c r="IF80" s="305"/>
      <c r="IG80" s="305"/>
      <c r="IH80" s="305"/>
      <c r="II80" s="305"/>
      <c r="IJ80" s="305"/>
      <c r="IK80" s="305"/>
      <c r="IL80" s="305"/>
      <c r="IM80" s="305"/>
      <c r="IN80" s="305"/>
      <c r="IO80" s="305"/>
      <c r="IP80" s="305"/>
      <c r="IQ80" s="305"/>
      <c r="IR80" s="305"/>
      <c r="IS80" s="305"/>
      <c r="IT80" s="305"/>
      <c r="IU80" s="305"/>
      <c r="IV80" s="305"/>
      <c r="IW80" s="305"/>
    </row>
    <row r="81" customFormat="false" ht="12.75" hidden="false" customHeight="false" outlineLevel="0" collapsed="false">
      <c r="A81" s="362"/>
      <c r="B81" s="351"/>
      <c r="C81" s="351"/>
      <c r="D81" s="351"/>
      <c r="E81" s="351"/>
      <c r="F81" s="351"/>
      <c r="G81" s="351"/>
      <c r="H81" s="351"/>
      <c r="I81" s="351"/>
      <c r="J81" s="351"/>
      <c r="K81" s="351"/>
      <c r="L81" s="351"/>
      <c r="M81" s="351"/>
      <c r="N81" s="351"/>
      <c r="O81" s="351"/>
      <c r="P81" s="351"/>
      <c r="Q81" s="351"/>
      <c r="R81" s="351"/>
      <c r="S81" s="351"/>
      <c r="T81" s="351"/>
      <c r="U81" s="351"/>
      <c r="V81" s="351"/>
      <c r="W81" s="351"/>
      <c r="X81" s="353"/>
      <c r="Y81" s="353"/>
      <c r="Z81" s="353"/>
      <c r="AA81" s="353"/>
      <c r="AB81" s="353"/>
      <c r="AC81" s="351"/>
      <c r="AD81" s="351"/>
      <c r="AE81" s="358"/>
      <c r="AF81" s="358"/>
      <c r="AG81" s="358"/>
      <c r="AH81" s="358"/>
      <c r="AI81" s="358"/>
      <c r="AJ81" s="358"/>
      <c r="AK81" s="358"/>
      <c r="AL81" s="358"/>
      <c r="AM81" s="358"/>
      <c r="AN81" s="358"/>
      <c r="AO81" s="358"/>
      <c r="AP81" s="358"/>
      <c r="AQ81" s="358"/>
      <c r="AR81" s="358"/>
      <c r="AS81" s="358"/>
      <c r="AT81" s="305"/>
      <c r="AU81" s="305"/>
      <c r="AV81" s="305"/>
      <c r="AW81" s="305"/>
      <c r="AX81" s="305"/>
      <c r="AY81" s="305"/>
      <c r="AZ81" s="305"/>
      <c r="BA81" s="305"/>
      <c r="BB81" s="305"/>
      <c r="BC81" s="305"/>
      <c r="BD81" s="305"/>
      <c r="BE81" s="305"/>
      <c r="BF81" s="305"/>
      <c r="BG81" s="305"/>
      <c r="BH81" s="305"/>
      <c r="BI81" s="305"/>
      <c r="BJ81" s="305"/>
      <c r="BK81" s="305"/>
      <c r="BL81" s="305"/>
      <c r="BM81" s="305"/>
      <c r="BN81" s="305"/>
      <c r="BO81" s="305"/>
      <c r="BP81" s="305"/>
      <c r="BQ81" s="305"/>
      <c r="BR81" s="305"/>
      <c r="BS81" s="305"/>
      <c r="BT81" s="305"/>
      <c r="BU81" s="305"/>
      <c r="BV81" s="305"/>
      <c r="BW81" s="305"/>
      <c r="BX81" s="305"/>
      <c r="BY81" s="305"/>
      <c r="BZ81" s="305"/>
      <c r="CA81" s="305"/>
      <c r="CB81" s="305"/>
      <c r="CC81" s="305"/>
      <c r="CD81" s="305"/>
      <c r="CE81" s="305"/>
      <c r="CF81" s="305"/>
      <c r="CG81" s="305"/>
      <c r="CH81" s="305"/>
      <c r="CI81" s="305"/>
      <c r="CJ81" s="305"/>
      <c r="CK81" s="305"/>
      <c r="CL81" s="305"/>
      <c r="CM81" s="305"/>
      <c r="CN81" s="305"/>
      <c r="CO81" s="305"/>
      <c r="CP81" s="305"/>
      <c r="CQ81" s="305"/>
      <c r="CR81" s="305"/>
      <c r="CS81" s="305"/>
      <c r="CT81" s="305"/>
      <c r="CU81" s="305"/>
      <c r="CV81" s="305"/>
      <c r="CW81" s="305"/>
      <c r="CX81" s="305"/>
      <c r="CY81" s="305"/>
      <c r="CZ81" s="305"/>
      <c r="DA81" s="305"/>
      <c r="DB81" s="305"/>
      <c r="DC81" s="305"/>
      <c r="DD81" s="305"/>
      <c r="DE81" s="305"/>
      <c r="DF81" s="305"/>
      <c r="DG81" s="305"/>
      <c r="DH81" s="305"/>
      <c r="DI81" s="305"/>
      <c r="DJ81" s="305"/>
      <c r="DK81" s="305"/>
      <c r="DL81" s="305"/>
      <c r="DM81" s="305"/>
      <c r="DN81" s="305"/>
      <c r="DO81" s="305"/>
      <c r="DP81" s="305"/>
      <c r="DQ81" s="305"/>
      <c r="DR81" s="305"/>
      <c r="DS81" s="305"/>
      <c r="DT81" s="305"/>
      <c r="DU81" s="305"/>
      <c r="DV81" s="305"/>
      <c r="DW81" s="305"/>
      <c r="DX81" s="305"/>
      <c r="DY81" s="305"/>
      <c r="DZ81" s="305"/>
      <c r="EA81" s="305"/>
      <c r="EB81" s="305"/>
      <c r="EC81" s="305"/>
      <c r="ED81" s="305"/>
      <c r="EE81" s="305"/>
      <c r="EF81" s="305"/>
      <c r="EG81" s="305"/>
      <c r="EH81" s="305"/>
      <c r="EI81" s="305"/>
      <c r="EJ81" s="305"/>
      <c r="EK81" s="305"/>
      <c r="EL81" s="305"/>
      <c r="EM81" s="305"/>
      <c r="EN81" s="305"/>
      <c r="EO81" s="305"/>
      <c r="EP81" s="305"/>
      <c r="EQ81" s="305"/>
      <c r="ER81" s="305"/>
      <c r="ES81" s="305"/>
      <c r="ET81" s="305"/>
      <c r="EU81" s="305"/>
      <c r="EV81" s="305"/>
      <c r="EW81" s="305"/>
      <c r="EX81" s="305"/>
      <c r="EY81" s="305"/>
      <c r="EZ81" s="305"/>
      <c r="FA81" s="305"/>
      <c r="FB81" s="305"/>
      <c r="FC81" s="305"/>
      <c r="FD81" s="305"/>
      <c r="FE81" s="305"/>
      <c r="FF81" s="305"/>
      <c r="FG81" s="305"/>
      <c r="FH81" s="305"/>
      <c r="FI81" s="305"/>
      <c r="FJ81" s="305"/>
      <c r="FK81" s="305"/>
      <c r="FL81" s="305"/>
      <c r="FM81" s="305"/>
      <c r="FN81" s="305"/>
      <c r="FO81" s="305"/>
      <c r="FP81" s="305"/>
      <c r="FQ81" s="305"/>
      <c r="FR81" s="305"/>
      <c r="FS81" s="305"/>
      <c r="FT81" s="305"/>
      <c r="FU81" s="305"/>
      <c r="FV81" s="305"/>
      <c r="FW81" s="305"/>
      <c r="FX81" s="305"/>
      <c r="FY81" s="305"/>
      <c r="FZ81" s="305"/>
      <c r="GA81" s="305"/>
      <c r="GB81" s="305"/>
      <c r="GC81" s="305"/>
      <c r="GD81" s="305"/>
      <c r="GE81" s="305"/>
      <c r="GF81" s="305"/>
      <c r="GG81" s="305"/>
      <c r="GH81" s="305"/>
      <c r="GI81" s="305"/>
      <c r="GJ81" s="305"/>
      <c r="GK81" s="305"/>
      <c r="GL81" s="305"/>
      <c r="GM81" s="305"/>
      <c r="GN81" s="305"/>
      <c r="GO81" s="305"/>
      <c r="GP81" s="305"/>
      <c r="GQ81" s="305"/>
      <c r="GR81" s="305"/>
      <c r="GS81" s="305"/>
      <c r="GT81" s="305"/>
      <c r="GU81" s="305"/>
      <c r="GV81" s="305"/>
      <c r="GW81" s="305"/>
      <c r="GX81" s="305"/>
      <c r="GY81" s="305"/>
      <c r="GZ81" s="305"/>
      <c r="HA81" s="305"/>
      <c r="HB81" s="305"/>
      <c r="HC81" s="305"/>
      <c r="HD81" s="305"/>
      <c r="HE81" s="305"/>
      <c r="HF81" s="305"/>
      <c r="HG81" s="305"/>
      <c r="HH81" s="305"/>
      <c r="HI81" s="305"/>
      <c r="HJ81" s="305"/>
      <c r="HK81" s="305"/>
      <c r="HL81" s="305"/>
      <c r="HM81" s="305"/>
      <c r="HN81" s="305"/>
      <c r="HO81" s="305"/>
      <c r="HP81" s="305"/>
      <c r="HQ81" s="305"/>
      <c r="HR81" s="305"/>
      <c r="HS81" s="305"/>
      <c r="HT81" s="305"/>
      <c r="HU81" s="305"/>
      <c r="HV81" s="305"/>
      <c r="HW81" s="305"/>
      <c r="HX81" s="305"/>
      <c r="HY81" s="305"/>
      <c r="HZ81" s="305"/>
      <c r="IA81" s="305"/>
      <c r="IB81" s="305"/>
      <c r="IC81" s="305"/>
      <c r="ID81" s="305"/>
      <c r="IE81" s="305"/>
      <c r="IF81" s="305"/>
      <c r="IG81" s="305"/>
      <c r="IH81" s="305"/>
      <c r="II81" s="305"/>
      <c r="IJ81" s="305"/>
      <c r="IK81" s="305"/>
      <c r="IL81" s="305"/>
      <c r="IM81" s="305"/>
      <c r="IN81" s="305"/>
      <c r="IO81" s="305"/>
      <c r="IP81" s="305"/>
      <c r="IQ81" s="305"/>
      <c r="IR81" s="305"/>
      <c r="IS81" s="305"/>
      <c r="IT81" s="305"/>
      <c r="IU81" s="305"/>
      <c r="IV81" s="305"/>
      <c r="IW81" s="305"/>
    </row>
    <row r="82" customFormat="false" ht="12.75" hidden="false" customHeight="false" outlineLevel="0" collapsed="false">
      <c r="A82" s="301" t="s">
        <v>180</v>
      </c>
      <c r="B82" s="351"/>
      <c r="C82" s="351"/>
      <c r="D82" s="351"/>
      <c r="E82" s="351"/>
      <c r="F82" s="351"/>
      <c r="G82" s="351"/>
      <c r="H82" s="351"/>
      <c r="I82" s="351"/>
      <c r="J82" s="351"/>
      <c r="K82" s="351"/>
      <c r="L82" s="351"/>
      <c r="M82" s="351"/>
      <c r="N82" s="351"/>
      <c r="O82" s="351"/>
      <c r="P82" s="351"/>
      <c r="Q82" s="351"/>
      <c r="R82" s="351"/>
      <c r="S82" s="351"/>
      <c r="T82" s="351"/>
      <c r="U82" s="351"/>
      <c r="V82" s="351"/>
      <c r="W82" s="351"/>
      <c r="X82" s="354"/>
      <c r="Y82" s="354"/>
      <c r="Z82" s="354"/>
      <c r="AA82" s="354"/>
      <c r="AB82" s="354"/>
      <c r="AC82" s="351"/>
      <c r="AD82" s="351"/>
      <c r="AE82" s="358"/>
      <c r="AF82" s="358"/>
      <c r="AG82" s="358"/>
      <c r="AH82" s="358"/>
      <c r="AI82" s="358"/>
      <c r="AJ82" s="358"/>
      <c r="AK82" s="358"/>
      <c r="AL82" s="358"/>
      <c r="AM82" s="358"/>
      <c r="AN82" s="358"/>
      <c r="AO82" s="358"/>
      <c r="AP82" s="358"/>
      <c r="AQ82" s="358"/>
      <c r="AR82" s="358"/>
      <c r="AS82" s="358"/>
      <c r="AT82" s="305"/>
      <c r="AU82" s="305"/>
      <c r="AV82" s="305"/>
      <c r="AW82" s="305"/>
      <c r="AX82" s="305"/>
      <c r="AY82" s="305"/>
      <c r="AZ82" s="305"/>
      <c r="BA82" s="305"/>
      <c r="BB82" s="305"/>
      <c r="BC82" s="305"/>
      <c r="BD82" s="305"/>
      <c r="BE82" s="305"/>
      <c r="BF82" s="305"/>
      <c r="BG82" s="305"/>
      <c r="BH82" s="305"/>
      <c r="BI82" s="305"/>
      <c r="BJ82" s="305"/>
      <c r="BK82" s="305"/>
      <c r="BL82" s="305"/>
      <c r="BM82" s="305"/>
      <c r="BN82" s="305"/>
      <c r="BO82" s="305"/>
      <c r="BP82" s="305"/>
      <c r="BQ82" s="305"/>
      <c r="BR82" s="305"/>
      <c r="BS82" s="305"/>
      <c r="BT82" s="305"/>
      <c r="BU82" s="305"/>
      <c r="BV82" s="305"/>
      <c r="BW82" s="305"/>
      <c r="BX82" s="305"/>
      <c r="BY82" s="305"/>
      <c r="BZ82" s="305"/>
      <c r="CA82" s="305"/>
      <c r="CB82" s="305"/>
      <c r="CC82" s="305"/>
      <c r="CD82" s="305"/>
      <c r="CE82" s="305"/>
      <c r="CF82" s="305"/>
      <c r="CG82" s="305"/>
      <c r="CH82" s="305"/>
      <c r="CI82" s="305"/>
      <c r="CJ82" s="305"/>
      <c r="CK82" s="305"/>
      <c r="CL82" s="305"/>
      <c r="CM82" s="305"/>
      <c r="CN82" s="305"/>
      <c r="CO82" s="305"/>
      <c r="CP82" s="305"/>
      <c r="CQ82" s="305"/>
      <c r="CR82" s="305"/>
      <c r="CS82" s="305"/>
      <c r="CT82" s="305"/>
      <c r="CU82" s="305"/>
      <c r="CV82" s="305"/>
      <c r="CW82" s="305"/>
      <c r="CX82" s="305"/>
      <c r="CY82" s="305"/>
      <c r="CZ82" s="305"/>
      <c r="DA82" s="305"/>
      <c r="DB82" s="305"/>
      <c r="DC82" s="305"/>
      <c r="DD82" s="305"/>
      <c r="DE82" s="305"/>
      <c r="DF82" s="305"/>
      <c r="DG82" s="305"/>
      <c r="DH82" s="305"/>
      <c r="DI82" s="305"/>
      <c r="DJ82" s="305"/>
      <c r="DK82" s="305"/>
      <c r="DL82" s="305"/>
      <c r="DM82" s="305"/>
      <c r="DN82" s="305"/>
      <c r="DO82" s="305"/>
      <c r="DP82" s="305"/>
      <c r="DQ82" s="305"/>
      <c r="DR82" s="305"/>
      <c r="DS82" s="305"/>
      <c r="DT82" s="305"/>
      <c r="DU82" s="305"/>
      <c r="DV82" s="305"/>
      <c r="DW82" s="305"/>
      <c r="DX82" s="305"/>
      <c r="DY82" s="305"/>
      <c r="DZ82" s="305"/>
      <c r="EA82" s="305"/>
      <c r="EB82" s="305"/>
      <c r="EC82" s="305"/>
      <c r="ED82" s="305"/>
      <c r="EE82" s="305"/>
      <c r="EF82" s="305"/>
      <c r="EG82" s="305"/>
      <c r="EH82" s="305"/>
      <c r="EI82" s="305"/>
      <c r="EJ82" s="305"/>
      <c r="EK82" s="305"/>
      <c r="EL82" s="305"/>
      <c r="EM82" s="305"/>
      <c r="EN82" s="305"/>
      <c r="EO82" s="305"/>
      <c r="EP82" s="305"/>
      <c r="EQ82" s="305"/>
      <c r="ER82" s="305"/>
      <c r="ES82" s="305"/>
      <c r="ET82" s="305"/>
      <c r="EU82" s="305"/>
      <c r="EV82" s="305"/>
      <c r="EW82" s="305"/>
      <c r="EX82" s="305"/>
      <c r="EY82" s="305"/>
      <c r="EZ82" s="305"/>
      <c r="FA82" s="305"/>
      <c r="FB82" s="305"/>
      <c r="FC82" s="305"/>
      <c r="FD82" s="305"/>
      <c r="FE82" s="305"/>
      <c r="FF82" s="305"/>
      <c r="FG82" s="305"/>
      <c r="FH82" s="305"/>
      <c r="FI82" s="305"/>
      <c r="FJ82" s="305"/>
      <c r="FK82" s="305"/>
      <c r="FL82" s="305"/>
      <c r="FM82" s="305"/>
      <c r="FN82" s="305"/>
      <c r="FO82" s="305"/>
      <c r="FP82" s="305"/>
      <c r="FQ82" s="305"/>
      <c r="FR82" s="305"/>
      <c r="FS82" s="305"/>
      <c r="FT82" s="305"/>
      <c r="FU82" s="305"/>
      <c r="FV82" s="305"/>
      <c r="FW82" s="305"/>
      <c r="FX82" s="305"/>
      <c r="FY82" s="305"/>
      <c r="FZ82" s="305"/>
      <c r="GA82" s="305"/>
      <c r="GB82" s="305"/>
      <c r="GC82" s="305"/>
      <c r="GD82" s="305"/>
      <c r="GE82" s="305"/>
      <c r="GF82" s="305"/>
      <c r="GG82" s="305"/>
      <c r="GH82" s="305"/>
      <c r="GI82" s="305"/>
      <c r="GJ82" s="305"/>
      <c r="GK82" s="305"/>
      <c r="GL82" s="305"/>
      <c r="GM82" s="305"/>
      <c r="GN82" s="305"/>
      <c r="GO82" s="305"/>
      <c r="GP82" s="305"/>
      <c r="GQ82" s="305"/>
      <c r="GR82" s="305"/>
      <c r="GS82" s="305"/>
      <c r="GT82" s="305"/>
      <c r="GU82" s="305"/>
      <c r="GV82" s="305"/>
      <c r="GW82" s="305"/>
      <c r="GX82" s="305"/>
      <c r="GY82" s="305"/>
      <c r="GZ82" s="305"/>
      <c r="HA82" s="305"/>
      <c r="HB82" s="305"/>
      <c r="HC82" s="305"/>
      <c r="HD82" s="305"/>
      <c r="HE82" s="305"/>
      <c r="HF82" s="305"/>
      <c r="HG82" s="305"/>
      <c r="HH82" s="305"/>
      <c r="HI82" s="305"/>
      <c r="HJ82" s="305"/>
      <c r="HK82" s="305"/>
      <c r="HL82" s="305"/>
      <c r="HM82" s="305"/>
      <c r="HN82" s="305"/>
      <c r="HO82" s="305"/>
      <c r="HP82" s="305"/>
      <c r="HQ82" s="305"/>
      <c r="HR82" s="305"/>
      <c r="HS82" s="305"/>
      <c r="HT82" s="305"/>
      <c r="HU82" s="305"/>
      <c r="HV82" s="305"/>
      <c r="HW82" s="305"/>
      <c r="HX82" s="305"/>
      <c r="HY82" s="305"/>
      <c r="HZ82" s="305"/>
      <c r="IA82" s="305"/>
      <c r="IB82" s="305"/>
      <c r="IC82" s="305"/>
      <c r="ID82" s="305"/>
      <c r="IE82" s="305"/>
      <c r="IF82" s="305"/>
      <c r="IG82" s="305"/>
      <c r="IH82" s="305"/>
      <c r="II82" s="305"/>
      <c r="IJ82" s="305"/>
      <c r="IK82" s="305"/>
      <c r="IL82" s="305"/>
      <c r="IM82" s="305"/>
      <c r="IN82" s="305"/>
      <c r="IO82" s="305"/>
      <c r="IP82" s="305"/>
      <c r="IQ82" s="305"/>
      <c r="IR82" s="305"/>
      <c r="IS82" s="305"/>
      <c r="IT82" s="305"/>
      <c r="IU82" s="305"/>
      <c r="IV82" s="305"/>
      <c r="IW82" s="305"/>
    </row>
    <row r="83" customFormat="false" ht="12.75" hidden="false" customHeight="false" outlineLevel="0" collapsed="false">
      <c r="A83" s="301"/>
      <c r="B83" s="351"/>
      <c r="C83" s="351"/>
      <c r="D83" s="351"/>
      <c r="E83" s="351"/>
      <c r="F83" s="351"/>
      <c r="G83" s="351"/>
      <c r="H83" s="351"/>
      <c r="I83" s="351"/>
      <c r="J83" s="351"/>
      <c r="K83" s="351"/>
      <c r="L83" s="351"/>
      <c r="M83" s="351"/>
      <c r="N83" s="351"/>
      <c r="O83" s="351"/>
      <c r="P83" s="351"/>
      <c r="Q83" s="351"/>
      <c r="R83" s="351"/>
      <c r="S83" s="351"/>
      <c r="T83" s="351"/>
      <c r="U83" s="351"/>
      <c r="V83" s="351"/>
      <c r="W83" s="351"/>
      <c r="X83" s="355"/>
      <c r="Y83" s="355"/>
      <c r="Z83" s="355"/>
      <c r="AA83" s="355"/>
      <c r="AB83" s="355"/>
      <c r="AC83" s="351"/>
      <c r="AD83" s="351"/>
      <c r="AE83" s="358"/>
      <c r="AF83" s="358"/>
      <c r="AG83" s="358"/>
      <c r="AH83" s="358"/>
      <c r="AI83" s="358"/>
      <c r="AJ83" s="358"/>
      <c r="AK83" s="358"/>
      <c r="AL83" s="358"/>
      <c r="AM83" s="358"/>
      <c r="AN83" s="358"/>
      <c r="AO83" s="358"/>
      <c r="AP83" s="358"/>
      <c r="AQ83" s="358"/>
      <c r="AR83" s="358"/>
      <c r="AS83" s="358"/>
      <c r="AT83" s="305"/>
      <c r="AU83" s="305"/>
      <c r="AV83" s="305"/>
      <c r="AW83" s="305"/>
      <c r="AX83" s="305"/>
      <c r="AY83" s="305"/>
      <c r="AZ83" s="305"/>
      <c r="BA83" s="305"/>
      <c r="BB83" s="305"/>
      <c r="BC83" s="305"/>
      <c r="BD83" s="305"/>
      <c r="BE83" s="305"/>
      <c r="BF83" s="305"/>
      <c r="BG83" s="305"/>
      <c r="BH83" s="305"/>
      <c r="BI83" s="305"/>
      <c r="BJ83" s="305"/>
      <c r="BK83" s="305"/>
      <c r="BL83" s="305"/>
      <c r="BM83" s="305"/>
      <c r="BN83" s="305"/>
      <c r="BO83" s="305"/>
      <c r="BP83" s="305"/>
      <c r="BQ83" s="305"/>
      <c r="BR83" s="305"/>
      <c r="BS83" s="305"/>
      <c r="BT83" s="305"/>
      <c r="BU83" s="305"/>
      <c r="BV83" s="305"/>
      <c r="BW83" s="305"/>
      <c r="BX83" s="305"/>
      <c r="BY83" s="305"/>
      <c r="BZ83" s="305"/>
      <c r="CA83" s="305"/>
      <c r="CB83" s="305"/>
      <c r="CC83" s="305"/>
      <c r="CD83" s="305"/>
      <c r="CE83" s="305"/>
      <c r="CF83" s="305"/>
      <c r="CG83" s="305"/>
      <c r="CH83" s="305"/>
      <c r="CI83" s="305"/>
      <c r="CJ83" s="305"/>
      <c r="CK83" s="305"/>
      <c r="CL83" s="305"/>
      <c r="CM83" s="305"/>
      <c r="CN83" s="305"/>
      <c r="CO83" s="305"/>
      <c r="CP83" s="305"/>
      <c r="CQ83" s="305"/>
      <c r="CR83" s="305"/>
      <c r="CS83" s="305"/>
      <c r="CT83" s="305"/>
      <c r="CU83" s="305"/>
      <c r="CV83" s="305"/>
      <c r="CW83" s="305"/>
      <c r="CX83" s="305"/>
      <c r="CY83" s="305"/>
      <c r="CZ83" s="305"/>
      <c r="DA83" s="305"/>
      <c r="DB83" s="305"/>
      <c r="DC83" s="305"/>
      <c r="DD83" s="305"/>
      <c r="DE83" s="305"/>
      <c r="DF83" s="305"/>
      <c r="DG83" s="305"/>
      <c r="DH83" s="305"/>
      <c r="DI83" s="305"/>
      <c r="DJ83" s="305"/>
      <c r="DK83" s="305"/>
      <c r="DL83" s="305"/>
      <c r="DM83" s="305"/>
      <c r="DN83" s="305"/>
      <c r="DO83" s="305"/>
      <c r="DP83" s="305"/>
      <c r="DQ83" s="305"/>
      <c r="DR83" s="305"/>
      <c r="DS83" s="305"/>
      <c r="DT83" s="305"/>
      <c r="DU83" s="305"/>
      <c r="DV83" s="305"/>
      <c r="DW83" s="305"/>
      <c r="DX83" s="305"/>
      <c r="DY83" s="305"/>
      <c r="DZ83" s="305"/>
      <c r="EA83" s="305"/>
      <c r="EB83" s="305"/>
      <c r="EC83" s="305"/>
      <c r="ED83" s="305"/>
      <c r="EE83" s="305"/>
      <c r="EF83" s="305"/>
      <c r="EG83" s="305"/>
      <c r="EH83" s="305"/>
      <c r="EI83" s="305"/>
      <c r="EJ83" s="305"/>
      <c r="EK83" s="305"/>
      <c r="EL83" s="305"/>
      <c r="EM83" s="305"/>
      <c r="EN83" s="305"/>
      <c r="EO83" s="305"/>
      <c r="EP83" s="305"/>
      <c r="EQ83" s="305"/>
      <c r="ER83" s="305"/>
      <c r="ES83" s="305"/>
      <c r="ET83" s="305"/>
      <c r="EU83" s="305"/>
      <c r="EV83" s="305"/>
      <c r="EW83" s="305"/>
      <c r="EX83" s="305"/>
      <c r="EY83" s="305"/>
      <c r="EZ83" s="305"/>
      <c r="FA83" s="305"/>
      <c r="FB83" s="305"/>
      <c r="FC83" s="305"/>
      <c r="FD83" s="305"/>
      <c r="FE83" s="305"/>
      <c r="FF83" s="305"/>
      <c r="FG83" s="305"/>
      <c r="FH83" s="305"/>
      <c r="FI83" s="305"/>
      <c r="FJ83" s="305"/>
      <c r="FK83" s="305"/>
      <c r="FL83" s="305"/>
      <c r="FM83" s="305"/>
      <c r="FN83" s="305"/>
      <c r="FO83" s="305"/>
      <c r="FP83" s="305"/>
      <c r="FQ83" s="305"/>
      <c r="FR83" s="305"/>
      <c r="FS83" s="305"/>
      <c r="FT83" s="305"/>
      <c r="FU83" s="305"/>
      <c r="FV83" s="305"/>
      <c r="FW83" s="305"/>
      <c r="FX83" s="305"/>
      <c r="FY83" s="305"/>
      <c r="FZ83" s="305"/>
      <c r="GA83" s="305"/>
      <c r="GB83" s="305"/>
      <c r="GC83" s="305"/>
      <c r="GD83" s="305"/>
      <c r="GE83" s="305"/>
      <c r="GF83" s="305"/>
      <c r="GG83" s="305"/>
      <c r="GH83" s="305"/>
      <c r="GI83" s="305"/>
      <c r="GJ83" s="305"/>
      <c r="GK83" s="305"/>
      <c r="GL83" s="305"/>
      <c r="GM83" s="305"/>
      <c r="GN83" s="305"/>
      <c r="GO83" s="305"/>
      <c r="GP83" s="305"/>
      <c r="GQ83" s="305"/>
      <c r="GR83" s="305"/>
      <c r="GS83" s="305"/>
      <c r="GT83" s="305"/>
      <c r="GU83" s="305"/>
      <c r="GV83" s="305"/>
      <c r="GW83" s="305"/>
      <c r="GX83" s="305"/>
      <c r="GY83" s="305"/>
      <c r="GZ83" s="305"/>
      <c r="HA83" s="305"/>
      <c r="HB83" s="305"/>
      <c r="HC83" s="305"/>
      <c r="HD83" s="305"/>
      <c r="HE83" s="305"/>
      <c r="HF83" s="305"/>
      <c r="HG83" s="305"/>
      <c r="HH83" s="305"/>
      <c r="HI83" s="305"/>
      <c r="HJ83" s="305"/>
      <c r="HK83" s="305"/>
      <c r="HL83" s="305"/>
      <c r="HM83" s="305"/>
      <c r="HN83" s="305"/>
      <c r="HO83" s="305"/>
      <c r="HP83" s="305"/>
      <c r="HQ83" s="305"/>
      <c r="HR83" s="305"/>
      <c r="HS83" s="305"/>
      <c r="HT83" s="305"/>
      <c r="HU83" s="305"/>
      <c r="HV83" s="305"/>
      <c r="HW83" s="305"/>
      <c r="HX83" s="305"/>
      <c r="HY83" s="305"/>
      <c r="HZ83" s="305"/>
      <c r="IA83" s="305"/>
      <c r="IB83" s="305"/>
      <c r="IC83" s="305"/>
      <c r="ID83" s="305"/>
      <c r="IE83" s="305"/>
      <c r="IF83" s="305"/>
      <c r="IG83" s="305"/>
      <c r="IH83" s="305"/>
      <c r="II83" s="305"/>
      <c r="IJ83" s="305"/>
      <c r="IK83" s="305"/>
      <c r="IL83" s="305"/>
      <c r="IM83" s="305"/>
      <c r="IN83" s="305"/>
      <c r="IO83" s="305"/>
      <c r="IP83" s="305"/>
      <c r="IQ83" s="305"/>
      <c r="IR83" s="305"/>
      <c r="IS83" s="305"/>
      <c r="IT83" s="305"/>
      <c r="IU83" s="305"/>
      <c r="IV83" s="305"/>
      <c r="IW83" s="305"/>
    </row>
    <row r="84" customFormat="false" ht="12.75" hidden="false" customHeight="false" outlineLevel="0" collapsed="false">
      <c r="A84" s="24" t="s">
        <v>183</v>
      </c>
      <c r="B84" s="172" t="n">
        <f aca="false">B33</f>
        <v>12629.1694864267</v>
      </c>
      <c r="C84" s="172" t="n">
        <f aca="false">C33</f>
        <v>14166.576438932</v>
      </c>
      <c r="D84" s="172" t="n">
        <f aca="false">D33</f>
        <v>15846.7819925534</v>
      </c>
      <c r="E84" s="172" t="n">
        <f aca="false">E33</f>
        <v>17649.6016705558</v>
      </c>
      <c r="F84" s="172" t="n">
        <f aca="false">F33</f>
        <v>19777.9446552145</v>
      </c>
      <c r="G84" s="172" t="n">
        <f aca="false">G33</f>
        <v>20626.7288671061</v>
      </c>
      <c r="H84" s="172" t="n">
        <f aca="false">H33</f>
        <v>21466.7577885947</v>
      </c>
      <c r="I84" s="172" t="n">
        <f aca="false">I33</f>
        <v>22378.1874570618</v>
      </c>
      <c r="J84" s="172" t="n">
        <f aca="false">J33</f>
        <v>23500.5664767398</v>
      </c>
      <c r="K84" s="172" t="n">
        <f aca="false">K33</f>
        <v>24736.3709754747</v>
      </c>
      <c r="L84" s="172" t="n">
        <f aca="false">L33</f>
        <v>25678.1654561013</v>
      </c>
      <c r="M84" s="172" t="n">
        <f aca="false">M33</f>
        <v>27147.7177941761</v>
      </c>
      <c r="N84" s="172" t="n">
        <f aca="false">N33</f>
        <v>28670.4653872995</v>
      </c>
      <c r="O84" s="172" t="n">
        <f aca="false">O33</f>
        <v>30173.8468474393</v>
      </c>
      <c r="P84" s="172" t="n">
        <f aca="false">P33</f>
        <v>31694.6607812701</v>
      </c>
      <c r="Q84" s="172" t="n">
        <f aca="false">Q33</f>
        <v>33367.3078454367</v>
      </c>
      <c r="R84" s="172" t="n">
        <f aca="false">R33</f>
        <v>35111.497159039</v>
      </c>
      <c r="S84" s="172" t="n">
        <f aca="false">S33</f>
        <v>36800.2697392792</v>
      </c>
      <c r="T84" s="172" t="n">
        <f aca="false">T33</f>
        <v>38347.8261116508</v>
      </c>
      <c r="U84" s="172" t="n">
        <f aca="false">U33</f>
        <v>39901.3770167774</v>
      </c>
      <c r="W84" s="335" t="n">
        <f aca="false">SUM(B84:U84)</f>
        <v>519671.819947129</v>
      </c>
      <c r="X84" s="355"/>
      <c r="Y84" s="355"/>
      <c r="Z84" s="355"/>
      <c r="AA84" s="355"/>
      <c r="AB84" s="355"/>
      <c r="AC84" s="351"/>
      <c r="AD84" s="351"/>
      <c r="AE84" s="358"/>
      <c r="AF84" s="358"/>
      <c r="AG84" s="358"/>
      <c r="AH84" s="358"/>
      <c r="AI84" s="358"/>
      <c r="AJ84" s="358"/>
      <c r="AK84" s="358"/>
      <c r="AL84" s="358"/>
      <c r="AM84" s="358"/>
      <c r="AN84" s="358"/>
      <c r="AO84" s="358"/>
      <c r="AP84" s="358"/>
      <c r="AQ84" s="358"/>
      <c r="AR84" s="358"/>
      <c r="AS84" s="358"/>
      <c r="AT84" s="305"/>
      <c r="AU84" s="305"/>
      <c r="AV84" s="305"/>
      <c r="AW84" s="305"/>
      <c r="AX84" s="305"/>
      <c r="AY84" s="305"/>
      <c r="AZ84" s="305"/>
      <c r="BA84" s="305"/>
      <c r="BB84" s="305"/>
      <c r="BC84" s="305"/>
      <c r="BD84" s="305"/>
      <c r="BE84" s="305"/>
      <c r="BF84" s="305"/>
      <c r="BG84" s="305"/>
      <c r="BH84" s="305"/>
      <c r="BI84" s="305"/>
      <c r="BJ84" s="305"/>
      <c r="BK84" s="305"/>
      <c r="BL84" s="305"/>
      <c r="BM84" s="305"/>
      <c r="BN84" s="305"/>
      <c r="BO84" s="305"/>
      <c r="BP84" s="305"/>
      <c r="BQ84" s="305"/>
      <c r="BR84" s="305"/>
      <c r="BS84" s="305"/>
      <c r="BT84" s="305"/>
      <c r="BU84" s="305"/>
      <c r="BV84" s="305"/>
      <c r="BW84" s="305"/>
      <c r="BX84" s="305"/>
      <c r="BY84" s="305"/>
      <c r="BZ84" s="305"/>
      <c r="CA84" s="305"/>
      <c r="CB84" s="305"/>
      <c r="CC84" s="305"/>
      <c r="CD84" s="305"/>
      <c r="CE84" s="305"/>
      <c r="CF84" s="305"/>
      <c r="CG84" s="305"/>
      <c r="CH84" s="305"/>
      <c r="CI84" s="305"/>
      <c r="CJ84" s="305"/>
      <c r="CK84" s="305"/>
      <c r="CL84" s="305"/>
      <c r="CM84" s="305"/>
      <c r="CN84" s="305"/>
      <c r="CO84" s="305"/>
      <c r="CP84" s="305"/>
      <c r="CQ84" s="305"/>
      <c r="CR84" s="305"/>
      <c r="CS84" s="305"/>
      <c r="CT84" s="305"/>
      <c r="CU84" s="305"/>
      <c r="CV84" s="305"/>
      <c r="CW84" s="305"/>
      <c r="CX84" s="305"/>
      <c r="CY84" s="305"/>
      <c r="CZ84" s="305"/>
      <c r="DA84" s="305"/>
      <c r="DB84" s="305"/>
      <c r="DC84" s="305"/>
      <c r="DD84" s="305"/>
      <c r="DE84" s="305"/>
      <c r="DF84" s="305"/>
      <c r="DG84" s="305"/>
      <c r="DH84" s="305"/>
      <c r="DI84" s="305"/>
      <c r="DJ84" s="305"/>
      <c r="DK84" s="305"/>
      <c r="DL84" s="305"/>
      <c r="DM84" s="305"/>
      <c r="DN84" s="305"/>
      <c r="DO84" s="305"/>
      <c r="DP84" s="305"/>
      <c r="DQ84" s="305"/>
      <c r="DR84" s="305"/>
      <c r="DS84" s="305"/>
      <c r="DT84" s="305"/>
      <c r="DU84" s="305"/>
      <c r="DV84" s="305"/>
      <c r="DW84" s="305"/>
      <c r="DX84" s="305"/>
      <c r="DY84" s="305"/>
      <c r="DZ84" s="305"/>
      <c r="EA84" s="305"/>
      <c r="EB84" s="305"/>
      <c r="EC84" s="305"/>
      <c r="ED84" s="305"/>
      <c r="EE84" s="305"/>
      <c r="EF84" s="305"/>
      <c r="EG84" s="305"/>
      <c r="EH84" s="305"/>
      <c r="EI84" s="305"/>
      <c r="EJ84" s="305"/>
      <c r="EK84" s="305"/>
      <c r="EL84" s="305"/>
      <c r="EM84" s="305"/>
      <c r="EN84" s="305"/>
      <c r="EO84" s="305"/>
      <c r="EP84" s="305"/>
      <c r="EQ84" s="305"/>
      <c r="ER84" s="305"/>
      <c r="ES84" s="305"/>
      <c r="ET84" s="305"/>
      <c r="EU84" s="305"/>
      <c r="EV84" s="305"/>
      <c r="EW84" s="305"/>
      <c r="EX84" s="305"/>
      <c r="EY84" s="305"/>
      <c r="EZ84" s="305"/>
      <c r="FA84" s="305"/>
      <c r="FB84" s="305"/>
      <c r="FC84" s="305"/>
      <c r="FD84" s="305"/>
      <c r="FE84" s="305"/>
      <c r="FF84" s="305"/>
      <c r="FG84" s="305"/>
      <c r="FH84" s="305"/>
      <c r="FI84" s="305"/>
      <c r="FJ84" s="305"/>
      <c r="FK84" s="305"/>
      <c r="FL84" s="305"/>
      <c r="FM84" s="305"/>
      <c r="FN84" s="305"/>
      <c r="FO84" s="305"/>
      <c r="FP84" s="305"/>
      <c r="FQ84" s="305"/>
      <c r="FR84" s="305"/>
      <c r="FS84" s="305"/>
      <c r="FT84" s="305"/>
      <c r="FU84" s="305"/>
      <c r="FV84" s="305"/>
      <c r="FW84" s="305"/>
      <c r="FX84" s="305"/>
      <c r="FY84" s="305"/>
      <c r="FZ84" s="305"/>
      <c r="GA84" s="305"/>
      <c r="GB84" s="305"/>
      <c r="GC84" s="305"/>
      <c r="GD84" s="305"/>
      <c r="GE84" s="305"/>
      <c r="GF84" s="305"/>
      <c r="GG84" s="305"/>
      <c r="GH84" s="305"/>
      <c r="GI84" s="305"/>
      <c r="GJ84" s="305"/>
      <c r="GK84" s="305"/>
      <c r="GL84" s="305"/>
      <c r="GM84" s="305"/>
      <c r="GN84" s="305"/>
      <c r="GO84" s="305"/>
      <c r="GP84" s="305"/>
      <c r="GQ84" s="305"/>
      <c r="GR84" s="305"/>
      <c r="GS84" s="305"/>
      <c r="GT84" s="305"/>
      <c r="GU84" s="305"/>
      <c r="GV84" s="305"/>
      <c r="GW84" s="305"/>
      <c r="GX84" s="305"/>
      <c r="GY84" s="305"/>
      <c r="GZ84" s="305"/>
      <c r="HA84" s="305"/>
      <c r="HB84" s="305"/>
      <c r="HC84" s="305"/>
      <c r="HD84" s="305"/>
      <c r="HE84" s="305"/>
      <c r="HF84" s="305"/>
      <c r="HG84" s="305"/>
      <c r="HH84" s="305"/>
      <c r="HI84" s="305"/>
      <c r="HJ84" s="305"/>
      <c r="HK84" s="305"/>
      <c r="HL84" s="305"/>
      <c r="HM84" s="305"/>
      <c r="HN84" s="305"/>
      <c r="HO84" s="305"/>
      <c r="HP84" s="305"/>
      <c r="HQ84" s="305"/>
      <c r="HR84" s="305"/>
      <c r="HS84" s="305"/>
      <c r="HT84" s="305"/>
      <c r="HU84" s="305"/>
      <c r="HV84" s="305"/>
      <c r="HW84" s="305"/>
      <c r="HX84" s="305"/>
      <c r="HY84" s="305"/>
      <c r="HZ84" s="305"/>
      <c r="IA84" s="305"/>
      <c r="IB84" s="305"/>
      <c r="IC84" s="305"/>
      <c r="ID84" s="305"/>
      <c r="IE84" s="305"/>
      <c r="IF84" s="305"/>
      <c r="IG84" s="305"/>
      <c r="IH84" s="305"/>
      <c r="II84" s="305"/>
      <c r="IJ84" s="305"/>
      <c r="IK84" s="305"/>
      <c r="IL84" s="305"/>
      <c r="IM84" s="305"/>
      <c r="IN84" s="305"/>
      <c r="IO84" s="305"/>
      <c r="IP84" s="305"/>
      <c r="IQ84" s="305"/>
      <c r="IR84" s="305"/>
      <c r="IS84" s="305"/>
      <c r="IT84" s="305"/>
      <c r="IU84" s="305"/>
      <c r="IV84" s="305"/>
      <c r="IW84" s="305"/>
    </row>
    <row r="85" customFormat="false" ht="12.75" hidden="false" customHeight="false" outlineLevel="0" collapsed="false">
      <c r="A85" s="24" t="s">
        <v>184</v>
      </c>
      <c r="B85" s="172" t="n">
        <f aca="false">B27</f>
        <v>6498.65975367138</v>
      </c>
      <c r="C85" s="172" t="n">
        <f aca="false">C27</f>
        <v>6498.65975367138</v>
      </c>
      <c r="D85" s="172" t="n">
        <f aca="false">D27</f>
        <v>6498.65975367138</v>
      </c>
      <c r="E85" s="172" t="n">
        <f aca="false">E27</f>
        <v>6498.65975367138</v>
      </c>
      <c r="F85" s="172" t="n">
        <f aca="false">F27</f>
        <v>6498.65975367138</v>
      </c>
      <c r="G85" s="172" t="n">
        <f aca="false">G27</f>
        <v>6498.65975367138</v>
      </c>
      <c r="H85" s="172" t="n">
        <f aca="false">H27</f>
        <v>6498.65975367138</v>
      </c>
      <c r="I85" s="172" t="n">
        <f aca="false">I27</f>
        <v>6498.65975367138</v>
      </c>
      <c r="J85" s="172" t="n">
        <f aca="false">J27</f>
        <v>6498.65975367138</v>
      </c>
      <c r="K85" s="172" t="n">
        <f aca="false">K27</f>
        <v>6498.65975367138</v>
      </c>
      <c r="L85" s="172" t="n">
        <f aca="false">L27</f>
        <v>6498.65975367138</v>
      </c>
      <c r="M85" s="172" t="n">
        <f aca="false">M27</f>
        <v>6498.65975367138</v>
      </c>
      <c r="N85" s="172" t="n">
        <f aca="false">N27</f>
        <v>6498.65975367138</v>
      </c>
      <c r="O85" s="172" t="n">
        <f aca="false">O27</f>
        <v>6498.65975367138</v>
      </c>
      <c r="P85" s="172" t="n">
        <f aca="false">P27</f>
        <v>6498.65975367138</v>
      </c>
      <c r="Q85" s="172" t="n">
        <f aca="false">Q27</f>
        <v>6498.65975367138</v>
      </c>
      <c r="R85" s="172" t="n">
        <f aca="false">R27</f>
        <v>6498.65975367138</v>
      </c>
      <c r="S85" s="172" t="n">
        <f aca="false">S27</f>
        <v>6498.65975367138</v>
      </c>
      <c r="T85" s="172" t="n">
        <f aca="false">T27</f>
        <v>6498.65975367138</v>
      </c>
      <c r="U85" s="172" t="n">
        <f aca="false">U27</f>
        <v>6498.65975367138</v>
      </c>
      <c r="W85" s="335" t="n">
        <f aca="false">SUM(B85:U85)</f>
        <v>129973.195073428</v>
      </c>
      <c r="X85" s="359" t="n">
        <f aca="false">MAX(X83,X78)</f>
        <v>0</v>
      </c>
      <c r="Y85" s="359" t="n">
        <f aca="false">MAX(Y83,Y78)</f>
        <v>0</v>
      </c>
      <c r="Z85" s="359" t="n">
        <f aca="false">MAX(Z83,Z78)</f>
        <v>0</v>
      </c>
      <c r="AA85" s="359" t="n">
        <f aca="false">MAX(AA83,AA78)</f>
        <v>0</v>
      </c>
      <c r="AB85" s="359" t="n">
        <f aca="false">MAX(AB83,AB78)</f>
        <v>0</v>
      </c>
      <c r="AC85" s="359" t="n">
        <f aca="false">MAX(AC83,AC78)</f>
        <v>0</v>
      </c>
      <c r="AD85" s="359" t="n">
        <f aca="false">MAX(AD83,AD78)</f>
        <v>0</v>
      </c>
      <c r="AE85" s="359" t="n">
        <f aca="false">MAX(AE83,AE78)</f>
        <v>0</v>
      </c>
      <c r="AF85" s="359" t="n">
        <f aca="false">MAX(AF83,AF78)</f>
        <v>0</v>
      </c>
      <c r="AG85" s="359" t="n">
        <f aca="false">MAX(AG83,AG78)</f>
        <v>0</v>
      </c>
      <c r="AH85" s="359" t="n">
        <f aca="false">MAX(AH83,AH78)</f>
        <v>0</v>
      </c>
      <c r="AI85" s="359" t="n">
        <f aca="false">MAX(AI83,AI78)</f>
        <v>0</v>
      </c>
      <c r="AJ85" s="359" t="n">
        <f aca="false">MAX(AJ83,AJ78)</f>
        <v>0</v>
      </c>
      <c r="AK85" s="359" t="n">
        <f aca="false">MAX(AK83,AK78)</f>
        <v>0</v>
      </c>
      <c r="AL85" s="359" t="n">
        <f aca="false">MAX(AL83,AL78)</f>
        <v>0</v>
      </c>
      <c r="AM85" s="359" t="n">
        <f aca="false">MAX(AM83,AM78)</f>
        <v>0</v>
      </c>
      <c r="AN85" s="359" t="n">
        <f aca="false">MAX(AN83,AN78)</f>
        <v>0</v>
      </c>
      <c r="AO85" s="359" t="n">
        <f aca="false">MAX(AO83,AO78)</f>
        <v>0</v>
      </c>
      <c r="AP85" s="359" t="n">
        <f aca="false">MAX(AP83,AP78)</f>
        <v>0</v>
      </c>
      <c r="AQ85" s="359" t="n">
        <f aca="false">MAX(AQ83,AQ78)</f>
        <v>0</v>
      </c>
      <c r="AR85" s="358"/>
      <c r="AS85" s="358"/>
      <c r="AT85" s="305"/>
      <c r="AU85" s="305"/>
      <c r="AV85" s="305"/>
      <c r="AW85" s="305"/>
      <c r="AX85" s="305"/>
      <c r="AY85" s="305"/>
      <c r="AZ85" s="305"/>
      <c r="BA85" s="305"/>
      <c r="BB85" s="305"/>
      <c r="BC85" s="305"/>
      <c r="BD85" s="305"/>
      <c r="BE85" s="305"/>
      <c r="BF85" s="305"/>
      <c r="BG85" s="305"/>
      <c r="BH85" s="305"/>
      <c r="BI85" s="305"/>
      <c r="BJ85" s="305"/>
      <c r="BK85" s="305"/>
      <c r="BL85" s="305"/>
      <c r="BM85" s="305"/>
      <c r="BN85" s="305"/>
      <c r="BO85" s="305"/>
      <c r="BP85" s="305"/>
      <c r="BQ85" s="305"/>
      <c r="BR85" s="305"/>
      <c r="BS85" s="305"/>
      <c r="BT85" s="305"/>
      <c r="BU85" s="305"/>
      <c r="BV85" s="305"/>
      <c r="BW85" s="305"/>
      <c r="BX85" s="305"/>
      <c r="BY85" s="305"/>
      <c r="BZ85" s="305"/>
      <c r="CA85" s="305"/>
      <c r="CB85" s="305"/>
      <c r="CC85" s="305"/>
      <c r="CD85" s="305"/>
      <c r="CE85" s="305"/>
      <c r="CF85" s="305"/>
      <c r="CG85" s="305"/>
      <c r="CH85" s="305"/>
      <c r="CI85" s="305"/>
      <c r="CJ85" s="305"/>
      <c r="CK85" s="305"/>
      <c r="CL85" s="305"/>
      <c r="CM85" s="305"/>
      <c r="CN85" s="305"/>
      <c r="CO85" s="305"/>
      <c r="CP85" s="305"/>
      <c r="CQ85" s="305"/>
      <c r="CR85" s="305"/>
      <c r="CS85" s="305"/>
      <c r="CT85" s="305"/>
      <c r="CU85" s="305"/>
      <c r="CV85" s="305"/>
      <c r="CW85" s="305"/>
      <c r="CX85" s="305"/>
      <c r="CY85" s="305"/>
      <c r="CZ85" s="305"/>
      <c r="DA85" s="305"/>
      <c r="DB85" s="305"/>
      <c r="DC85" s="305"/>
      <c r="DD85" s="305"/>
      <c r="DE85" s="305"/>
      <c r="DF85" s="305"/>
      <c r="DG85" s="305"/>
      <c r="DH85" s="305"/>
      <c r="DI85" s="305"/>
      <c r="DJ85" s="305"/>
      <c r="DK85" s="305"/>
      <c r="DL85" s="305"/>
      <c r="DM85" s="305"/>
      <c r="DN85" s="305"/>
      <c r="DO85" s="305"/>
      <c r="DP85" s="305"/>
      <c r="DQ85" s="305"/>
      <c r="DR85" s="305"/>
      <c r="DS85" s="305"/>
      <c r="DT85" s="305"/>
      <c r="DU85" s="305"/>
      <c r="DV85" s="305"/>
      <c r="DW85" s="305"/>
      <c r="DX85" s="305"/>
      <c r="DY85" s="305"/>
      <c r="DZ85" s="305"/>
      <c r="EA85" s="305"/>
      <c r="EB85" s="305"/>
      <c r="EC85" s="305"/>
      <c r="ED85" s="305"/>
      <c r="EE85" s="305"/>
      <c r="EF85" s="305"/>
      <c r="EG85" s="305"/>
      <c r="EH85" s="305"/>
      <c r="EI85" s="305"/>
      <c r="EJ85" s="305"/>
      <c r="EK85" s="305"/>
      <c r="EL85" s="305"/>
      <c r="EM85" s="305"/>
      <c r="EN85" s="305"/>
      <c r="EO85" s="305"/>
      <c r="EP85" s="305"/>
      <c r="EQ85" s="305"/>
      <c r="ER85" s="305"/>
      <c r="ES85" s="305"/>
      <c r="ET85" s="305"/>
      <c r="EU85" s="305"/>
      <c r="EV85" s="305"/>
      <c r="EW85" s="305"/>
      <c r="EX85" s="305"/>
      <c r="EY85" s="305"/>
      <c r="EZ85" s="305"/>
      <c r="FA85" s="305"/>
      <c r="FB85" s="305"/>
      <c r="FC85" s="305"/>
      <c r="FD85" s="305"/>
      <c r="FE85" s="305"/>
      <c r="FF85" s="305"/>
      <c r="FG85" s="305"/>
      <c r="FH85" s="305"/>
      <c r="FI85" s="305"/>
      <c r="FJ85" s="305"/>
      <c r="FK85" s="305"/>
      <c r="FL85" s="305"/>
      <c r="FM85" s="305"/>
      <c r="FN85" s="305"/>
      <c r="FO85" s="305"/>
      <c r="FP85" s="305"/>
      <c r="FQ85" s="305"/>
      <c r="FR85" s="305"/>
      <c r="FS85" s="305"/>
      <c r="FT85" s="305"/>
      <c r="FU85" s="305"/>
      <c r="FV85" s="305"/>
      <c r="FW85" s="305"/>
      <c r="FX85" s="305"/>
      <c r="FY85" s="305"/>
      <c r="FZ85" s="305"/>
      <c r="GA85" s="305"/>
      <c r="GB85" s="305"/>
      <c r="GC85" s="305"/>
      <c r="GD85" s="305"/>
      <c r="GE85" s="305"/>
      <c r="GF85" s="305"/>
      <c r="GG85" s="305"/>
      <c r="GH85" s="305"/>
      <c r="GI85" s="305"/>
      <c r="GJ85" s="305"/>
      <c r="GK85" s="305"/>
      <c r="GL85" s="305"/>
      <c r="GM85" s="305"/>
      <c r="GN85" s="305"/>
      <c r="GO85" s="305"/>
      <c r="GP85" s="305"/>
      <c r="GQ85" s="305"/>
      <c r="GR85" s="305"/>
      <c r="GS85" s="305"/>
      <c r="GT85" s="305"/>
      <c r="GU85" s="305"/>
      <c r="GV85" s="305"/>
      <c r="GW85" s="305"/>
      <c r="GX85" s="305"/>
      <c r="GY85" s="305"/>
      <c r="GZ85" s="305"/>
      <c r="HA85" s="305"/>
      <c r="HB85" s="305"/>
      <c r="HC85" s="305"/>
      <c r="HD85" s="305"/>
      <c r="HE85" s="305"/>
      <c r="HF85" s="305"/>
      <c r="HG85" s="305"/>
      <c r="HH85" s="305"/>
      <c r="HI85" s="305"/>
      <c r="HJ85" s="305"/>
      <c r="HK85" s="305"/>
      <c r="HL85" s="305"/>
      <c r="HM85" s="305"/>
      <c r="HN85" s="305"/>
      <c r="HO85" s="305"/>
      <c r="HP85" s="305"/>
      <c r="HQ85" s="305"/>
      <c r="HR85" s="305"/>
      <c r="HS85" s="305"/>
      <c r="HT85" s="305"/>
      <c r="HU85" s="305"/>
      <c r="HV85" s="305"/>
      <c r="HW85" s="305"/>
      <c r="HX85" s="305"/>
      <c r="HY85" s="305"/>
      <c r="HZ85" s="305"/>
      <c r="IA85" s="305"/>
      <c r="IB85" s="305"/>
      <c r="IC85" s="305"/>
      <c r="ID85" s="305"/>
      <c r="IE85" s="305"/>
      <c r="IF85" s="305"/>
      <c r="IG85" s="305"/>
      <c r="IH85" s="305"/>
      <c r="II85" s="305"/>
      <c r="IJ85" s="305"/>
      <c r="IK85" s="305"/>
      <c r="IL85" s="305"/>
      <c r="IM85" s="305"/>
      <c r="IN85" s="305"/>
      <c r="IO85" s="305"/>
      <c r="IP85" s="305"/>
      <c r="IQ85" s="305"/>
      <c r="IR85" s="305"/>
      <c r="IS85" s="305"/>
      <c r="IT85" s="305"/>
      <c r="IU85" s="305"/>
      <c r="IV85" s="305"/>
      <c r="IW85" s="305"/>
    </row>
    <row r="86" customFormat="false" ht="15" hidden="false" customHeight="false" outlineLevel="0" collapsed="false">
      <c r="A86" s="24" t="s">
        <v>213</v>
      </c>
      <c r="B86" s="197" t="n">
        <f aca="false">-Depreciation!C51</f>
        <v>-10831.0995894523</v>
      </c>
      <c r="C86" s="197" t="n">
        <f aca="false">-Depreciation!D51</f>
        <v>-20579.0892199594</v>
      </c>
      <c r="D86" s="197" t="n">
        <f aca="false">-Depreciation!E51</f>
        <v>-18521.1802979634</v>
      </c>
      <c r="E86" s="197" t="n">
        <f aca="false">-Depreciation!F51</f>
        <v>-16679.8933677565</v>
      </c>
      <c r="F86" s="197" t="n">
        <f aca="false">-Depreciation!G51</f>
        <v>-15011.9040309809</v>
      </c>
      <c r="G86" s="197" t="n">
        <f aca="false">-Depreciation!H51</f>
        <v>-13495.5500884576</v>
      </c>
      <c r="H86" s="197" t="n">
        <f aca="false">-Depreciation!I51</f>
        <v>-12780.6975155537</v>
      </c>
      <c r="I86" s="197" t="n">
        <f aca="false">-Depreciation!J51</f>
        <v>-12802.3597147326</v>
      </c>
      <c r="J86" s="197" t="n">
        <f aca="false">-Depreciation!K51</f>
        <v>-12780.6975155537</v>
      </c>
      <c r="K86" s="197" t="n">
        <f aca="false">-Depreciation!L51</f>
        <v>-12802.3597147326</v>
      </c>
      <c r="L86" s="197" t="n">
        <f aca="false">-Depreciation!M51</f>
        <v>-12780.6975155537</v>
      </c>
      <c r="M86" s="197" t="n">
        <f aca="false">-Depreciation!N51</f>
        <v>-12802.3597147326</v>
      </c>
      <c r="N86" s="197" t="n">
        <f aca="false">-Depreciation!O51</f>
        <v>-12780.6975155537</v>
      </c>
      <c r="O86" s="197" t="n">
        <f aca="false">-Depreciation!P51</f>
        <v>-12802.3597147326</v>
      </c>
      <c r="P86" s="197" t="n">
        <f aca="false">-Depreciation!Q51</f>
        <v>-12780.6975155537</v>
      </c>
      <c r="Q86" s="197" t="n">
        <f aca="false">-Depreciation!R51</f>
        <v>-6390.34875777685</v>
      </c>
      <c r="R86" s="197" t="n">
        <f aca="false">-Depreciation!S51</f>
        <v>-0</v>
      </c>
      <c r="S86" s="197" t="n">
        <f aca="false">-Depreciation!T51</f>
        <v>-0</v>
      </c>
      <c r="T86" s="197" t="n">
        <f aca="false">-Depreciation!U51</f>
        <v>-0</v>
      </c>
      <c r="U86" s="197" t="n">
        <f aca="false">-Depreciation!V51</f>
        <v>-0</v>
      </c>
      <c r="W86" s="343" t="n">
        <f aca="false">SUM(B86:U86)</f>
        <v>-216621.991789046</v>
      </c>
      <c r="X86" s="355"/>
      <c r="Y86" s="355"/>
      <c r="Z86" s="355"/>
      <c r="AA86" s="355"/>
      <c r="AB86" s="355"/>
      <c r="AC86" s="351"/>
      <c r="AD86" s="351"/>
      <c r="AE86" s="358"/>
      <c r="AF86" s="358"/>
      <c r="AG86" s="358"/>
      <c r="AH86" s="358"/>
      <c r="AI86" s="358"/>
      <c r="AJ86" s="358"/>
      <c r="AK86" s="358"/>
      <c r="AL86" s="358"/>
      <c r="AM86" s="358"/>
      <c r="AN86" s="358"/>
      <c r="AO86" s="358"/>
      <c r="AP86" s="358"/>
      <c r="AQ86" s="358"/>
      <c r="AR86" s="358"/>
      <c r="AS86" s="358"/>
      <c r="AT86" s="305"/>
      <c r="AU86" s="305"/>
      <c r="AV86" s="305"/>
      <c r="AW86" s="305"/>
      <c r="AX86" s="305"/>
      <c r="AY86" s="305"/>
      <c r="AZ86" s="305"/>
      <c r="BA86" s="305"/>
      <c r="BB86" s="305"/>
      <c r="BC86" s="305"/>
      <c r="BD86" s="305"/>
      <c r="BE86" s="305"/>
      <c r="BF86" s="305"/>
      <c r="BG86" s="305"/>
      <c r="BH86" s="305"/>
      <c r="BI86" s="305"/>
      <c r="BJ86" s="305"/>
      <c r="BK86" s="305"/>
      <c r="BL86" s="305"/>
      <c r="BM86" s="305"/>
      <c r="BN86" s="305"/>
      <c r="BO86" s="305"/>
      <c r="BP86" s="305"/>
      <c r="BQ86" s="305"/>
      <c r="BR86" s="305"/>
      <c r="BS86" s="305"/>
      <c r="BT86" s="305"/>
      <c r="BU86" s="305"/>
      <c r="BV86" s="305"/>
      <c r="BW86" s="305"/>
      <c r="BX86" s="305"/>
      <c r="BY86" s="305"/>
      <c r="BZ86" s="305"/>
      <c r="CA86" s="305"/>
      <c r="CB86" s="305"/>
      <c r="CC86" s="305"/>
      <c r="CD86" s="305"/>
      <c r="CE86" s="305"/>
      <c r="CF86" s="305"/>
      <c r="CG86" s="305"/>
      <c r="CH86" s="305"/>
      <c r="CI86" s="305"/>
      <c r="CJ86" s="305"/>
      <c r="CK86" s="305"/>
      <c r="CL86" s="305"/>
      <c r="CM86" s="305"/>
      <c r="CN86" s="305"/>
      <c r="CO86" s="305"/>
      <c r="CP86" s="305"/>
      <c r="CQ86" s="305"/>
      <c r="CR86" s="305"/>
      <c r="CS86" s="305"/>
      <c r="CT86" s="305"/>
      <c r="CU86" s="305"/>
      <c r="CV86" s="305"/>
      <c r="CW86" s="305"/>
      <c r="CX86" s="305"/>
      <c r="CY86" s="305"/>
      <c r="CZ86" s="305"/>
      <c r="DA86" s="305"/>
      <c r="DB86" s="305"/>
      <c r="DC86" s="305"/>
      <c r="DD86" s="305"/>
      <c r="DE86" s="305"/>
      <c r="DF86" s="305"/>
      <c r="DG86" s="305"/>
      <c r="DH86" s="305"/>
      <c r="DI86" s="305"/>
      <c r="DJ86" s="305"/>
      <c r="DK86" s="305"/>
      <c r="DL86" s="305"/>
      <c r="DM86" s="305"/>
      <c r="DN86" s="305"/>
      <c r="DO86" s="305"/>
      <c r="DP86" s="305"/>
      <c r="DQ86" s="305"/>
      <c r="DR86" s="305"/>
      <c r="DS86" s="305"/>
      <c r="DT86" s="305"/>
      <c r="DU86" s="305"/>
      <c r="DV86" s="305"/>
      <c r="DW86" s="305"/>
      <c r="DX86" s="305"/>
      <c r="DY86" s="305"/>
      <c r="DZ86" s="305"/>
      <c r="EA86" s="305"/>
      <c r="EB86" s="305"/>
      <c r="EC86" s="305"/>
      <c r="ED86" s="305"/>
      <c r="EE86" s="305"/>
      <c r="EF86" s="305"/>
      <c r="EG86" s="305"/>
      <c r="EH86" s="305"/>
      <c r="EI86" s="305"/>
      <c r="EJ86" s="305"/>
      <c r="EK86" s="305"/>
      <c r="EL86" s="305"/>
      <c r="EM86" s="305"/>
      <c r="EN86" s="305"/>
      <c r="EO86" s="305"/>
      <c r="EP86" s="305"/>
      <c r="EQ86" s="305"/>
      <c r="ER86" s="305"/>
      <c r="ES86" s="305"/>
      <c r="ET86" s="305"/>
      <c r="EU86" s="305"/>
      <c r="EV86" s="305"/>
      <c r="EW86" s="305"/>
      <c r="EX86" s="305"/>
      <c r="EY86" s="305"/>
      <c r="EZ86" s="305"/>
      <c r="FA86" s="305"/>
      <c r="FB86" s="305"/>
      <c r="FC86" s="305"/>
      <c r="FD86" s="305"/>
      <c r="FE86" s="305"/>
      <c r="FF86" s="305"/>
      <c r="FG86" s="305"/>
      <c r="FH86" s="305"/>
      <c r="FI86" s="305"/>
      <c r="FJ86" s="305"/>
      <c r="FK86" s="305"/>
      <c r="FL86" s="305"/>
      <c r="FM86" s="305"/>
      <c r="FN86" s="305"/>
      <c r="FO86" s="305"/>
      <c r="FP86" s="305"/>
      <c r="FQ86" s="305"/>
      <c r="FR86" s="305"/>
      <c r="FS86" s="305"/>
      <c r="FT86" s="305"/>
      <c r="FU86" s="305"/>
      <c r="FV86" s="305"/>
      <c r="FW86" s="305"/>
      <c r="FX86" s="305"/>
      <c r="FY86" s="305"/>
      <c r="FZ86" s="305"/>
      <c r="GA86" s="305"/>
      <c r="GB86" s="305"/>
      <c r="GC86" s="305"/>
      <c r="GD86" s="305"/>
      <c r="GE86" s="305"/>
      <c r="GF86" s="305"/>
      <c r="GG86" s="305"/>
      <c r="GH86" s="305"/>
      <c r="GI86" s="305"/>
      <c r="GJ86" s="305"/>
      <c r="GK86" s="305"/>
      <c r="GL86" s="305"/>
      <c r="GM86" s="305"/>
      <c r="GN86" s="305"/>
      <c r="GO86" s="305"/>
      <c r="GP86" s="305"/>
      <c r="GQ86" s="305"/>
      <c r="GR86" s="305"/>
      <c r="GS86" s="305"/>
      <c r="GT86" s="305"/>
      <c r="GU86" s="305"/>
      <c r="GV86" s="305"/>
      <c r="GW86" s="305"/>
      <c r="GX86" s="305"/>
      <c r="GY86" s="305"/>
      <c r="GZ86" s="305"/>
      <c r="HA86" s="305"/>
      <c r="HB86" s="305"/>
      <c r="HC86" s="305"/>
      <c r="HD86" s="305"/>
      <c r="HE86" s="305"/>
      <c r="HF86" s="305"/>
      <c r="HG86" s="305"/>
      <c r="HH86" s="305"/>
      <c r="HI86" s="305"/>
      <c r="HJ86" s="305"/>
      <c r="HK86" s="305"/>
      <c r="HL86" s="305"/>
      <c r="HM86" s="305"/>
      <c r="HN86" s="305"/>
      <c r="HO86" s="305"/>
      <c r="HP86" s="305"/>
      <c r="HQ86" s="305"/>
      <c r="HR86" s="305"/>
      <c r="HS86" s="305"/>
      <c r="HT86" s="305"/>
      <c r="HU86" s="305"/>
      <c r="HV86" s="305"/>
      <c r="HW86" s="305"/>
      <c r="HX86" s="305"/>
      <c r="HY86" s="305"/>
      <c r="HZ86" s="305"/>
      <c r="IA86" s="305"/>
      <c r="IB86" s="305"/>
      <c r="IC86" s="305"/>
      <c r="ID86" s="305"/>
      <c r="IE86" s="305"/>
      <c r="IF86" s="305"/>
      <c r="IG86" s="305"/>
      <c r="IH86" s="305"/>
      <c r="II86" s="305"/>
      <c r="IJ86" s="305"/>
      <c r="IK86" s="305"/>
      <c r="IL86" s="305"/>
      <c r="IM86" s="305"/>
      <c r="IN86" s="305"/>
      <c r="IO86" s="305"/>
      <c r="IP86" s="305"/>
      <c r="IQ86" s="305"/>
      <c r="IR86" s="305"/>
      <c r="IS86" s="305"/>
      <c r="IT86" s="305"/>
      <c r="IU86" s="305"/>
      <c r="IV86" s="305"/>
      <c r="IW86" s="305"/>
    </row>
    <row r="87" customFormat="false" ht="12.75" hidden="false" customHeight="false" outlineLevel="0" collapsed="false">
      <c r="A87" s="307" t="s">
        <v>214</v>
      </c>
      <c r="B87" s="172" t="n">
        <f aca="false">SUM(B84:B86)</f>
        <v>8296.72965064576</v>
      </c>
      <c r="C87" s="172" t="n">
        <f aca="false">SUM(C84:C86)</f>
        <v>86.1469726439937</v>
      </c>
      <c r="D87" s="172" t="n">
        <f aca="false">SUM(D84:D86)</f>
        <v>3824.26144826132</v>
      </c>
      <c r="E87" s="172" t="n">
        <f aca="false">SUM(E84:E86)</f>
        <v>7468.36805647067</v>
      </c>
      <c r="F87" s="172" t="n">
        <f aca="false">SUM(F84:F86)</f>
        <v>11264.700377905</v>
      </c>
      <c r="G87" s="172" t="n">
        <f aca="false">SUM(G84:G86)</f>
        <v>13629.8385323199</v>
      </c>
      <c r="H87" s="172" t="n">
        <f aca="false">SUM(H84:H86)</f>
        <v>15184.7200267123</v>
      </c>
      <c r="I87" s="172" t="n">
        <f aca="false">SUM(I84:I86)</f>
        <v>16074.4874960006</v>
      </c>
      <c r="J87" s="172" t="n">
        <f aca="false">SUM(J84:J86)</f>
        <v>17218.5287148574</v>
      </c>
      <c r="K87" s="172" t="n">
        <f aca="false">SUM(K84:K86)</f>
        <v>18432.6710144135</v>
      </c>
      <c r="L87" s="172" t="n">
        <f aca="false">SUM(L84:L86)</f>
        <v>19396.127694219</v>
      </c>
      <c r="M87" s="172" t="n">
        <f aca="false">SUM(M84:M86)</f>
        <v>20844.0178331149</v>
      </c>
      <c r="N87" s="172" t="n">
        <f aca="false">SUM(N84:N86)</f>
        <v>22388.4276254172</v>
      </c>
      <c r="O87" s="172" t="n">
        <f aca="false">SUM(O84:O86)</f>
        <v>23870.1468863781</v>
      </c>
      <c r="P87" s="172" t="n">
        <f aca="false">SUM(P84:P86)</f>
        <v>25412.6230193878</v>
      </c>
      <c r="Q87" s="172" t="n">
        <f aca="false">SUM(Q84:Q86)</f>
        <v>33475.6188413312</v>
      </c>
      <c r="R87" s="172" t="n">
        <f aca="false">SUM(R84:R86)</f>
        <v>41610.1569127104</v>
      </c>
      <c r="S87" s="172" t="n">
        <f aca="false">SUM(S84:S86)</f>
        <v>43298.9294929506</v>
      </c>
      <c r="T87" s="172" t="n">
        <f aca="false">SUM(T84:T86)</f>
        <v>44846.4858653222</v>
      </c>
      <c r="U87" s="172" t="n">
        <f aca="false">SUM(U84:U86)</f>
        <v>46400.0367704488</v>
      </c>
      <c r="W87" s="335" t="n">
        <f aca="false">SUM(B87:U87)</f>
        <v>433023.023231511</v>
      </c>
      <c r="X87" s="351"/>
      <c r="Y87" s="351"/>
      <c r="Z87" s="351"/>
      <c r="AA87" s="351"/>
      <c r="AB87" s="351"/>
      <c r="AC87" s="351"/>
      <c r="AD87" s="351"/>
      <c r="AE87" s="272"/>
      <c r="AF87" s="272"/>
      <c r="AG87" s="272"/>
      <c r="AH87" s="272"/>
      <c r="AI87" s="272"/>
      <c r="AJ87" s="272"/>
      <c r="AK87" s="272"/>
      <c r="AL87" s="272"/>
      <c r="AM87" s="272"/>
      <c r="AN87" s="272"/>
      <c r="AO87" s="272"/>
      <c r="AP87" s="272"/>
      <c r="AQ87" s="272"/>
      <c r="AR87" s="272"/>
      <c r="AS87" s="272"/>
      <c r="AT87" s="272"/>
      <c r="AU87" s="272"/>
      <c r="AV87" s="272"/>
      <c r="AW87" s="272"/>
      <c r="AX87" s="272"/>
      <c r="AY87" s="272"/>
      <c r="AZ87" s="272"/>
      <c r="BA87" s="272"/>
      <c r="BB87" s="272"/>
      <c r="BC87" s="272"/>
      <c r="BD87" s="272"/>
      <c r="BE87" s="272"/>
      <c r="BF87" s="272"/>
      <c r="BG87" s="272"/>
      <c r="BH87" s="272"/>
      <c r="BI87" s="272"/>
      <c r="BJ87" s="272"/>
      <c r="BK87" s="272"/>
      <c r="BL87" s="272"/>
      <c r="BM87" s="272"/>
      <c r="BN87" s="272"/>
      <c r="BO87" s="272"/>
      <c r="BP87" s="272"/>
      <c r="BQ87" s="272"/>
      <c r="BR87" s="272"/>
      <c r="BS87" s="272"/>
      <c r="BT87" s="272"/>
      <c r="BU87" s="272"/>
      <c r="BV87" s="272"/>
      <c r="BW87" s="272"/>
      <c r="BX87" s="272"/>
      <c r="BY87" s="272"/>
      <c r="BZ87" s="272"/>
      <c r="CA87" s="272"/>
      <c r="CB87" s="272"/>
      <c r="CC87" s="272"/>
      <c r="CD87" s="272"/>
      <c r="CE87" s="272"/>
      <c r="CF87" s="272"/>
      <c r="CG87" s="272"/>
      <c r="CH87" s="272"/>
      <c r="CI87" s="272"/>
      <c r="CJ87" s="272"/>
      <c r="CK87" s="272"/>
      <c r="CL87" s="272"/>
      <c r="CM87" s="272"/>
      <c r="CN87" s="272"/>
      <c r="CO87" s="272"/>
      <c r="CP87" s="272"/>
      <c r="CQ87" s="272"/>
      <c r="CR87" s="272"/>
      <c r="CS87" s="272"/>
      <c r="CT87" s="272"/>
      <c r="CU87" s="272"/>
      <c r="CV87" s="272"/>
      <c r="CW87" s="272"/>
      <c r="CX87" s="272"/>
      <c r="CY87" s="272"/>
      <c r="CZ87" s="272"/>
      <c r="DA87" s="272"/>
      <c r="DB87" s="272"/>
      <c r="DC87" s="272"/>
      <c r="DD87" s="272"/>
      <c r="DE87" s="272"/>
      <c r="DF87" s="272"/>
      <c r="DG87" s="272"/>
      <c r="DH87" s="272"/>
      <c r="DI87" s="272"/>
      <c r="DJ87" s="272"/>
      <c r="DK87" s="272"/>
      <c r="DL87" s="272"/>
      <c r="DM87" s="272"/>
      <c r="DN87" s="272"/>
      <c r="DO87" s="272"/>
      <c r="DP87" s="272"/>
      <c r="DQ87" s="272"/>
      <c r="DR87" s="272"/>
      <c r="DS87" s="272"/>
      <c r="DT87" s="272"/>
      <c r="DU87" s="272"/>
      <c r="DV87" s="272"/>
      <c r="DW87" s="272"/>
      <c r="DX87" s="272"/>
      <c r="DY87" s="272"/>
      <c r="DZ87" s="272"/>
      <c r="EA87" s="272"/>
      <c r="EB87" s="272"/>
      <c r="EC87" s="272"/>
      <c r="ED87" s="272"/>
      <c r="EE87" s="272"/>
      <c r="EF87" s="272"/>
      <c r="EG87" s="272"/>
      <c r="EH87" s="272"/>
      <c r="EI87" s="272"/>
      <c r="EJ87" s="272"/>
      <c r="EK87" s="272"/>
      <c r="EL87" s="272"/>
      <c r="EM87" s="272"/>
      <c r="EN87" s="272"/>
      <c r="EO87" s="272"/>
      <c r="EP87" s="272"/>
      <c r="EQ87" s="272"/>
      <c r="ER87" s="272"/>
      <c r="ES87" s="272"/>
      <c r="ET87" s="272"/>
      <c r="EU87" s="272"/>
      <c r="EV87" s="272"/>
      <c r="EW87" s="272"/>
      <c r="EX87" s="272"/>
      <c r="EY87" s="272"/>
      <c r="EZ87" s="272"/>
      <c r="FA87" s="272"/>
      <c r="FB87" s="272"/>
      <c r="FC87" s="272"/>
      <c r="FD87" s="272"/>
      <c r="FE87" s="272"/>
      <c r="FF87" s="272"/>
      <c r="FG87" s="272"/>
      <c r="FH87" s="272"/>
      <c r="FI87" s="272"/>
      <c r="FJ87" s="272"/>
      <c r="FK87" s="272"/>
      <c r="FL87" s="272"/>
      <c r="FM87" s="272"/>
      <c r="FN87" s="272"/>
      <c r="FO87" s="272"/>
      <c r="FP87" s="272"/>
      <c r="FQ87" s="272"/>
      <c r="FR87" s="272"/>
      <c r="FS87" s="272"/>
      <c r="FT87" s="272"/>
      <c r="FU87" s="272"/>
      <c r="FV87" s="272"/>
      <c r="FW87" s="272"/>
      <c r="FX87" s="272"/>
      <c r="FY87" s="272"/>
      <c r="FZ87" s="272"/>
      <c r="GA87" s="272"/>
      <c r="GB87" s="272"/>
      <c r="GC87" s="272"/>
      <c r="GD87" s="272"/>
      <c r="GE87" s="272"/>
      <c r="GF87" s="272"/>
      <c r="GG87" s="272"/>
      <c r="GH87" s="272"/>
      <c r="GI87" s="272"/>
      <c r="GJ87" s="272"/>
      <c r="GK87" s="272"/>
      <c r="GL87" s="272"/>
      <c r="GM87" s="272"/>
      <c r="GN87" s="272"/>
      <c r="GO87" s="272"/>
      <c r="GP87" s="272"/>
      <c r="GQ87" s="272"/>
      <c r="GR87" s="272"/>
      <c r="GS87" s="272"/>
      <c r="GT87" s="272"/>
      <c r="GU87" s="272"/>
      <c r="GV87" s="272"/>
      <c r="GW87" s="272"/>
      <c r="GX87" s="272"/>
      <c r="GY87" s="272"/>
      <c r="GZ87" s="272"/>
      <c r="HA87" s="272"/>
      <c r="HB87" s="272"/>
      <c r="HC87" s="272"/>
      <c r="HD87" s="272"/>
      <c r="HE87" s="272"/>
      <c r="HF87" s="272"/>
      <c r="HG87" s="272"/>
      <c r="HH87" s="272"/>
      <c r="HI87" s="272"/>
      <c r="HJ87" s="272"/>
      <c r="HK87" s="272"/>
      <c r="HL87" s="272"/>
      <c r="HM87" s="272"/>
      <c r="HN87" s="272"/>
      <c r="HO87" s="272"/>
      <c r="HP87" s="272"/>
      <c r="HQ87" s="272"/>
      <c r="HR87" s="272"/>
      <c r="HS87" s="272"/>
      <c r="HT87" s="272"/>
      <c r="HU87" s="272"/>
      <c r="HV87" s="272"/>
      <c r="HW87" s="272"/>
      <c r="HX87" s="272"/>
      <c r="HY87" s="272"/>
      <c r="HZ87" s="272"/>
      <c r="IA87" s="272"/>
      <c r="IB87" s="272"/>
      <c r="IC87" s="272"/>
      <c r="ID87" s="272"/>
      <c r="IE87" s="272"/>
      <c r="IF87" s="272"/>
      <c r="IG87" s="272"/>
      <c r="IH87" s="272"/>
      <c r="II87" s="272"/>
      <c r="IJ87" s="272"/>
      <c r="IK87" s="272"/>
      <c r="IL87" s="272"/>
      <c r="IM87" s="272"/>
      <c r="IN87" s="272"/>
      <c r="IO87" s="272"/>
      <c r="IP87" s="272"/>
      <c r="IQ87" s="272"/>
      <c r="IR87" s="272"/>
      <c r="IS87" s="272"/>
      <c r="IT87" s="272"/>
      <c r="IU87" s="272"/>
      <c r="IV87" s="272"/>
      <c r="IW87" s="272"/>
    </row>
    <row r="88" customFormat="false" ht="12.75" hidden="false" customHeight="false" outlineLevel="0" collapsed="false">
      <c r="A88" s="24"/>
      <c r="B88" s="172"/>
      <c r="C88" s="172"/>
      <c r="D88" s="172"/>
      <c r="E88" s="172"/>
      <c r="F88" s="172"/>
      <c r="G88" s="172"/>
      <c r="H88" s="172"/>
      <c r="I88" s="172"/>
      <c r="J88" s="172"/>
      <c r="K88" s="172"/>
      <c r="L88" s="172"/>
      <c r="M88" s="172"/>
      <c r="N88" s="172"/>
      <c r="O88" s="172"/>
      <c r="P88" s="172"/>
      <c r="Q88" s="172"/>
      <c r="R88" s="172"/>
      <c r="S88" s="172"/>
      <c r="T88" s="172"/>
      <c r="U88" s="172"/>
      <c r="X88" s="351"/>
      <c r="Y88" s="351"/>
      <c r="Z88" s="351"/>
      <c r="AA88" s="351"/>
      <c r="AB88" s="351"/>
      <c r="AC88" s="351"/>
      <c r="AD88" s="351"/>
      <c r="AE88" s="272"/>
      <c r="AF88" s="272"/>
      <c r="AG88" s="272"/>
      <c r="AH88" s="272"/>
      <c r="AI88" s="272"/>
      <c r="AJ88" s="272"/>
      <c r="AK88" s="272"/>
      <c r="AL88" s="272"/>
      <c r="AM88" s="272"/>
      <c r="AN88" s="272"/>
      <c r="AO88" s="272"/>
      <c r="AP88" s="272"/>
      <c r="AQ88" s="272"/>
      <c r="AR88" s="272"/>
      <c r="AS88" s="272"/>
      <c r="AT88" s="272"/>
      <c r="AU88" s="272"/>
      <c r="AV88" s="272"/>
      <c r="AW88" s="272"/>
      <c r="AX88" s="272"/>
      <c r="AY88" s="272"/>
      <c r="AZ88" s="272"/>
      <c r="BA88" s="272"/>
      <c r="BB88" s="272"/>
      <c r="BC88" s="272"/>
      <c r="BD88" s="272"/>
      <c r="BE88" s="272"/>
      <c r="BF88" s="272"/>
      <c r="BG88" s="272"/>
      <c r="BH88" s="272"/>
      <c r="BI88" s="272"/>
      <c r="BJ88" s="272"/>
      <c r="BK88" s="272"/>
      <c r="BL88" s="272"/>
      <c r="BM88" s="272"/>
      <c r="BN88" s="272"/>
      <c r="BO88" s="272"/>
      <c r="BP88" s="272"/>
      <c r="BQ88" s="272"/>
      <c r="BR88" s="272"/>
      <c r="BS88" s="272"/>
      <c r="BT88" s="272"/>
      <c r="BU88" s="272"/>
      <c r="BV88" s="272"/>
      <c r="BW88" s="272"/>
      <c r="BX88" s="272"/>
      <c r="BY88" s="272"/>
      <c r="BZ88" s="272"/>
      <c r="CA88" s="272"/>
      <c r="CB88" s="272"/>
      <c r="CC88" s="272"/>
      <c r="CD88" s="272"/>
      <c r="CE88" s="272"/>
      <c r="CF88" s="272"/>
      <c r="CG88" s="272"/>
      <c r="CH88" s="272"/>
      <c r="CI88" s="272"/>
      <c r="CJ88" s="272"/>
      <c r="CK88" s="272"/>
      <c r="CL88" s="272"/>
      <c r="CM88" s="272"/>
      <c r="CN88" s="272"/>
      <c r="CO88" s="272"/>
      <c r="CP88" s="272"/>
      <c r="CQ88" s="272"/>
      <c r="CR88" s="272"/>
      <c r="CS88" s="272"/>
      <c r="CT88" s="272"/>
      <c r="CU88" s="272"/>
      <c r="CV88" s="272"/>
      <c r="CW88" s="272"/>
      <c r="CX88" s="272"/>
      <c r="CY88" s="272"/>
      <c r="CZ88" s="272"/>
      <c r="DA88" s="272"/>
      <c r="DB88" s="272"/>
      <c r="DC88" s="272"/>
      <c r="DD88" s="272"/>
      <c r="DE88" s="272"/>
      <c r="DF88" s="272"/>
      <c r="DG88" s="272"/>
      <c r="DH88" s="272"/>
      <c r="DI88" s="272"/>
      <c r="DJ88" s="272"/>
      <c r="DK88" s="272"/>
      <c r="DL88" s="272"/>
      <c r="DM88" s="272"/>
      <c r="DN88" s="272"/>
      <c r="DO88" s="272"/>
      <c r="DP88" s="272"/>
      <c r="DQ88" s="272"/>
      <c r="DR88" s="272"/>
      <c r="DS88" s="272"/>
      <c r="DT88" s="272"/>
      <c r="DU88" s="272"/>
      <c r="DV88" s="272"/>
      <c r="DW88" s="272"/>
      <c r="DX88" s="272"/>
      <c r="DY88" s="272"/>
      <c r="DZ88" s="272"/>
      <c r="EA88" s="272"/>
      <c r="EB88" s="272"/>
      <c r="EC88" s="272"/>
      <c r="ED88" s="272"/>
      <c r="EE88" s="272"/>
      <c r="EF88" s="272"/>
      <c r="EG88" s="272"/>
      <c r="EH88" s="272"/>
      <c r="EI88" s="272"/>
      <c r="EJ88" s="272"/>
      <c r="EK88" s="272"/>
      <c r="EL88" s="272"/>
      <c r="EM88" s="272"/>
      <c r="EN88" s="272"/>
      <c r="EO88" s="272"/>
      <c r="EP88" s="272"/>
      <c r="EQ88" s="272"/>
      <c r="ER88" s="272"/>
      <c r="ES88" s="272"/>
      <c r="ET88" s="272"/>
      <c r="EU88" s="272"/>
      <c r="EV88" s="272"/>
      <c r="EW88" s="272"/>
      <c r="EX88" s="272"/>
      <c r="EY88" s="272"/>
      <c r="EZ88" s="272"/>
      <c r="FA88" s="272"/>
      <c r="FB88" s="272"/>
      <c r="FC88" s="272"/>
      <c r="FD88" s="272"/>
      <c r="FE88" s="272"/>
      <c r="FF88" s="272"/>
      <c r="FG88" s="272"/>
      <c r="FH88" s="272"/>
      <c r="FI88" s="272"/>
      <c r="FJ88" s="272"/>
      <c r="FK88" s="272"/>
      <c r="FL88" s="272"/>
      <c r="FM88" s="272"/>
      <c r="FN88" s="272"/>
      <c r="FO88" s="272"/>
      <c r="FP88" s="272"/>
      <c r="FQ88" s="272"/>
      <c r="FR88" s="272"/>
      <c r="FS88" s="272"/>
      <c r="FT88" s="272"/>
      <c r="FU88" s="272"/>
      <c r="FV88" s="272"/>
      <c r="FW88" s="272"/>
      <c r="FX88" s="272"/>
      <c r="FY88" s="272"/>
      <c r="FZ88" s="272"/>
      <c r="GA88" s="272"/>
      <c r="GB88" s="272"/>
      <c r="GC88" s="272"/>
      <c r="GD88" s="272"/>
      <c r="GE88" s="272"/>
      <c r="GF88" s="272"/>
      <c r="GG88" s="272"/>
      <c r="GH88" s="272"/>
      <c r="GI88" s="272"/>
      <c r="GJ88" s="272"/>
      <c r="GK88" s="272"/>
      <c r="GL88" s="272"/>
      <c r="GM88" s="272"/>
      <c r="GN88" s="272"/>
      <c r="GO88" s="272"/>
      <c r="GP88" s="272"/>
      <c r="GQ88" s="272"/>
      <c r="GR88" s="272"/>
      <c r="GS88" s="272"/>
      <c r="GT88" s="272"/>
      <c r="GU88" s="272"/>
      <c r="GV88" s="272"/>
      <c r="GW88" s="272"/>
      <c r="GX88" s="272"/>
      <c r="GY88" s="272"/>
      <c r="GZ88" s="272"/>
      <c r="HA88" s="272"/>
      <c r="HB88" s="272"/>
      <c r="HC88" s="272"/>
      <c r="HD88" s="272"/>
      <c r="HE88" s="272"/>
      <c r="HF88" s="272"/>
      <c r="HG88" s="272"/>
      <c r="HH88" s="272"/>
      <c r="HI88" s="272"/>
      <c r="HJ88" s="272"/>
      <c r="HK88" s="272"/>
      <c r="HL88" s="272"/>
      <c r="HM88" s="272"/>
      <c r="HN88" s="272"/>
      <c r="HO88" s="272"/>
      <c r="HP88" s="272"/>
      <c r="HQ88" s="272"/>
      <c r="HR88" s="272"/>
      <c r="HS88" s="272"/>
      <c r="HT88" s="272"/>
      <c r="HU88" s="272"/>
      <c r="HV88" s="272"/>
      <c r="HW88" s="272"/>
      <c r="HX88" s="272"/>
      <c r="HY88" s="272"/>
      <c r="HZ88" s="272"/>
      <c r="IA88" s="272"/>
      <c r="IB88" s="272"/>
      <c r="IC88" s="272"/>
      <c r="ID88" s="272"/>
      <c r="IE88" s="272"/>
      <c r="IF88" s="272"/>
      <c r="IG88" s="272"/>
      <c r="IH88" s="272"/>
      <c r="II88" s="272"/>
      <c r="IJ88" s="272"/>
      <c r="IK88" s="272"/>
      <c r="IL88" s="272"/>
      <c r="IM88" s="272"/>
      <c r="IN88" s="272"/>
      <c r="IO88" s="272"/>
      <c r="IP88" s="272"/>
      <c r="IQ88" s="272"/>
      <c r="IR88" s="272"/>
      <c r="IS88" s="272"/>
      <c r="IT88" s="272"/>
      <c r="IU88" s="272"/>
      <c r="IV88" s="272"/>
      <c r="IW88" s="272"/>
    </row>
    <row r="89" customFormat="false" ht="12.75" hidden="false" customHeight="false" outlineLevel="0" collapsed="false">
      <c r="A89" s="24" t="s">
        <v>80</v>
      </c>
      <c r="B89" s="344" t="n">
        <f aca="false">Assumptions!$D$38</f>
        <v>0.045</v>
      </c>
      <c r="C89" s="344" t="n">
        <f aca="false">Assumptions!$D$38</f>
        <v>0.045</v>
      </c>
      <c r="D89" s="344" t="n">
        <f aca="false">Assumptions!$D$38</f>
        <v>0.045</v>
      </c>
      <c r="E89" s="344" t="n">
        <f aca="false">Assumptions!$D$38</f>
        <v>0.045</v>
      </c>
      <c r="F89" s="344" t="n">
        <f aca="false">Assumptions!$D$38</f>
        <v>0.045</v>
      </c>
      <c r="G89" s="344" t="n">
        <f aca="false">Assumptions!$D$38</f>
        <v>0.045</v>
      </c>
      <c r="H89" s="344" t="n">
        <f aca="false">Assumptions!$D$38</f>
        <v>0.045</v>
      </c>
      <c r="I89" s="344" t="n">
        <f aca="false">Assumptions!$D$38</f>
        <v>0.045</v>
      </c>
      <c r="J89" s="344" t="n">
        <f aca="false">Assumptions!$D$38</f>
        <v>0.045</v>
      </c>
      <c r="K89" s="344" t="n">
        <f aca="false">Assumptions!$D$38</f>
        <v>0.045</v>
      </c>
      <c r="L89" s="344" t="n">
        <f aca="false">Assumptions!$D$38</f>
        <v>0.045</v>
      </c>
      <c r="M89" s="344" t="n">
        <f aca="false">Assumptions!$D$38</f>
        <v>0.045</v>
      </c>
      <c r="N89" s="344" t="n">
        <f aca="false">Assumptions!$D$38</f>
        <v>0.045</v>
      </c>
      <c r="O89" s="344" t="n">
        <f aca="false">Assumptions!$D$38</f>
        <v>0.045</v>
      </c>
      <c r="P89" s="344" t="n">
        <f aca="false">Assumptions!$D$38</f>
        <v>0.045</v>
      </c>
      <c r="Q89" s="344" t="n">
        <f aca="false">Assumptions!$D$38</f>
        <v>0.045</v>
      </c>
      <c r="R89" s="344" t="n">
        <f aca="false">Assumptions!$D$38</f>
        <v>0.045</v>
      </c>
      <c r="S89" s="344" t="n">
        <f aca="false">Assumptions!$D$38</f>
        <v>0.045</v>
      </c>
      <c r="T89" s="344" t="n">
        <f aca="false">Assumptions!$D$38</f>
        <v>0.045</v>
      </c>
      <c r="U89" s="344" t="n">
        <f aca="false">Assumptions!$D$38</f>
        <v>0.045</v>
      </c>
      <c r="X89" s="351"/>
      <c r="Y89" s="351"/>
      <c r="Z89" s="351"/>
      <c r="AA89" s="351"/>
      <c r="AB89" s="351"/>
      <c r="AC89" s="351"/>
      <c r="AD89" s="351"/>
      <c r="AE89" s="272"/>
      <c r="AF89" s="272"/>
      <c r="AG89" s="272"/>
      <c r="AH89" s="272"/>
      <c r="AI89" s="272"/>
      <c r="AJ89" s="272"/>
      <c r="AK89" s="272"/>
      <c r="AL89" s="272"/>
      <c r="AM89" s="272"/>
      <c r="AN89" s="272"/>
      <c r="AO89" s="272"/>
      <c r="AP89" s="272"/>
      <c r="AQ89" s="272"/>
      <c r="AR89" s="272"/>
      <c r="AS89" s="272"/>
      <c r="AT89" s="272"/>
      <c r="AU89" s="272"/>
      <c r="AV89" s="272"/>
      <c r="AW89" s="272"/>
      <c r="AX89" s="272"/>
      <c r="AY89" s="272"/>
      <c r="AZ89" s="272"/>
      <c r="BA89" s="272"/>
      <c r="BB89" s="272"/>
      <c r="BC89" s="272"/>
      <c r="BD89" s="272"/>
      <c r="BE89" s="272"/>
      <c r="BF89" s="272"/>
      <c r="BG89" s="272"/>
      <c r="BH89" s="272"/>
      <c r="BI89" s="272"/>
      <c r="BJ89" s="272"/>
      <c r="BK89" s="272"/>
      <c r="BL89" s="272"/>
      <c r="BM89" s="272"/>
      <c r="BN89" s="272"/>
      <c r="BO89" s="272"/>
      <c r="BP89" s="272"/>
      <c r="BQ89" s="272"/>
      <c r="BR89" s="272"/>
      <c r="BS89" s="272"/>
      <c r="BT89" s="272"/>
      <c r="BU89" s="272"/>
      <c r="BV89" s="272"/>
      <c r="BW89" s="272"/>
      <c r="BX89" s="272"/>
      <c r="BY89" s="272"/>
      <c r="BZ89" s="272"/>
      <c r="CA89" s="272"/>
      <c r="CB89" s="272"/>
      <c r="CC89" s="272"/>
      <c r="CD89" s="272"/>
      <c r="CE89" s="272"/>
      <c r="CF89" s="272"/>
      <c r="CG89" s="272"/>
      <c r="CH89" s="272"/>
      <c r="CI89" s="272"/>
      <c r="CJ89" s="272"/>
      <c r="CK89" s="272"/>
      <c r="CL89" s="272"/>
      <c r="CM89" s="272"/>
      <c r="CN89" s="272"/>
      <c r="CO89" s="272"/>
      <c r="CP89" s="272"/>
      <c r="CQ89" s="272"/>
      <c r="CR89" s="272"/>
      <c r="CS89" s="272"/>
      <c r="CT89" s="272"/>
      <c r="CU89" s="272"/>
      <c r="CV89" s="272"/>
      <c r="CW89" s="272"/>
      <c r="CX89" s="272"/>
      <c r="CY89" s="272"/>
      <c r="CZ89" s="272"/>
      <c r="DA89" s="272"/>
      <c r="DB89" s="272"/>
      <c r="DC89" s="272"/>
      <c r="DD89" s="272"/>
      <c r="DE89" s="272"/>
      <c r="DF89" s="272"/>
      <c r="DG89" s="272"/>
      <c r="DH89" s="272"/>
      <c r="DI89" s="272"/>
      <c r="DJ89" s="272"/>
      <c r="DK89" s="272"/>
      <c r="DL89" s="272"/>
      <c r="DM89" s="272"/>
      <c r="DN89" s="272"/>
      <c r="DO89" s="272"/>
      <c r="DP89" s="272"/>
      <c r="DQ89" s="272"/>
      <c r="DR89" s="272"/>
      <c r="DS89" s="272"/>
      <c r="DT89" s="272"/>
      <c r="DU89" s="272"/>
      <c r="DV89" s="272"/>
      <c r="DW89" s="272"/>
      <c r="DX89" s="272"/>
      <c r="DY89" s="272"/>
      <c r="DZ89" s="272"/>
      <c r="EA89" s="272"/>
      <c r="EB89" s="272"/>
      <c r="EC89" s="272"/>
      <c r="ED89" s="272"/>
      <c r="EE89" s="272"/>
      <c r="EF89" s="272"/>
      <c r="EG89" s="272"/>
      <c r="EH89" s="272"/>
      <c r="EI89" s="272"/>
      <c r="EJ89" s="272"/>
      <c r="EK89" s="272"/>
      <c r="EL89" s="272"/>
      <c r="EM89" s="272"/>
      <c r="EN89" s="272"/>
      <c r="EO89" s="272"/>
      <c r="EP89" s="272"/>
      <c r="EQ89" s="272"/>
      <c r="ER89" s="272"/>
      <c r="ES89" s="272"/>
      <c r="ET89" s="272"/>
      <c r="EU89" s="272"/>
      <c r="EV89" s="272"/>
      <c r="EW89" s="272"/>
      <c r="EX89" s="272"/>
      <c r="EY89" s="272"/>
      <c r="EZ89" s="272"/>
      <c r="FA89" s="272"/>
      <c r="FB89" s="272"/>
      <c r="FC89" s="272"/>
      <c r="FD89" s="272"/>
      <c r="FE89" s="272"/>
      <c r="FF89" s="272"/>
      <c r="FG89" s="272"/>
      <c r="FH89" s="272"/>
      <c r="FI89" s="272"/>
      <c r="FJ89" s="272"/>
      <c r="FK89" s="272"/>
      <c r="FL89" s="272"/>
      <c r="FM89" s="272"/>
      <c r="FN89" s="272"/>
      <c r="FO89" s="272"/>
      <c r="FP89" s="272"/>
      <c r="FQ89" s="272"/>
      <c r="FR89" s="272"/>
      <c r="FS89" s="272"/>
      <c r="FT89" s="272"/>
      <c r="FU89" s="272"/>
      <c r="FV89" s="272"/>
      <c r="FW89" s="272"/>
      <c r="FX89" s="272"/>
      <c r="FY89" s="272"/>
      <c r="FZ89" s="272"/>
      <c r="GA89" s="272"/>
      <c r="GB89" s="272"/>
      <c r="GC89" s="272"/>
      <c r="GD89" s="272"/>
      <c r="GE89" s="272"/>
      <c r="GF89" s="272"/>
      <c r="GG89" s="272"/>
      <c r="GH89" s="272"/>
      <c r="GI89" s="272"/>
      <c r="GJ89" s="272"/>
      <c r="GK89" s="272"/>
      <c r="GL89" s="272"/>
      <c r="GM89" s="272"/>
      <c r="GN89" s="272"/>
      <c r="GO89" s="272"/>
      <c r="GP89" s="272"/>
      <c r="GQ89" s="272"/>
      <c r="GR89" s="272"/>
      <c r="GS89" s="272"/>
      <c r="GT89" s="272"/>
      <c r="GU89" s="272"/>
      <c r="GV89" s="272"/>
      <c r="GW89" s="272"/>
      <c r="GX89" s="272"/>
      <c r="GY89" s="272"/>
      <c r="GZ89" s="272"/>
      <c r="HA89" s="272"/>
      <c r="HB89" s="272"/>
      <c r="HC89" s="272"/>
      <c r="HD89" s="272"/>
      <c r="HE89" s="272"/>
      <c r="HF89" s="272"/>
      <c r="HG89" s="272"/>
      <c r="HH89" s="272"/>
      <c r="HI89" s="272"/>
      <c r="HJ89" s="272"/>
      <c r="HK89" s="272"/>
      <c r="HL89" s="272"/>
      <c r="HM89" s="272"/>
      <c r="HN89" s="272"/>
      <c r="HO89" s="272"/>
      <c r="HP89" s="272"/>
      <c r="HQ89" s="272"/>
      <c r="HR89" s="272"/>
      <c r="HS89" s="272"/>
      <c r="HT89" s="272"/>
      <c r="HU89" s="272"/>
      <c r="HV89" s="272"/>
      <c r="HW89" s="272"/>
      <c r="HX89" s="272"/>
      <c r="HY89" s="272"/>
      <c r="HZ89" s="272"/>
      <c r="IA89" s="272"/>
      <c r="IB89" s="272"/>
      <c r="IC89" s="272"/>
      <c r="ID89" s="272"/>
      <c r="IE89" s="272"/>
      <c r="IF89" s="272"/>
      <c r="IG89" s="272"/>
      <c r="IH89" s="272"/>
      <c r="II89" s="272"/>
      <c r="IJ89" s="272"/>
      <c r="IK89" s="272"/>
      <c r="IL89" s="272"/>
      <c r="IM89" s="272"/>
      <c r="IN89" s="272"/>
      <c r="IO89" s="272"/>
      <c r="IP89" s="272"/>
      <c r="IQ89" s="272"/>
      <c r="IR89" s="272"/>
      <c r="IS89" s="272"/>
      <c r="IT89" s="272"/>
      <c r="IU89" s="272"/>
      <c r="IV89" s="272"/>
      <c r="IW89" s="272"/>
    </row>
    <row r="90" customFormat="false" ht="12.75" hidden="false" customHeight="false" outlineLevel="0" collapsed="false">
      <c r="A90" s="24" t="s">
        <v>215</v>
      </c>
      <c r="B90" s="172" t="n">
        <f aca="false">B87*B89</f>
        <v>373.352834279059</v>
      </c>
      <c r="C90" s="172" t="n">
        <f aca="false">C87*C89</f>
        <v>3.87661376897971</v>
      </c>
      <c r="D90" s="172" t="n">
        <f aca="false">D87*D89</f>
        <v>172.09176517176</v>
      </c>
      <c r="E90" s="172" t="n">
        <f aca="false">E87*E89</f>
        <v>336.07656254118</v>
      </c>
      <c r="F90" s="172" t="n">
        <f aca="false">F87*F89</f>
        <v>506.911517005727</v>
      </c>
      <c r="G90" s="172" t="n">
        <f aca="false">G87*G89</f>
        <v>613.342733954396</v>
      </c>
      <c r="H90" s="172" t="n">
        <f aca="false">H87*H89</f>
        <v>683.312401202055</v>
      </c>
      <c r="I90" s="172" t="n">
        <f aca="false">I87*I89</f>
        <v>723.351937320026</v>
      </c>
      <c r="J90" s="172" t="n">
        <f aca="false">J87*J89</f>
        <v>774.833792168585</v>
      </c>
      <c r="K90" s="172" t="n">
        <f aca="false">K87*K89</f>
        <v>829.470195648608</v>
      </c>
      <c r="L90" s="172" t="n">
        <f aca="false">L87*L89</f>
        <v>872.825746239854</v>
      </c>
      <c r="M90" s="172" t="n">
        <f aca="false">M87*M89</f>
        <v>937.980802490171</v>
      </c>
      <c r="N90" s="172" t="n">
        <f aca="false">N87*N89</f>
        <v>1007.47924314377</v>
      </c>
      <c r="O90" s="172" t="n">
        <f aca="false">O87*O89</f>
        <v>1074.15660988701</v>
      </c>
      <c r="P90" s="172" t="n">
        <f aca="false">P87*P89</f>
        <v>1143.56803587245</v>
      </c>
      <c r="Q90" s="172" t="n">
        <f aca="false">Q87*Q89</f>
        <v>1506.40284785991</v>
      </c>
      <c r="R90" s="172" t="n">
        <f aca="false">R87*R89</f>
        <v>1872.45706107197</v>
      </c>
      <c r="S90" s="172" t="n">
        <f aca="false">S87*S89</f>
        <v>1948.45182718278</v>
      </c>
      <c r="T90" s="172" t="n">
        <f aca="false">T87*T89</f>
        <v>2018.0918639395</v>
      </c>
      <c r="U90" s="172" t="n">
        <f aca="false">U87*U89</f>
        <v>2088.0016546702</v>
      </c>
    </row>
    <row r="91" customFormat="false" ht="12.75" hidden="false" customHeight="false" outlineLevel="0" collapsed="false">
      <c r="A91" s="24"/>
      <c r="B91" s="172"/>
      <c r="C91" s="172"/>
      <c r="D91" s="172"/>
      <c r="E91" s="172"/>
      <c r="F91" s="172"/>
      <c r="G91" s="172"/>
      <c r="H91" s="172"/>
      <c r="I91" s="172"/>
      <c r="J91" s="172"/>
      <c r="K91" s="172"/>
      <c r="L91" s="172"/>
      <c r="M91" s="172"/>
      <c r="N91" s="172"/>
      <c r="O91" s="172"/>
      <c r="P91" s="172"/>
      <c r="Q91" s="172"/>
      <c r="R91" s="172"/>
      <c r="S91" s="172"/>
      <c r="T91" s="172"/>
      <c r="U91" s="172"/>
    </row>
    <row r="92" customFormat="false" ht="12.75" hidden="false" customHeight="false" outlineLevel="0" collapsed="false">
      <c r="A92" s="24" t="s">
        <v>216</v>
      </c>
      <c r="B92" s="172" t="n">
        <v>0</v>
      </c>
      <c r="C92" s="172" t="n">
        <f aca="false">B96</f>
        <v>0</v>
      </c>
      <c r="D92" s="172" t="n">
        <f aca="false">C96</f>
        <v>0</v>
      </c>
      <c r="E92" s="172" t="n">
        <f aca="false">D96</f>
        <v>0</v>
      </c>
      <c r="F92" s="172" t="n">
        <f aca="false">E96</f>
        <v>0</v>
      </c>
      <c r="G92" s="172" t="n">
        <f aca="false">F96</f>
        <v>0</v>
      </c>
      <c r="H92" s="172" t="n">
        <f aca="false">G96</f>
        <v>0</v>
      </c>
      <c r="I92" s="172" t="n">
        <f aca="false">H96</f>
        <v>0</v>
      </c>
      <c r="J92" s="172" t="n">
        <f aca="false">I96</f>
        <v>0</v>
      </c>
      <c r="K92" s="172" t="n">
        <f aca="false">J96</f>
        <v>0</v>
      </c>
      <c r="L92" s="172" t="n">
        <f aca="false">K96</f>
        <v>0</v>
      </c>
      <c r="M92" s="172" t="n">
        <f aca="false">L96</f>
        <v>0</v>
      </c>
      <c r="N92" s="172" t="n">
        <f aca="false">M96</f>
        <v>0</v>
      </c>
      <c r="O92" s="172" t="n">
        <f aca="false">N96</f>
        <v>0</v>
      </c>
      <c r="P92" s="172" t="n">
        <f aca="false">O96</f>
        <v>0</v>
      </c>
      <c r="Q92" s="172" t="n">
        <f aca="false">P96</f>
        <v>0</v>
      </c>
      <c r="R92" s="172" t="n">
        <v>0</v>
      </c>
      <c r="S92" s="172" t="n">
        <f aca="false">R96</f>
        <v>0</v>
      </c>
      <c r="T92" s="172" t="n">
        <f aca="false">S96</f>
        <v>0</v>
      </c>
      <c r="U92" s="172" t="n">
        <f aca="false">T96</f>
        <v>0</v>
      </c>
    </row>
    <row r="93" customFormat="false" ht="12.75" hidden="false" customHeight="false" outlineLevel="0" collapsed="false">
      <c r="A93" s="24" t="s">
        <v>217</v>
      </c>
      <c r="B93" s="172" t="n">
        <f aca="false">IF(B62&gt;2020,0,IF(B90&lt;0,-B90,0))</f>
        <v>0</v>
      </c>
      <c r="C93" s="172" t="n">
        <f aca="false">IF(C62&gt;2020,0,IF(C90&lt;0,-C90,0))</f>
        <v>0</v>
      </c>
      <c r="D93" s="172" t="n">
        <f aca="false">IF(D62&gt;2020,0,IF(D90&lt;0,-D90,0))</f>
        <v>0</v>
      </c>
      <c r="E93" s="172" t="n">
        <f aca="false">IF(E62&gt;2020,0,IF(E90&lt;0,-E90,0))</f>
        <v>0</v>
      </c>
      <c r="F93" s="172" t="n">
        <f aca="false">IF(F62&gt;2020,0,IF(F90&lt;0,-F90,0))</f>
        <v>0</v>
      </c>
      <c r="G93" s="172" t="n">
        <f aca="false">IF(G62&gt;2020,0,IF(G90&lt;0,-G90,0))</f>
        <v>0</v>
      </c>
      <c r="H93" s="172" t="n">
        <f aca="false">IF(H62&gt;2020,0,IF(H90&lt;0,-H90,0))</f>
        <v>0</v>
      </c>
      <c r="I93" s="172" t="n">
        <f aca="false">IF(I62&gt;2020,0,IF(I90&lt;0,-I90,0))</f>
        <v>0</v>
      </c>
      <c r="J93" s="172" t="n">
        <f aca="false">IF(J62&gt;2020,0,IF(J90&lt;0,-J90,0))</f>
        <v>0</v>
      </c>
      <c r="K93" s="172" t="n">
        <f aca="false">IF(K62&gt;2020,0,IF(K90&lt;0,-K90,0))</f>
        <v>0</v>
      </c>
      <c r="L93" s="172" t="n">
        <f aca="false">IF(L62&gt;2020,0,IF(L90&lt;0,-L90,0))</f>
        <v>0</v>
      </c>
      <c r="M93" s="172" t="n">
        <f aca="false">IF(M62&gt;2020,0,IF(M90&lt;0,-M90,0))</f>
        <v>0</v>
      </c>
      <c r="N93" s="172" t="n">
        <f aca="false">IF(N62&gt;2020,0,IF(N90&lt;0,-N90,0))</f>
        <v>0</v>
      </c>
      <c r="O93" s="172" t="n">
        <f aca="false">IF(O62&gt;2020,0,IF(O90&lt;0,-O90,0))</f>
        <v>0</v>
      </c>
      <c r="P93" s="172" t="n">
        <f aca="false">IF(P62&gt;2020,0,IF(P90&lt;0,-P90,0))</f>
        <v>0</v>
      </c>
      <c r="Q93" s="172" t="n">
        <f aca="false">IF(Q62&gt;2020,0,IF(Q90&lt;0,-Q90,0))</f>
        <v>0</v>
      </c>
      <c r="R93" s="172" t="n">
        <f aca="false">IF(R62&gt;2020,0,IF(R90&lt;0,-R90,0))</f>
        <v>0</v>
      </c>
      <c r="S93" s="172" t="n">
        <f aca="false">IF(S62&gt;2020,0,IF(S90&lt;0,-S90,0))</f>
        <v>0</v>
      </c>
      <c r="T93" s="172" t="n">
        <f aca="false">IF(T62&gt;2020,0,IF(T90&lt;0,-T90,0))</f>
        <v>0</v>
      </c>
      <c r="U93" s="172" t="n">
        <f aca="false">IF(U62&gt;2020,0,IF(U90&lt;0,-U90,0))</f>
        <v>0</v>
      </c>
    </row>
    <row r="94" customFormat="false" ht="12.75" hidden="false" customHeight="false" outlineLevel="0" collapsed="false">
      <c r="A94" s="24" t="s">
        <v>218</v>
      </c>
      <c r="B94" s="345" t="n">
        <v>0</v>
      </c>
      <c r="C94" s="345" t="n">
        <v>0</v>
      </c>
      <c r="D94" s="345" t="n">
        <v>0</v>
      </c>
      <c r="E94" s="345" t="n">
        <v>0</v>
      </c>
      <c r="F94" s="345" t="n">
        <v>0</v>
      </c>
      <c r="G94" s="345" t="n">
        <v>0</v>
      </c>
      <c r="H94" s="345" t="n">
        <v>0</v>
      </c>
      <c r="I94" s="345" t="n">
        <v>0</v>
      </c>
      <c r="J94" s="345" t="n">
        <v>0</v>
      </c>
      <c r="K94" s="345" t="n">
        <v>0</v>
      </c>
      <c r="L94" s="345" t="n">
        <v>0</v>
      </c>
      <c r="M94" s="345" t="n">
        <v>0</v>
      </c>
      <c r="N94" s="345" t="n">
        <v>0</v>
      </c>
      <c r="O94" s="345" t="n">
        <v>0</v>
      </c>
      <c r="P94" s="345" t="n">
        <v>0</v>
      </c>
      <c r="Q94" s="345" t="n">
        <v>0</v>
      </c>
      <c r="R94" s="345" t="n">
        <v>0</v>
      </c>
      <c r="S94" s="345" t="n">
        <v>0</v>
      </c>
      <c r="T94" s="172" t="n">
        <f aca="false">IF(L93&gt;(SUM(M95:S95)+SUM(L94:S94))*-1,L93-(SUM(L95:S95)+SUM(L94:S94))*-1,0)</f>
        <v>0</v>
      </c>
      <c r="U94" s="172" t="n">
        <f aca="false">IF(M93&gt;(SUM(N95:T95)+SUM(M94:T94))*-1,M93-(SUM(M95:T95)+SUM(M94:T94))*-1,0)</f>
        <v>0</v>
      </c>
    </row>
    <row r="95" customFormat="false" ht="12.75" hidden="false" customHeight="false" outlineLevel="0" collapsed="false">
      <c r="A95" s="12" t="s">
        <v>191</v>
      </c>
      <c r="B95" s="197" t="n">
        <f aca="false">IF(B90&lt;0,0,IF(B92&gt;B90,-B90,-B92))</f>
        <v>-0</v>
      </c>
      <c r="C95" s="197" t="n">
        <f aca="false">IF(C90&lt;0,0,IF(C92&gt;C90,-C90,-C92))</f>
        <v>-0</v>
      </c>
      <c r="D95" s="197" t="n">
        <f aca="false">IF(D90&lt;0,0,IF(D92&gt;D90,-D90,-D92))</f>
        <v>-0</v>
      </c>
      <c r="E95" s="197" t="n">
        <f aca="false">IF(E90&lt;0,0,IF(E92&gt;E90,-E90,-E92))</f>
        <v>-0</v>
      </c>
      <c r="F95" s="197" t="n">
        <f aca="false">IF(F90&lt;0,0,IF(F92&gt;F90,-F90,-F92))</f>
        <v>-0</v>
      </c>
      <c r="G95" s="197" t="n">
        <f aca="false">IF(G90&lt;0,0,IF(G92&gt;G90,-G90,-G92))</f>
        <v>-0</v>
      </c>
      <c r="H95" s="197" t="n">
        <f aca="false">IF(H90&lt;0,0,IF(H92&gt;H90,-H90,-H92))</f>
        <v>-0</v>
      </c>
      <c r="I95" s="197" t="n">
        <f aca="false">IF(I90&lt;0,0,IF(I92&gt;I90,-I90,-I92))</f>
        <v>-0</v>
      </c>
      <c r="J95" s="197" t="n">
        <f aca="false">IF(J90&lt;0,0,IF(J92&gt;J90,-J90,-J92))</f>
        <v>-0</v>
      </c>
      <c r="K95" s="197" t="n">
        <f aca="false">IF(K90&lt;0,0,IF(K92&gt;K90,-K90,-K92))</f>
        <v>-0</v>
      </c>
      <c r="L95" s="197" t="n">
        <f aca="false">IF(L90&lt;0,0,IF(L92&gt;L90,-L90,-L92))</f>
        <v>-0</v>
      </c>
      <c r="M95" s="197" t="n">
        <f aca="false">IF(M90&lt;0,0,IF(M92&gt;M90,-M90,-M92))</f>
        <v>-0</v>
      </c>
      <c r="N95" s="197" t="n">
        <f aca="false">IF(N90&lt;0,0,IF(N92&gt;N90,-N90,-N92))</f>
        <v>-0</v>
      </c>
      <c r="O95" s="197" t="n">
        <f aca="false">IF(O90&lt;0,0,IF(O92&gt;O90,-O90,-O92))</f>
        <v>-0</v>
      </c>
      <c r="P95" s="197" t="n">
        <f aca="false">IF(P90&lt;0,0,IF(P92&gt;P90,-P90,-P92))</f>
        <v>-0</v>
      </c>
      <c r="Q95" s="197" t="n">
        <f aca="false">IF(Q90&lt;0,0,IF(Q92&gt;Q90,-Q90,-Q92))</f>
        <v>-0</v>
      </c>
      <c r="R95" s="197" t="n">
        <f aca="false">IF(R90&lt;0,0,IF(R92&gt;R90,-R90,-R92))</f>
        <v>-0</v>
      </c>
      <c r="S95" s="197" t="n">
        <f aca="false">IF(S90&lt;0,0,IF(S92&gt;S90,-S90,-S92))</f>
        <v>-0</v>
      </c>
      <c r="T95" s="197" t="n">
        <f aca="false">IF(T90&lt;0,0,IF(T92&gt;T90,-T90,-T92))</f>
        <v>-0</v>
      </c>
      <c r="U95" s="197" t="n">
        <f aca="false">IF(U90&lt;0,0,IF(U92&gt;U90,-U90,-U92))</f>
        <v>-0</v>
      </c>
    </row>
    <row r="96" customFormat="false" ht="12.75" hidden="false" customHeight="false" outlineLevel="0" collapsed="false">
      <c r="A96" s="12" t="s">
        <v>219</v>
      </c>
      <c r="B96" s="197" t="n">
        <f aca="false">SUM(B92:B95)</f>
        <v>0</v>
      </c>
      <c r="C96" s="197" t="n">
        <f aca="false">SUM(C92:C95)</f>
        <v>0</v>
      </c>
      <c r="D96" s="197" t="n">
        <f aca="false">SUM(D92:D95)</f>
        <v>0</v>
      </c>
      <c r="E96" s="197" t="n">
        <f aca="false">SUM(E92:E95)</f>
        <v>0</v>
      </c>
      <c r="F96" s="197" t="n">
        <f aca="false">SUM(F92:F95)</f>
        <v>0</v>
      </c>
      <c r="G96" s="197" t="n">
        <f aca="false">SUM(G92:G95)</f>
        <v>0</v>
      </c>
      <c r="H96" s="197" t="n">
        <f aca="false">SUM(H92:H95)</f>
        <v>0</v>
      </c>
      <c r="I96" s="197" t="n">
        <f aca="false">SUM(I92:I95)</f>
        <v>0</v>
      </c>
      <c r="J96" s="197" t="n">
        <f aca="false">SUM(J92:J95)</f>
        <v>0</v>
      </c>
      <c r="K96" s="197" t="n">
        <f aca="false">SUM(K92:K95)</f>
        <v>0</v>
      </c>
      <c r="L96" s="197" t="n">
        <f aca="false">SUM(L92:L95)</f>
        <v>0</v>
      </c>
      <c r="M96" s="197" t="n">
        <f aca="false">SUM(M92:M95)</f>
        <v>0</v>
      </c>
      <c r="N96" s="197" t="n">
        <f aca="false">SUM(N92:N95)</f>
        <v>0</v>
      </c>
      <c r="O96" s="197" t="n">
        <f aca="false">SUM(O92:O95)</f>
        <v>0</v>
      </c>
      <c r="P96" s="197" t="n">
        <f aca="false">SUM(P92:P95)</f>
        <v>0</v>
      </c>
      <c r="Q96" s="197" t="n">
        <f aca="false">SUM(Q92:Q95)</f>
        <v>0</v>
      </c>
      <c r="R96" s="197" t="n">
        <f aca="false">SUM(R92:R95)</f>
        <v>0</v>
      </c>
      <c r="S96" s="197" t="n">
        <f aca="false">SUM(S92:S95)</f>
        <v>0</v>
      </c>
      <c r="T96" s="197" t="n">
        <f aca="false">SUM(T92:T95)</f>
        <v>0</v>
      </c>
      <c r="U96" s="197" t="n">
        <f aca="false">SUM(U92:U95)</f>
        <v>0</v>
      </c>
    </row>
    <row r="97" customFormat="false" ht="12.75" hidden="false" customHeight="false" outlineLevel="0" collapsed="false">
      <c r="A97" s="12"/>
      <c r="B97" s="172"/>
      <c r="C97" s="172"/>
      <c r="D97" s="172"/>
      <c r="E97" s="172"/>
      <c r="F97" s="172"/>
      <c r="G97" s="172"/>
      <c r="H97" s="172"/>
      <c r="I97" s="172"/>
      <c r="J97" s="172"/>
      <c r="K97" s="172"/>
      <c r="L97" s="172"/>
      <c r="M97" s="172"/>
      <c r="N97" s="172"/>
      <c r="O97" s="172"/>
      <c r="P97" s="172"/>
      <c r="Q97" s="172"/>
      <c r="R97" s="172"/>
      <c r="S97" s="172"/>
      <c r="T97" s="172"/>
      <c r="U97" s="172"/>
    </row>
    <row r="98" customFormat="false" ht="13.5" hidden="false" customHeight="false" outlineLevel="0" collapsed="false">
      <c r="A98" s="40" t="s">
        <v>181</v>
      </c>
      <c r="B98" s="311" t="n">
        <f aca="false">IF(B90&lt;0,0,B90+B95)</f>
        <v>373.352834279059</v>
      </c>
      <c r="C98" s="311" t="n">
        <f aca="false">IF(C90&lt;0,0,C90+C95)</f>
        <v>3.87661376897971</v>
      </c>
      <c r="D98" s="311" t="n">
        <f aca="false">IF(D90&lt;0,0,D90+D95)</f>
        <v>172.09176517176</v>
      </c>
      <c r="E98" s="311" t="n">
        <f aca="false">IF(E90&lt;0,0,E90+E95)</f>
        <v>336.07656254118</v>
      </c>
      <c r="F98" s="311" t="n">
        <f aca="false">IF(F90&lt;0,0,F90+F95)</f>
        <v>506.911517005727</v>
      </c>
      <c r="G98" s="311" t="n">
        <f aca="false">IF(G90&lt;0,0,G90+G95)</f>
        <v>613.342733954396</v>
      </c>
      <c r="H98" s="311" t="n">
        <f aca="false">IF(H90&lt;0,0,H90+H95)</f>
        <v>683.312401202055</v>
      </c>
      <c r="I98" s="311" t="n">
        <f aca="false">IF(I90&lt;0,0,I90+I95)</f>
        <v>723.351937320026</v>
      </c>
      <c r="J98" s="311" t="n">
        <f aca="false">IF(J90&lt;0,0,J90+J95)</f>
        <v>774.833792168585</v>
      </c>
      <c r="K98" s="311" t="n">
        <f aca="false">IF(K90&lt;0,0,K90+K95)</f>
        <v>829.470195648608</v>
      </c>
      <c r="L98" s="311" t="n">
        <f aca="false">IF(L90&lt;0,0,L90+L95)</f>
        <v>872.825746239854</v>
      </c>
      <c r="M98" s="311" t="n">
        <f aca="false">IF(M90&lt;0,0,M90+M95)</f>
        <v>937.980802490171</v>
      </c>
      <c r="N98" s="311" t="n">
        <f aca="false">IF(N90&lt;0,0,N90+N95)</f>
        <v>1007.47924314377</v>
      </c>
      <c r="O98" s="311" t="n">
        <f aca="false">IF(O90&lt;0,0,O90+O95)</f>
        <v>1074.15660988701</v>
      </c>
      <c r="P98" s="311" t="n">
        <f aca="false">IF(P90&lt;0,0,P90+P95)</f>
        <v>1143.56803587245</v>
      </c>
      <c r="Q98" s="311" t="n">
        <f aca="false">IF(Q90&lt;0,0,Q90+Q95)</f>
        <v>1506.40284785991</v>
      </c>
      <c r="R98" s="311" t="n">
        <f aca="false">IF(R90&lt;0,0,R90+R95)</f>
        <v>1872.45706107197</v>
      </c>
      <c r="S98" s="311" t="n">
        <f aca="false">IF(S90&lt;0,0,S90+S95)</f>
        <v>1948.45182718278</v>
      </c>
      <c r="T98" s="311" t="n">
        <f aca="false">IF(T90&lt;0,0,T90+T95)</f>
        <v>2018.0918639395</v>
      </c>
      <c r="U98" s="311" t="n">
        <f aca="false">IF(U90&lt;0,0,U90+U95)</f>
        <v>2088.0016546702</v>
      </c>
      <c r="W98" s="170" t="n">
        <f aca="false">SUM(B98:U98)</f>
        <v>19486.036045418</v>
      </c>
    </row>
    <row r="99" customFormat="false" ht="13.5" hidden="false" customHeight="false" outlineLevel="0" collapsed="false">
      <c r="A99" s="363"/>
      <c r="B99" s="241"/>
      <c r="C99" s="241"/>
      <c r="D99" s="172"/>
      <c r="E99" s="172"/>
      <c r="F99" s="172"/>
      <c r="G99" s="172"/>
      <c r="H99" s="172"/>
      <c r="I99" s="172"/>
      <c r="J99" s="172"/>
      <c r="K99" s="172"/>
      <c r="L99" s="172"/>
      <c r="M99" s="172"/>
      <c r="N99" s="172"/>
      <c r="O99" s="172"/>
      <c r="P99" s="172"/>
      <c r="Q99" s="172"/>
      <c r="R99" s="172"/>
      <c r="S99" s="172"/>
      <c r="T99" s="172"/>
      <c r="U99" s="172"/>
    </row>
    <row r="100" customFormat="false" ht="13.5" hidden="false" customHeight="false" outlineLevel="0" collapsed="false">
      <c r="A100" s="40" t="s">
        <v>230</v>
      </c>
      <c r="B100" s="311" t="n">
        <f aca="false">B79+B98</f>
        <v>802.744596817566</v>
      </c>
      <c r="C100" s="311" t="n">
        <f aca="false">C79+C98</f>
        <v>485.540212692667</v>
      </c>
      <c r="D100" s="311" t="n">
        <f aca="false">D79+D98</f>
        <v>710.882352918574</v>
      </c>
      <c r="E100" s="311" t="n">
        <f aca="false">E79+E98</f>
        <v>936.163019340078</v>
      </c>
      <c r="F100" s="311" t="n">
        <f aca="false">F79+F98</f>
        <v>1179.36163528302</v>
      </c>
      <c r="G100" s="311" t="n">
        <f aca="false">G79+G98</f>
        <v>1314.651515436</v>
      </c>
      <c r="H100" s="311" t="n">
        <f aca="false">H79+H98</f>
        <v>1413.18216601427</v>
      </c>
      <c r="I100" s="311" t="n">
        <f aca="false">I79+I98</f>
        <v>1484.21031086013</v>
      </c>
      <c r="J100" s="311" t="n">
        <f aca="false">J79+J98</f>
        <v>1573.85305237774</v>
      </c>
      <c r="K100" s="311" t="n">
        <f aca="false">K79+K98</f>
        <v>1670.50680881475</v>
      </c>
      <c r="L100" s="311" t="n">
        <f aca="false">L79+L98</f>
        <v>1745.8833717473</v>
      </c>
      <c r="M100" s="311" t="n">
        <f aca="false">M79+M98</f>
        <v>1861.00320749216</v>
      </c>
      <c r="N100" s="311" t="n">
        <f aca="false">N79+N98</f>
        <v>1982.27506631195</v>
      </c>
      <c r="O100" s="311" t="n">
        <f aca="false">O79+O98</f>
        <v>2100.06740269995</v>
      </c>
      <c r="P100" s="311" t="n">
        <f aca="false">P79+P98</f>
        <v>2221.18650243563</v>
      </c>
      <c r="Q100" s="311" t="n">
        <f aca="false">Q79+Q98</f>
        <v>2640.89131460475</v>
      </c>
      <c r="R100" s="311" t="n">
        <f aca="false">R79+R98</f>
        <v>3066.24796447929</v>
      </c>
      <c r="S100" s="311" t="n">
        <f aca="false">S79+S98</f>
        <v>3199.66099831827</v>
      </c>
      <c r="T100" s="311" t="n">
        <f aca="false">T79+T98</f>
        <v>3321.91795173562</v>
      </c>
      <c r="U100" s="311" t="n">
        <f aca="false">U79+U98</f>
        <v>3444.64847324063</v>
      </c>
      <c r="W100" s="170" t="n">
        <f aca="false">SUM(B100:U100)</f>
        <v>37154.8779236204</v>
      </c>
    </row>
    <row r="101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&amp;L&amp;12Enron's Generation&amp;RCONFIDENTIAL</oddHeader>
    <oddFooter>&amp;L&amp;D&amp;C&amp;F&amp;RPage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91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1" ySplit="5" topLeftCell="B6" activePane="bottomRight" state="frozen"/>
      <selection pane="topLeft" activeCell="A1" activeCellId="0" sqref="A1"/>
      <selection pane="topRight" activeCell="B1" activeCellId="0" sqref="B1"/>
      <selection pane="bottomLeft" activeCell="A6" activeCellId="0" sqref="A6"/>
      <selection pane="bottomRight" activeCell="B6" activeCellId="0" sqref="B6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4" width="47.28"/>
    <col collapsed="false" customWidth="true" hidden="false" outlineLevel="0" max="21" min="2" style="4" width="10.71"/>
    <col collapsed="false" customWidth="false" hidden="false" outlineLevel="0" max="22" min="22" style="93" width="9.14"/>
    <col collapsed="false" customWidth="true" hidden="false" outlineLevel="0" max="23" min="23" style="93" width="11.42"/>
    <col collapsed="false" customWidth="false" hidden="false" outlineLevel="0" max="257" min="24" style="93" width="9.14"/>
  </cols>
  <sheetData>
    <row r="1" customFormat="false" ht="12.75" hidden="false" customHeight="false" outlineLevel="0" collapsed="false">
      <c r="E1" s="172"/>
      <c r="F1" s="172"/>
      <c r="G1" s="172"/>
      <c r="H1" s="172"/>
      <c r="I1" s="172"/>
      <c r="J1" s="172"/>
      <c r="K1" s="172"/>
      <c r="L1" s="172"/>
      <c r="M1" s="172"/>
      <c r="N1" s="172"/>
      <c r="O1" s="172"/>
      <c r="P1" s="172"/>
      <c r="Q1" s="172"/>
      <c r="R1" s="172"/>
      <c r="S1" s="172"/>
      <c r="T1" s="172"/>
      <c r="U1" s="172"/>
    </row>
    <row r="2" customFormat="false" ht="18" hidden="false" customHeight="false" outlineLevel="0" collapsed="false">
      <c r="A2" s="149" t="s">
        <v>231</v>
      </c>
      <c r="B2" s="312"/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  <c r="P2" s="153"/>
      <c r="Q2" s="153"/>
      <c r="R2" s="153"/>
      <c r="S2" s="153"/>
      <c r="T2" s="153"/>
      <c r="U2" s="153"/>
    </row>
    <row r="5" customFormat="false" ht="13.5" hidden="false" customHeight="false" outlineLevel="0" collapsed="false">
      <c r="A5" s="154" t="s">
        <v>103</v>
      </c>
      <c r="B5" s="155" t="n">
        <v>2001</v>
      </c>
      <c r="C5" s="155" t="n">
        <v>2002</v>
      </c>
      <c r="D5" s="155" t="n">
        <v>2003</v>
      </c>
      <c r="E5" s="155" t="n">
        <v>2004</v>
      </c>
      <c r="F5" s="155" t="n">
        <v>2005</v>
      </c>
      <c r="G5" s="155" t="n">
        <v>2006</v>
      </c>
      <c r="H5" s="155" t="n">
        <v>2007</v>
      </c>
      <c r="I5" s="155" t="n">
        <v>2008</v>
      </c>
      <c r="J5" s="155" t="n">
        <v>2009</v>
      </c>
      <c r="K5" s="155" t="n">
        <v>2010</v>
      </c>
      <c r="L5" s="155" t="n">
        <v>2011</v>
      </c>
      <c r="M5" s="155" t="n">
        <v>2012</v>
      </c>
      <c r="N5" s="155" t="n">
        <v>2013</v>
      </c>
      <c r="O5" s="155" t="n">
        <v>2014</v>
      </c>
      <c r="P5" s="155" t="n">
        <v>2015</v>
      </c>
      <c r="Q5" s="155" t="n">
        <v>2016</v>
      </c>
      <c r="R5" s="155" t="n">
        <v>2017</v>
      </c>
      <c r="S5" s="155" t="n">
        <v>2018</v>
      </c>
      <c r="T5" s="155" t="n">
        <v>2019</v>
      </c>
      <c r="U5" s="155" t="n">
        <v>2020</v>
      </c>
    </row>
    <row r="6" customFormat="false" ht="12.75" hidden="false" customHeight="false" outlineLevel="0" collapsed="false">
      <c r="A6" s="159"/>
      <c r="B6" s="160"/>
      <c r="C6" s="160"/>
      <c r="D6" s="160"/>
      <c r="E6" s="160"/>
      <c r="F6" s="160"/>
      <c r="G6" s="160"/>
      <c r="H6" s="160"/>
      <c r="I6" s="160"/>
      <c r="J6" s="160"/>
      <c r="K6" s="160"/>
      <c r="L6" s="160"/>
      <c r="M6" s="160"/>
      <c r="N6" s="160"/>
      <c r="O6" s="160"/>
      <c r="P6" s="160"/>
      <c r="Q6" s="160"/>
      <c r="R6" s="160"/>
      <c r="S6" s="160"/>
      <c r="T6" s="160"/>
      <c r="U6" s="160"/>
    </row>
    <row r="7" customFormat="false" ht="12.75" hidden="false" customHeight="false" outlineLevel="0" collapsed="false">
      <c r="A7" s="163" t="s">
        <v>104</v>
      </c>
      <c r="B7" s="152"/>
      <c r="C7" s="152"/>
      <c r="D7" s="152"/>
      <c r="E7" s="152"/>
      <c r="F7" s="152"/>
      <c r="G7" s="152"/>
      <c r="H7" s="152"/>
      <c r="I7" s="152"/>
      <c r="J7" s="152"/>
      <c r="K7" s="152"/>
      <c r="L7" s="152"/>
      <c r="M7" s="152"/>
      <c r="N7" s="152"/>
      <c r="O7" s="152"/>
      <c r="P7" s="152"/>
      <c r="Q7" s="152"/>
      <c r="R7" s="152"/>
      <c r="S7" s="152"/>
      <c r="T7" s="152"/>
      <c r="U7" s="152"/>
      <c r="V7" s="313"/>
      <c r="W7" s="313"/>
      <c r="X7" s="313"/>
      <c r="Y7" s="157" t="n">
        <f aca="false">SUM(Z7:AS7)-SUM(Z8:AS8)</f>
        <v>0</v>
      </c>
      <c r="Z7" s="158" t="n">
        <f aca="false">B10</f>
        <v>4330.12</v>
      </c>
      <c r="AA7" s="158" t="n">
        <f aca="false">C10</f>
        <v>4460.0236</v>
      </c>
      <c r="AB7" s="158" t="n">
        <f aca="false">D10</f>
        <v>4593.824308</v>
      </c>
      <c r="AC7" s="158" t="n">
        <f aca="false">E10</f>
        <v>4731.63903724</v>
      </c>
      <c r="AD7" s="158" t="n">
        <f aca="false">F10</f>
        <v>4873.5882083572</v>
      </c>
      <c r="AE7" s="158" t="n">
        <f aca="false">G10</f>
        <v>5019.79585460792</v>
      </c>
      <c r="AF7" s="158" t="n">
        <f aca="false">H10</f>
        <v>5170.38973024616</v>
      </c>
      <c r="AG7" s="158" t="n">
        <f aca="false">I10</f>
        <v>5325.50142215354</v>
      </c>
      <c r="AH7" s="158" t="n">
        <f aca="false">J10</f>
        <v>5485.26646481815</v>
      </c>
      <c r="AI7" s="158" t="n">
        <f aca="false">K10</f>
        <v>5649.82445876269</v>
      </c>
      <c r="AJ7" s="158" t="n">
        <f aca="false">L10</f>
        <v>5819.31919252557</v>
      </c>
      <c r="AK7" s="158" t="n">
        <f aca="false">M10</f>
        <v>5993.89876830134</v>
      </c>
      <c r="AL7" s="158" t="n">
        <f aca="false">N10</f>
        <v>6173.71573135038</v>
      </c>
      <c r="AM7" s="158" t="n">
        <f aca="false">O10</f>
        <v>6358.92720329089</v>
      </c>
      <c r="AN7" s="158" t="n">
        <f aca="false">P10</f>
        <v>6549.69501938962</v>
      </c>
      <c r="AO7" s="158" t="n">
        <f aca="false">Q10</f>
        <v>6746.18586997131</v>
      </c>
      <c r="AP7" s="158" t="n">
        <f aca="false">R10</f>
        <v>6948.57144607044</v>
      </c>
      <c r="AQ7" s="158" t="n">
        <f aca="false">S10</f>
        <v>7157.02858945256</v>
      </c>
      <c r="AR7" s="158" t="n">
        <f aca="false">T10</f>
        <v>7371.73944713614</v>
      </c>
      <c r="AS7" s="158" t="n">
        <f aca="false">U10</f>
        <v>7592.89163055022</v>
      </c>
    </row>
    <row r="8" customFormat="false" ht="12.75" hidden="false" customHeight="false" outlineLevel="0" collapsed="false">
      <c r="A8" s="165" t="s">
        <v>105</v>
      </c>
      <c r="E8" s="152"/>
      <c r="F8" s="152"/>
      <c r="G8" s="152"/>
      <c r="H8" s="152"/>
      <c r="I8" s="152"/>
      <c r="J8" s="152"/>
      <c r="K8" s="152"/>
      <c r="L8" s="152"/>
      <c r="M8" s="152"/>
      <c r="N8" s="152"/>
      <c r="O8" s="152"/>
      <c r="P8" s="152"/>
      <c r="Q8" s="152"/>
      <c r="R8" s="152"/>
      <c r="S8" s="152"/>
      <c r="T8" s="152"/>
      <c r="U8" s="152"/>
      <c r="W8" s="164"/>
      <c r="X8" s="1"/>
      <c r="Y8" s="314" t="n">
        <v>0</v>
      </c>
      <c r="Z8" s="315" t="n">
        <f aca="false">B17+1/3*B18</f>
        <v>4330.12</v>
      </c>
      <c r="AA8" s="315" t="n">
        <f aca="false">C17+1/3*C18</f>
        <v>4460.0236</v>
      </c>
      <c r="AB8" s="315" t="n">
        <f aca="false">D17+1/3*D18</f>
        <v>4593.824308</v>
      </c>
      <c r="AC8" s="315" t="n">
        <f aca="false">E17+1/3*E18</f>
        <v>4731.63903724</v>
      </c>
      <c r="AD8" s="315" t="n">
        <f aca="false">F17+1/3*F18</f>
        <v>4873.5882083572</v>
      </c>
      <c r="AE8" s="315" t="n">
        <f aca="false">G17+1/3*G18</f>
        <v>5019.79585460792</v>
      </c>
      <c r="AF8" s="315" t="n">
        <f aca="false">H17+1/3*H18</f>
        <v>5170.38973024616</v>
      </c>
      <c r="AG8" s="315" t="n">
        <f aca="false">I17+1/3*I18</f>
        <v>5325.50142215354</v>
      </c>
      <c r="AH8" s="315" t="n">
        <f aca="false">J17+1/3*J18</f>
        <v>5485.26646481815</v>
      </c>
      <c r="AI8" s="315" t="n">
        <f aca="false">K17+1/3*K18</f>
        <v>5649.82445876269</v>
      </c>
      <c r="AJ8" s="315" t="n">
        <f aca="false">L17+1/3*L18</f>
        <v>5819.31919252557</v>
      </c>
      <c r="AK8" s="315" t="n">
        <f aca="false">M17+1/3*M18</f>
        <v>5993.89876830134</v>
      </c>
      <c r="AL8" s="315" t="n">
        <f aca="false">N17+1/3*N18</f>
        <v>6173.71573135038</v>
      </c>
      <c r="AM8" s="315" t="n">
        <f aca="false">O17+1/3*O18</f>
        <v>6358.92720329089</v>
      </c>
      <c r="AN8" s="315" t="n">
        <f aca="false">P17+1/3*P18</f>
        <v>6549.69501938962</v>
      </c>
      <c r="AO8" s="315" t="n">
        <f aca="false">Q17+1/3*Q18</f>
        <v>6746.18586997131</v>
      </c>
      <c r="AP8" s="315" t="n">
        <f aca="false">R17+1/3*R18</f>
        <v>6948.57144607044</v>
      </c>
      <c r="AQ8" s="315" t="n">
        <f aca="false">S17+1/3*S18</f>
        <v>7157.02858945256</v>
      </c>
      <c r="AR8" s="315" t="n">
        <f aca="false">T17+1/3*T18</f>
        <v>7371.73944713614</v>
      </c>
      <c r="AS8" s="315" t="n">
        <f aca="false">U17+1/3*U18</f>
        <v>7592.89163055022</v>
      </c>
    </row>
    <row r="9" customFormat="false" ht="12.75" hidden="false" customHeight="false" outlineLevel="0" collapsed="false">
      <c r="A9" s="169" t="s">
        <v>106</v>
      </c>
      <c r="B9" s="172" t="n">
        <f aca="false">'Power Price Assumption'!C44*Assumptions!$E$9*12</f>
        <v>42593.4319763109</v>
      </c>
      <c r="C9" s="172" t="n">
        <f aca="false">'Power Price Assumption'!D44*Assumptions!$E$9*12</f>
        <v>44590.8193006927</v>
      </c>
      <c r="D9" s="172" t="n">
        <f aca="false">'Power Price Assumption'!E44*Assumptions!$E$9*12</f>
        <v>46681.8726185972</v>
      </c>
      <c r="E9" s="172" t="n">
        <f aca="false">'Power Price Assumption'!F44*Assumptions!$E$9*12</f>
        <v>48870.9843271501</v>
      </c>
      <c r="F9" s="172" t="n">
        <f aca="false">'Power Price Assumption'!G44*Assumptions!$E$9*12</f>
        <v>51162.7528016746</v>
      </c>
      <c r="G9" s="172" t="n">
        <f aca="false">'Power Price Assumption'!H44*Assumptions!$E$9*12</f>
        <v>52194.0624036452</v>
      </c>
      <c r="H9" s="172" t="n">
        <f aca="false">'Power Price Assumption'!I44*Assumptions!$E$9*12</f>
        <v>53246.1605566002</v>
      </c>
      <c r="I9" s="172" t="n">
        <f aca="false">'Power Price Assumption'!J44*Assumptions!$E$9*12</f>
        <v>54319.4663042982</v>
      </c>
      <c r="J9" s="172" t="n">
        <f aca="false">'Power Price Assumption'!K44*Assumptions!$E$9*12</f>
        <v>55414.4071373432</v>
      </c>
      <c r="K9" s="172" t="n">
        <f aca="false">'Power Price Assumption'!L44*Assumptions!$E$9*12</f>
        <v>56531.419163451</v>
      </c>
      <c r="L9" s="172" t="n">
        <f aca="false">'Power Price Assumption'!M44*Assumptions!$E$9*12</f>
        <v>57643.0224536355</v>
      </c>
      <c r="M9" s="172" t="n">
        <f aca="false">'Power Price Assumption'!N44*Assumptions!$E$9*12</f>
        <v>58776.48371047</v>
      </c>
      <c r="N9" s="172" t="n">
        <f aca="false">'Power Price Assumption'!O44*Assumptions!$E$9*12</f>
        <v>59932.2327372037</v>
      </c>
      <c r="O9" s="172" t="n">
        <f aca="false">'Power Price Assumption'!P44*Assumptions!$E$9*12</f>
        <v>61110.707788505</v>
      </c>
      <c r="P9" s="172" t="n">
        <f aca="false">'Power Price Assumption'!Q44*Assumptions!$E$9*12</f>
        <v>62312.355736645</v>
      </c>
      <c r="Q9" s="172" t="n">
        <f aca="false">'Power Price Assumption'!R44*Assumptions!$E$9*12</f>
        <v>63270.9780887808</v>
      </c>
      <c r="R9" s="172" t="n">
        <f aca="false">'Power Price Assumption'!S44*Assumptions!$E$9*12</f>
        <v>64244.3480267389</v>
      </c>
      <c r="S9" s="172" t="n">
        <f aca="false">'Power Price Assumption'!T44*Assumptions!$E$9*12</f>
        <v>65232.6924295264</v>
      </c>
      <c r="T9" s="172" t="n">
        <f aca="false">'Power Price Assumption'!U44*Assumptions!$E$9*12</f>
        <v>66236.2416664905</v>
      </c>
      <c r="U9" s="172" t="n">
        <f aca="false">'Power Price Assumption'!V44*Assumptions!$E$9*12</f>
        <v>67255.2296510135</v>
      </c>
      <c r="V9" s="316"/>
      <c r="W9" s="164" t="n">
        <f aca="false">SUM(B9:U9)</f>
        <v>1131619.66887877</v>
      </c>
      <c r="X9" s="1"/>
      <c r="Y9" s="157"/>
      <c r="Z9" s="161" t="n">
        <f aca="false">Z7-Z8</f>
        <v>0</v>
      </c>
      <c r="AA9" s="161" t="n">
        <f aca="false">AA7-AA8</f>
        <v>0</v>
      </c>
      <c r="AB9" s="161" t="n">
        <f aca="false">AB7-AB8</f>
        <v>0</v>
      </c>
      <c r="AC9" s="161" t="n">
        <f aca="false">AC7-AC8</f>
        <v>0</v>
      </c>
      <c r="AD9" s="161" t="n">
        <f aca="false">AD7-AD8</f>
        <v>0</v>
      </c>
      <c r="AE9" s="161" t="n">
        <f aca="false">AE7-AE8</f>
        <v>0</v>
      </c>
      <c r="AF9" s="161" t="n">
        <f aca="false">AF7-AF8</f>
        <v>0</v>
      </c>
      <c r="AG9" s="161" t="n">
        <f aca="false">AG7-AG8</f>
        <v>0</v>
      </c>
      <c r="AH9" s="161" t="n">
        <f aca="false">AH7-AH8</f>
        <v>0</v>
      </c>
      <c r="AI9" s="161" t="n">
        <f aca="false">AI7-AI8</f>
        <v>0</v>
      </c>
      <c r="AJ9" s="161" t="n">
        <f aca="false">AJ7-AJ8</f>
        <v>0</v>
      </c>
      <c r="AK9" s="161" t="n">
        <f aca="false">AK7-AK8</f>
        <v>0</v>
      </c>
      <c r="AL9" s="161" t="n">
        <f aca="false">AL7-AL8</f>
        <v>0</v>
      </c>
      <c r="AM9" s="161" t="n">
        <f aca="false">AM7-AM8</f>
        <v>0</v>
      </c>
      <c r="AN9" s="161" t="n">
        <f aca="false">AN7-AN8</f>
        <v>0</v>
      </c>
      <c r="AO9" s="161" t="n">
        <f aca="false">AO7-AO8</f>
        <v>0</v>
      </c>
      <c r="AP9" s="161" t="n">
        <f aca="false">AP7-AP8</f>
        <v>0</v>
      </c>
      <c r="AQ9" s="161" t="n">
        <f aca="false">AQ7-AQ8</f>
        <v>0</v>
      </c>
      <c r="AR9" s="161" t="n">
        <f aca="false">AR7-AR8</f>
        <v>0</v>
      </c>
      <c r="AS9" s="161" t="n">
        <f aca="false">AS7-AS8</f>
        <v>0</v>
      </c>
    </row>
    <row r="10" customFormat="false" ht="12.75" hidden="false" customHeight="false" outlineLevel="0" collapsed="false">
      <c r="A10" s="169" t="s">
        <v>107</v>
      </c>
      <c r="B10" s="153" t="n">
        <f aca="false">1/3*Assumptions!$E$18*Assumptions!$E$11*Assumptions!$E$8/1000*(1+Assumptions!$E$25)^(B5-2000)+Assumptions!$E$19*Assumptions!$E$17*(1+Assumptions!$E$25)^(B5-2000)/1000</f>
        <v>4330.12</v>
      </c>
      <c r="C10" s="153" t="n">
        <f aca="false">1/3*Assumptions!$E$18*Assumptions!$E$11*Assumptions!$E$8/1000*(1+Assumptions!$E$25)^(C5-2000)+Assumptions!$E$19*Assumptions!$E$17*(1+Assumptions!$E$25)^(C5-2000)/1000</f>
        <v>4460.0236</v>
      </c>
      <c r="D10" s="153" t="n">
        <f aca="false">1/3*Assumptions!$E$18*Assumptions!$E$11*Assumptions!$E$8/1000*(1+Assumptions!$E$25)^(D5-2000)+Assumptions!$E$19*Assumptions!$E$17*(1+Assumptions!$E$25)^(D5-2000)/1000</f>
        <v>4593.824308</v>
      </c>
      <c r="E10" s="153" t="n">
        <f aca="false">1/3*Assumptions!$E$18*Assumptions!$E$11*Assumptions!$E$8/1000*(1+Assumptions!$E$25)^(E5-2000)+Assumptions!$E$19*Assumptions!$E$17*(1+Assumptions!$E$25)^(E5-2000)/1000</f>
        <v>4731.63903724</v>
      </c>
      <c r="F10" s="153" t="n">
        <f aca="false">1/3*Assumptions!$E$18*Assumptions!$E$11*Assumptions!$E$8/1000*(1+Assumptions!$E$25)^(F5-2000)+Assumptions!$E$19*Assumptions!$E$17*(1+Assumptions!$E$25)^(F5-2000)/1000</f>
        <v>4873.5882083572</v>
      </c>
      <c r="G10" s="153" t="n">
        <f aca="false">1/3*Assumptions!$E$18*Assumptions!$E$11*Assumptions!$E$8/1000*(1+Assumptions!$E$25)^(G5-2000)+Assumptions!$E$19*Assumptions!$E$17*(1+Assumptions!$E$25)^(G5-2000)/1000</f>
        <v>5019.79585460792</v>
      </c>
      <c r="H10" s="153" t="n">
        <f aca="false">1/3*Assumptions!$E$18*Assumptions!$E$11*Assumptions!$E$8/1000*(1+Assumptions!$E$25)^(H5-2000)+Assumptions!$E$19*Assumptions!$E$17*(1+Assumptions!$E$25)^(H5-2000)/1000</f>
        <v>5170.38973024616</v>
      </c>
      <c r="I10" s="153" t="n">
        <f aca="false">1/3*Assumptions!$E$18*Assumptions!$E$11*Assumptions!$E$8/1000*(1+Assumptions!$E$25)^(I5-2000)+Assumptions!$E$19*Assumptions!$E$17*(1+Assumptions!$E$25)^(I5-2000)/1000</f>
        <v>5325.50142215354</v>
      </c>
      <c r="J10" s="153" t="n">
        <f aca="false">1/3*Assumptions!$E$18*Assumptions!$E$11*Assumptions!$E$8/1000*(1+Assumptions!$E$25)^(J5-2000)+Assumptions!$E$19*Assumptions!$E$17*(1+Assumptions!$E$25)^(J5-2000)/1000</f>
        <v>5485.26646481815</v>
      </c>
      <c r="K10" s="153" t="n">
        <f aca="false">1/3*Assumptions!$E$18*Assumptions!$E$11*Assumptions!$E$8/1000*(1+Assumptions!$E$25)^(K5-2000)+Assumptions!$E$19*Assumptions!$E$17*(1+Assumptions!$E$25)^(K5-2000)/1000</f>
        <v>5649.82445876269</v>
      </c>
      <c r="L10" s="153" t="n">
        <f aca="false">1/3*Assumptions!$E$18*Assumptions!$E$11*Assumptions!$E$8/1000*(1+Assumptions!$E$25)^(L5-2000)+Assumptions!$E$19*Assumptions!$E$17*(1+Assumptions!$E$25)^(L5-2000)/1000</f>
        <v>5819.31919252557</v>
      </c>
      <c r="M10" s="153" t="n">
        <f aca="false">1/3*Assumptions!$E$18*Assumptions!$E$11*Assumptions!$E$8/1000*(1+Assumptions!$E$25)^(M5-2000)+Assumptions!$E$19*Assumptions!$E$17*(1+Assumptions!$E$25)^(M5-2000)/1000</f>
        <v>5993.89876830134</v>
      </c>
      <c r="N10" s="153" t="n">
        <f aca="false">1/3*Assumptions!$E$18*Assumptions!$E$11*Assumptions!$E$8/1000*(1+Assumptions!$E$25)^(N5-2000)+Assumptions!$E$19*Assumptions!$E$17*(1+Assumptions!$E$25)^(N5-2000)/1000</f>
        <v>6173.71573135038</v>
      </c>
      <c r="O10" s="153" t="n">
        <f aca="false">1/3*Assumptions!$E$18*Assumptions!$E$11*Assumptions!$E$8/1000*(1+Assumptions!$E$25)^(O5-2000)+Assumptions!$E$19*Assumptions!$E$17*(1+Assumptions!$E$25)^(O5-2000)/1000</f>
        <v>6358.92720329089</v>
      </c>
      <c r="P10" s="153" t="n">
        <f aca="false">1/3*Assumptions!$E$18*Assumptions!$E$11*Assumptions!$E$8/1000*(1+Assumptions!$E$25)^(P5-2000)+Assumptions!$E$19*Assumptions!$E$17*(1+Assumptions!$E$25)^(P5-2000)/1000</f>
        <v>6549.69501938962</v>
      </c>
      <c r="Q10" s="153" t="n">
        <f aca="false">1/3*Assumptions!$E$18*Assumptions!$E$11*Assumptions!$E$8/1000*(1+Assumptions!$E$25)^(Q5-2000)+Assumptions!$E$19*Assumptions!$E$17*(1+Assumptions!$E$25)^(Q5-2000)/1000</f>
        <v>6746.18586997131</v>
      </c>
      <c r="R10" s="153" t="n">
        <f aca="false">1/3*Assumptions!$E$18*Assumptions!$E$11*Assumptions!$E$8/1000*(1+Assumptions!$E$25)^(R5-2000)+Assumptions!$E$19*Assumptions!$E$17*(1+Assumptions!$E$25)^(R5-2000)/1000</f>
        <v>6948.57144607044</v>
      </c>
      <c r="S10" s="153" t="n">
        <f aca="false">1/3*Assumptions!$E$18*Assumptions!$E$11*Assumptions!$E$8/1000*(1+Assumptions!$E$25)^(S5-2000)+Assumptions!$E$19*Assumptions!$E$17*(1+Assumptions!$E$25)^(S5-2000)/1000</f>
        <v>7157.02858945256</v>
      </c>
      <c r="T10" s="153" t="n">
        <f aca="false">1/3*Assumptions!$E$18*Assumptions!$E$11*Assumptions!$E$8/1000*(1+Assumptions!$E$25)^(T5-2000)+Assumptions!$E$19*Assumptions!$E$17*(1+Assumptions!$E$25)^(T5-2000)/1000</f>
        <v>7371.73944713614</v>
      </c>
      <c r="U10" s="153" t="n">
        <f aca="false">1/3*Assumptions!$E$18*Assumptions!$E$11*Assumptions!$E$8/1000*(1+Assumptions!$E$25)^(U5-2000)+Assumptions!$E$19*Assumptions!$E$17*(1+Assumptions!$E$25)^(U5-2000)/1000</f>
        <v>7592.89163055022</v>
      </c>
      <c r="V10" s="316"/>
      <c r="W10" s="164" t="n">
        <f aca="false">SUM(B10:U10)</f>
        <v>116351.945982224</v>
      </c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</row>
    <row r="11" customFormat="false" ht="12.75" hidden="false" customHeight="false" outlineLevel="0" collapsed="false">
      <c r="A11" s="169"/>
      <c r="B11" s="316"/>
      <c r="C11" s="316"/>
      <c r="D11" s="316"/>
      <c r="E11" s="316"/>
      <c r="F11" s="316"/>
      <c r="G11" s="316"/>
      <c r="H11" s="316"/>
      <c r="I11" s="316"/>
      <c r="J11" s="316"/>
      <c r="K11" s="316"/>
      <c r="L11" s="316"/>
      <c r="M11" s="316"/>
      <c r="N11" s="316"/>
      <c r="O11" s="316"/>
      <c r="P11" s="316"/>
      <c r="Q11" s="316"/>
      <c r="R11" s="316"/>
      <c r="S11" s="316"/>
      <c r="T11" s="316"/>
      <c r="U11" s="316"/>
      <c r="V11" s="316"/>
      <c r="W11" s="164" t="n">
        <f aca="false">SUM(B11:U11)</f>
        <v>0</v>
      </c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</row>
    <row r="12" customFormat="false" ht="12.75" hidden="false" customHeight="false" outlineLevel="0" collapsed="false">
      <c r="A12" s="169" t="s">
        <v>108</v>
      </c>
      <c r="B12" s="260" t="n">
        <f aca="false">(SUM(B8:B10)-SUM(B16:B21))*'Summary Output'!$B$24/4</f>
        <v>492.63157689632</v>
      </c>
      <c r="C12" s="260" t="n">
        <f aca="false">(SUM(C8:C10)-SUM(C16:C21))*'Summary Output'!$B$24/4</f>
        <v>517.813680025163</v>
      </c>
      <c r="D12" s="260" t="n">
        <f aca="false">(SUM(D8:D10)-SUM(D16:D21))*'Summary Output'!$B$24/4</f>
        <v>542.910785281687</v>
      </c>
      <c r="E12" s="260" t="n">
        <f aca="false">(SUM(E8:E10)-SUM(E16:E21))*'Summary Output'!$B$24/4</f>
        <v>569.204276084797</v>
      </c>
      <c r="F12" s="260" t="n">
        <f aca="false">(SUM(F8:F10)-SUM(F16:F21))*'Summary Output'!$B$24/4</f>
        <v>596.750826795939</v>
      </c>
      <c r="G12" s="260" t="n">
        <f aca="false">(SUM(G8:G10)-SUM(G16:G21))*'Summary Output'!$B$24/4</f>
        <v>608.509412443545</v>
      </c>
      <c r="H12" s="260" t="n">
        <f aca="false">(SUM(H8:H10)-SUM(H16:H21))*'Summary Output'!$B$24/4</f>
        <v>620.653521447144</v>
      </c>
      <c r="I12" s="260" t="n">
        <f aca="false">(SUM(I8:I10)-SUM(I16:I21))*'Summary Output'!$B$24/4</f>
        <v>633.032511847781</v>
      </c>
      <c r="J12" s="260" t="n">
        <f aca="false">(SUM(J8:J10)-SUM(J16:J21))*'Summary Output'!$B$24/4</f>
        <v>645.650820871888</v>
      </c>
      <c r="K12" s="260" t="n">
        <f aca="false">(SUM(K8:K10)-SUM(K16:K21))*'Summary Output'!$B$24/4</f>
        <v>658.512966267611</v>
      </c>
      <c r="L12" s="260" t="n">
        <f aca="false">(SUM(L8:L10)-SUM(L16:L21))*'Summary Output'!$B$24/4</f>
        <v>671.274487316375</v>
      </c>
      <c r="M12" s="260" t="n">
        <f aca="false">(SUM(M8:M10)-SUM(M16:M21))*'Summary Output'!$B$24/4</f>
        <v>684.275227345906</v>
      </c>
      <c r="N12" s="260" t="n">
        <f aca="false">(SUM(N8:N10)-SUM(N16:N21))*'Summary Output'!$B$24/4</f>
        <v>697.519538728751</v>
      </c>
      <c r="O12" s="260" t="n">
        <f aca="false">(SUM(O8:O10)-SUM(O16:O21))*'Summary Output'!$B$24/4</f>
        <v>711.011848875151</v>
      </c>
      <c r="P12" s="260" t="n">
        <f aca="false">(SUM(P8:P10)-SUM(P16:P21))*'Summary Output'!$B$24/4</f>
        <v>724.75666139219</v>
      </c>
      <c r="Q12" s="260" t="n">
        <f aca="false">(SUM(Q8:Q10)-SUM(Q16:Q21))*'Summary Output'!$B$24/4</f>
        <v>735.425380354134</v>
      </c>
      <c r="R12" s="260" t="n">
        <f aca="false">(SUM(R8:R10)-SUM(R16:R21))*'Summary Output'!$B$24/4</f>
        <v>746.239022325663</v>
      </c>
      <c r="S12" s="260" t="n">
        <f aca="false">(SUM(S8:S10)-SUM(S16:S21))*'Summary Output'!$B$24/4</f>
        <v>757.199240639973</v>
      </c>
      <c r="T12" s="260" t="n">
        <f aca="false">(SUM(T8:T10)-SUM(T16:T21))*'Summary Output'!$B$24/4</f>
        <v>768.307696779873</v>
      </c>
      <c r="U12" s="260" t="n">
        <f aca="false">(SUM(U8:U10)-SUM(U16:U21))*'Summary Output'!$B$24/4</f>
        <v>779.566059984595</v>
      </c>
      <c r="V12" s="316"/>
      <c r="W12" s="164" t="n">
        <f aca="false">SUM(B12:U12)</f>
        <v>13161.2455417045</v>
      </c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</row>
    <row r="13" customFormat="false" ht="12.75" hidden="false" customHeight="false" outlineLevel="0" collapsed="false">
      <c r="A13" s="169" t="s">
        <v>109</v>
      </c>
      <c r="B13" s="172" t="n">
        <f aca="false">SUM(B8:B12)</f>
        <v>47416.1835532072</v>
      </c>
      <c r="C13" s="172" t="n">
        <f aca="false">SUM(C8:C12)</f>
        <v>49568.6565807179</v>
      </c>
      <c r="D13" s="172" t="n">
        <f aca="false">SUM(D8:D12)</f>
        <v>51818.6077118789</v>
      </c>
      <c r="E13" s="172" t="n">
        <f aca="false">SUM(E8:E12)</f>
        <v>54171.8276404749</v>
      </c>
      <c r="F13" s="172" t="n">
        <f aca="false">SUM(F8:F12)</f>
        <v>56633.0918368277</v>
      </c>
      <c r="G13" s="172" t="n">
        <f aca="false">SUM(G8:G12)</f>
        <v>57822.3676706967</v>
      </c>
      <c r="H13" s="172" t="n">
        <f aca="false">SUM(H8:H12)</f>
        <v>59037.2038082935</v>
      </c>
      <c r="I13" s="172" t="n">
        <f aca="false">SUM(I8:I12)</f>
        <v>60278.0002382995</v>
      </c>
      <c r="J13" s="172" t="n">
        <f aca="false">SUM(J8:J12)</f>
        <v>61545.3244230332</v>
      </c>
      <c r="K13" s="172" t="n">
        <f aca="false">SUM(K8:K12)</f>
        <v>62839.7565884813</v>
      </c>
      <c r="L13" s="172" t="n">
        <f aca="false">SUM(L8:L12)</f>
        <v>64133.6161334775</v>
      </c>
      <c r="M13" s="172" t="n">
        <f aca="false">SUM(M8:M12)</f>
        <v>65454.6577061173</v>
      </c>
      <c r="N13" s="172" t="n">
        <f aca="false">SUM(N8:N12)</f>
        <v>66803.4680072829</v>
      </c>
      <c r="O13" s="172" t="n">
        <f aca="false">SUM(O8:O12)</f>
        <v>68180.646840671</v>
      </c>
      <c r="P13" s="172" t="n">
        <f aca="false">SUM(P8:P12)</f>
        <v>69586.8074174269</v>
      </c>
      <c r="Q13" s="172" t="n">
        <f aca="false">SUM(Q8:Q12)</f>
        <v>70752.5893391063</v>
      </c>
      <c r="R13" s="172" t="n">
        <f aca="false">SUM(R8:R12)</f>
        <v>71939.158495135</v>
      </c>
      <c r="S13" s="172" t="n">
        <f aca="false">SUM(S8:S12)</f>
        <v>73146.920259619</v>
      </c>
      <c r="T13" s="172" t="n">
        <f aca="false">SUM(T8:T12)</f>
        <v>74376.2888104065</v>
      </c>
      <c r="U13" s="172" t="n">
        <f aca="false">SUM(U8:U12)</f>
        <v>75627.6873415483</v>
      </c>
      <c r="V13" s="316"/>
      <c r="W13" s="164" t="n">
        <f aca="false">SUM(B13:U13)</f>
        <v>1261132.8604027</v>
      </c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</row>
    <row r="14" customFormat="false" ht="12.75" hidden="false" customHeight="false" outlineLevel="0" collapsed="false">
      <c r="A14" s="317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316"/>
      <c r="W14" s="164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</row>
    <row r="15" customFormat="false" ht="12.75" hidden="false" customHeight="false" outlineLevel="0" collapsed="false">
      <c r="A15" s="163" t="s">
        <v>110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W15" s="164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316"/>
      <c r="AU15" s="316"/>
      <c r="AV15" s="316"/>
      <c r="AW15" s="316"/>
      <c r="AX15" s="316"/>
      <c r="AY15" s="316"/>
      <c r="AZ15" s="316"/>
      <c r="BA15" s="316"/>
      <c r="BB15" s="316"/>
      <c r="BC15" s="316"/>
      <c r="BD15" s="316"/>
      <c r="BE15" s="316"/>
      <c r="BF15" s="316"/>
      <c r="BG15" s="316"/>
      <c r="BH15" s="316"/>
      <c r="BI15" s="316"/>
      <c r="BJ15" s="316"/>
      <c r="BK15" s="316"/>
      <c r="BL15" s="316"/>
      <c r="BM15" s="316"/>
      <c r="BN15" s="316"/>
      <c r="BO15" s="316"/>
      <c r="BP15" s="316"/>
      <c r="BQ15" s="316"/>
      <c r="BR15" s="316"/>
      <c r="BS15" s="316"/>
      <c r="BT15" s="316"/>
      <c r="BU15" s="316"/>
      <c r="BV15" s="316"/>
      <c r="BW15" s="316"/>
      <c r="BX15" s="316"/>
      <c r="BY15" s="316"/>
      <c r="BZ15" s="316"/>
      <c r="CA15" s="316"/>
      <c r="CB15" s="316"/>
      <c r="CC15" s="316"/>
      <c r="CD15" s="316"/>
      <c r="CE15" s="316"/>
      <c r="CF15" s="316"/>
      <c r="CG15" s="316"/>
      <c r="CH15" s="316"/>
      <c r="CI15" s="316"/>
      <c r="CJ15" s="316"/>
      <c r="CK15" s="316"/>
      <c r="CL15" s="316"/>
      <c r="CM15" s="316"/>
      <c r="CN15" s="316"/>
      <c r="CO15" s="316"/>
      <c r="CP15" s="316"/>
      <c r="CQ15" s="316"/>
      <c r="CR15" s="316"/>
      <c r="CS15" s="316"/>
      <c r="CT15" s="316"/>
      <c r="CU15" s="316"/>
      <c r="CV15" s="316"/>
      <c r="CW15" s="316"/>
      <c r="CX15" s="316"/>
      <c r="CY15" s="316"/>
      <c r="CZ15" s="316"/>
      <c r="DA15" s="316"/>
      <c r="DB15" s="316"/>
      <c r="DC15" s="316"/>
      <c r="DD15" s="316"/>
      <c r="DE15" s="316"/>
      <c r="DF15" s="316"/>
      <c r="DG15" s="316"/>
      <c r="DH15" s="316"/>
      <c r="DI15" s="316"/>
      <c r="DJ15" s="316"/>
      <c r="DK15" s="316"/>
      <c r="DL15" s="316"/>
      <c r="DM15" s="316"/>
      <c r="DN15" s="316"/>
      <c r="DO15" s="316"/>
      <c r="DP15" s="316"/>
      <c r="DQ15" s="316"/>
      <c r="DR15" s="316"/>
      <c r="DS15" s="316"/>
      <c r="DT15" s="316"/>
      <c r="DU15" s="316"/>
      <c r="DV15" s="316"/>
      <c r="DW15" s="316"/>
      <c r="DX15" s="316"/>
      <c r="DY15" s="316"/>
      <c r="DZ15" s="316"/>
      <c r="EA15" s="316"/>
      <c r="EB15" s="316"/>
      <c r="EC15" s="316"/>
      <c r="ED15" s="316"/>
      <c r="EE15" s="316"/>
      <c r="EF15" s="316"/>
      <c r="EG15" s="316"/>
      <c r="EH15" s="316"/>
      <c r="EI15" s="316"/>
      <c r="EJ15" s="316"/>
      <c r="EK15" s="316"/>
      <c r="EL15" s="316"/>
      <c r="EM15" s="316"/>
      <c r="EN15" s="316"/>
      <c r="EO15" s="316"/>
      <c r="EP15" s="316"/>
      <c r="EQ15" s="316"/>
      <c r="ER15" s="316"/>
      <c r="ES15" s="316"/>
      <c r="ET15" s="316"/>
      <c r="EU15" s="316"/>
      <c r="EV15" s="316"/>
      <c r="EW15" s="316"/>
      <c r="EX15" s="316"/>
      <c r="EY15" s="316"/>
      <c r="EZ15" s="316"/>
      <c r="FA15" s="316"/>
      <c r="FB15" s="316"/>
      <c r="FC15" s="316"/>
      <c r="FD15" s="316"/>
      <c r="FE15" s="316"/>
      <c r="FF15" s="316"/>
      <c r="FG15" s="316"/>
      <c r="FH15" s="316"/>
      <c r="FI15" s="316"/>
      <c r="FJ15" s="316"/>
      <c r="FK15" s="316"/>
      <c r="FL15" s="316"/>
      <c r="FM15" s="316"/>
      <c r="FN15" s="316"/>
      <c r="FO15" s="316"/>
      <c r="FP15" s="316"/>
      <c r="FQ15" s="316"/>
      <c r="FR15" s="316"/>
      <c r="FS15" s="316"/>
      <c r="FT15" s="316"/>
      <c r="FU15" s="316"/>
      <c r="FV15" s="316"/>
      <c r="FW15" s="316"/>
      <c r="FX15" s="316"/>
      <c r="FY15" s="316"/>
      <c r="FZ15" s="316"/>
      <c r="GA15" s="316"/>
      <c r="GB15" s="316"/>
      <c r="GC15" s="316"/>
      <c r="GD15" s="316"/>
      <c r="GE15" s="316"/>
      <c r="GF15" s="316"/>
      <c r="GG15" s="316"/>
      <c r="GH15" s="316"/>
      <c r="GI15" s="316"/>
      <c r="GJ15" s="316"/>
      <c r="GK15" s="316"/>
      <c r="GL15" s="316"/>
      <c r="GM15" s="316"/>
      <c r="GN15" s="316"/>
      <c r="GO15" s="316"/>
      <c r="GP15" s="316"/>
      <c r="GQ15" s="316"/>
      <c r="GR15" s="316"/>
      <c r="GS15" s="316"/>
      <c r="GT15" s="316"/>
      <c r="GU15" s="316"/>
      <c r="GV15" s="316"/>
      <c r="GW15" s="316"/>
      <c r="GX15" s="316"/>
      <c r="GY15" s="316"/>
      <c r="GZ15" s="316"/>
      <c r="HA15" s="316"/>
      <c r="HB15" s="316"/>
      <c r="HC15" s="316"/>
      <c r="HD15" s="316"/>
      <c r="HE15" s="316"/>
      <c r="HF15" s="316"/>
      <c r="HG15" s="316"/>
      <c r="HH15" s="316"/>
      <c r="HI15" s="316"/>
      <c r="HJ15" s="316"/>
      <c r="HK15" s="316"/>
      <c r="HL15" s="316"/>
      <c r="HM15" s="316"/>
      <c r="HN15" s="316"/>
      <c r="HO15" s="316"/>
      <c r="HP15" s="316"/>
      <c r="HQ15" s="316"/>
      <c r="HR15" s="316"/>
      <c r="HS15" s="316"/>
      <c r="HT15" s="316"/>
      <c r="HU15" s="316"/>
      <c r="HV15" s="316"/>
      <c r="HW15" s="316"/>
      <c r="HX15" s="316"/>
      <c r="HY15" s="316"/>
      <c r="HZ15" s="316"/>
      <c r="IA15" s="316"/>
      <c r="IB15" s="316"/>
      <c r="IC15" s="316"/>
      <c r="ID15" s="316"/>
      <c r="IE15" s="316"/>
      <c r="IF15" s="316"/>
      <c r="IG15" s="316"/>
      <c r="IH15" s="316"/>
      <c r="II15" s="316"/>
      <c r="IJ15" s="316"/>
      <c r="IK15" s="316"/>
      <c r="IL15" s="316"/>
      <c r="IM15" s="316"/>
      <c r="IN15" s="316"/>
      <c r="IO15" s="316"/>
      <c r="IP15" s="316"/>
      <c r="IQ15" s="316"/>
      <c r="IR15" s="316"/>
      <c r="IS15" s="316"/>
      <c r="IT15" s="316"/>
      <c r="IU15" s="316"/>
      <c r="IV15" s="316"/>
      <c r="IW15" s="316"/>
    </row>
    <row r="16" customFormat="false" ht="12.75" hidden="false" customHeight="false" outlineLevel="0" collapsed="false">
      <c r="A16" s="169" t="s">
        <v>73</v>
      </c>
      <c r="B16" s="153" t="n">
        <f aca="false">Assumptions!E28*(1+Assumptions!$E$25)</f>
        <v>1491.99678857143</v>
      </c>
      <c r="C16" s="164" t="n">
        <f aca="false">B16*(1+Assumptions!$E$25)</f>
        <v>1536.75669222857</v>
      </c>
      <c r="D16" s="164" t="n">
        <f aca="false">C16*(1+Assumptions!$E$25)</f>
        <v>1582.85939299543</v>
      </c>
      <c r="E16" s="164" t="n">
        <f aca="false">D16*(1+Assumptions!$E$25)</f>
        <v>1630.34517478529</v>
      </c>
      <c r="F16" s="164" t="n">
        <f aca="false">E16*(1+Assumptions!$E$25)</f>
        <v>1679.25553002885</v>
      </c>
      <c r="G16" s="164" t="n">
        <f aca="false">F16*(1+Assumptions!$E$25)</f>
        <v>1729.63319592972</v>
      </c>
      <c r="H16" s="164" t="n">
        <f aca="false">G16*(1+Assumptions!$E$25)</f>
        <v>1781.52219180761</v>
      </c>
      <c r="I16" s="164" t="n">
        <f aca="false">H16*(1+Assumptions!$E$25)</f>
        <v>1834.96785756184</v>
      </c>
      <c r="J16" s="164" t="n">
        <f aca="false">I16*(1+Assumptions!$E$25)</f>
        <v>1890.01689328869</v>
      </c>
      <c r="K16" s="164" t="n">
        <f aca="false">J16*(1+Assumptions!$E$25)</f>
        <v>1946.71740008735</v>
      </c>
      <c r="L16" s="164" t="n">
        <f aca="false">K16*(1+Assumptions!$E$25)</f>
        <v>2005.11892208997</v>
      </c>
      <c r="M16" s="164" t="n">
        <f aca="false">L16*(1+Assumptions!$E$25)</f>
        <v>2065.27248975267</v>
      </c>
      <c r="N16" s="164" t="n">
        <f aca="false">M16*(1+Assumptions!$E$25)</f>
        <v>2127.23066444525</v>
      </c>
      <c r="O16" s="164" t="n">
        <f aca="false">N16*(1+Assumptions!$E$25)</f>
        <v>2191.04758437861</v>
      </c>
      <c r="P16" s="164" t="n">
        <f aca="false">O16*(1+Assumptions!$E$25)</f>
        <v>2256.77901190997</v>
      </c>
      <c r="Q16" s="164" t="n">
        <f aca="false">P16*(1+Assumptions!$E$25)</f>
        <v>2324.48238226727</v>
      </c>
      <c r="R16" s="164" t="n">
        <f aca="false">Q16*(1+Assumptions!$E$25)</f>
        <v>2394.21685373528</v>
      </c>
      <c r="S16" s="164" t="n">
        <f aca="false">R16*(1+Assumptions!$E$25)</f>
        <v>2466.04335934734</v>
      </c>
      <c r="T16" s="164" t="n">
        <f aca="false">S16*(1+Assumptions!$E$25)</f>
        <v>2540.02466012776</v>
      </c>
      <c r="U16" s="164" t="n">
        <f aca="false">T16*(1+Assumptions!$E$25)</f>
        <v>2616.2253999316</v>
      </c>
      <c r="W16" s="164" t="n">
        <f aca="false">SUM(B16:U16)</f>
        <v>40090.5124452705</v>
      </c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316"/>
      <c r="AU16" s="316"/>
      <c r="AV16" s="316"/>
      <c r="AW16" s="316"/>
      <c r="AX16" s="316"/>
      <c r="AY16" s="316"/>
      <c r="AZ16" s="316"/>
      <c r="BA16" s="316"/>
      <c r="BB16" s="316"/>
      <c r="BC16" s="316"/>
      <c r="BD16" s="316"/>
      <c r="BE16" s="316"/>
      <c r="BF16" s="316"/>
      <c r="BG16" s="316"/>
      <c r="BH16" s="316"/>
      <c r="BI16" s="316"/>
      <c r="BJ16" s="316"/>
      <c r="BK16" s="316"/>
      <c r="BL16" s="316"/>
      <c r="BM16" s="316"/>
      <c r="BN16" s="316"/>
      <c r="BO16" s="316"/>
      <c r="BP16" s="316"/>
      <c r="BQ16" s="316"/>
      <c r="BR16" s="316"/>
      <c r="BS16" s="316"/>
      <c r="BT16" s="316"/>
      <c r="BU16" s="316"/>
      <c r="BV16" s="316"/>
      <c r="BW16" s="316"/>
      <c r="BX16" s="316"/>
      <c r="BY16" s="316"/>
      <c r="BZ16" s="316"/>
      <c r="CA16" s="316"/>
      <c r="CB16" s="316"/>
      <c r="CC16" s="316"/>
      <c r="CD16" s="316"/>
      <c r="CE16" s="316"/>
      <c r="CF16" s="316"/>
      <c r="CG16" s="316"/>
      <c r="CH16" s="316"/>
      <c r="CI16" s="316"/>
      <c r="CJ16" s="316"/>
      <c r="CK16" s="316"/>
      <c r="CL16" s="316"/>
      <c r="CM16" s="316"/>
      <c r="CN16" s="316"/>
      <c r="CO16" s="316"/>
      <c r="CP16" s="316"/>
      <c r="CQ16" s="316"/>
      <c r="CR16" s="316"/>
      <c r="CS16" s="316"/>
      <c r="CT16" s="316"/>
      <c r="CU16" s="316"/>
      <c r="CV16" s="316"/>
      <c r="CW16" s="316"/>
      <c r="CX16" s="316"/>
      <c r="CY16" s="316"/>
      <c r="CZ16" s="316"/>
      <c r="DA16" s="316"/>
      <c r="DB16" s="316"/>
      <c r="DC16" s="316"/>
      <c r="DD16" s="316"/>
      <c r="DE16" s="316"/>
      <c r="DF16" s="316"/>
      <c r="DG16" s="316"/>
      <c r="DH16" s="316"/>
      <c r="DI16" s="316"/>
      <c r="DJ16" s="316"/>
      <c r="DK16" s="316"/>
      <c r="DL16" s="316"/>
      <c r="DM16" s="316"/>
      <c r="DN16" s="316"/>
      <c r="DO16" s="316"/>
      <c r="DP16" s="316"/>
      <c r="DQ16" s="316"/>
      <c r="DR16" s="316"/>
      <c r="DS16" s="316"/>
      <c r="DT16" s="316"/>
      <c r="DU16" s="316"/>
      <c r="DV16" s="316"/>
      <c r="DW16" s="316"/>
      <c r="DX16" s="316"/>
      <c r="DY16" s="316"/>
      <c r="DZ16" s="316"/>
      <c r="EA16" s="316"/>
      <c r="EB16" s="316"/>
      <c r="EC16" s="316"/>
      <c r="ED16" s="316"/>
      <c r="EE16" s="316"/>
      <c r="EF16" s="316"/>
      <c r="EG16" s="316"/>
      <c r="EH16" s="316"/>
      <c r="EI16" s="316"/>
      <c r="EJ16" s="316"/>
      <c r="EK16" s="316"/>
      <c r="EL16" s="316"/>
      <c r="EM16" s="316"/>
      <c r="EN16" s="316"/>
      <c r="EO16" s="316"/>
      <c r="EP16" s="316"/>
      <c r="EQ16" s="316"/>
      <c r="ER16" s="316"/>
      <c r="ES16" s="316"/>
      <c r="ET16" s="316"/>
      <c r="EU16" s="316"/>
      <c r="EV16" s="316"/>
      <c r="EW16" s="316"/>
      <c r="EX16" s="316"/>
      <c r="EY16" s="316"/>
      <c r="EZ16" s="316"/>
      <c r="FA16" s="316"/>
      <c r="FB16" s="316"/>
      <c r="FC16" s="316"/>
      <c r="FD16" s="316"/>
      <c r="FE16" s="316"/>
      <c r="FF16" s="316"/>
      <c r="FG16" s="316"/>
      <c r="FH16" s="316"/>
      <c r="FI16" s="316"/>
      <c r="FJ16" s="316"/>
      <c r="FK16" s="316"/>
      <c r="FL16" s="316"/>
      <c r="FM16" s="316"/>
      <c r="FN16" s="316"/>
      <c r="FO16" s="316"/>
      <c r="FP16" s="316"/>
      <c r="FQ16" s="316"/>
      <c r="FR16" s="316"/>
      <c r="FS16" s="316"/>
      <c r="FT16" s="316"/>
      <c r="FU16" s="316"/>
      <c r="FV16" s="316"/>
      <c r="FW16" s="316"/>
      <c r="FX16" s="316"/>
      <c r="FY16" s="316"/>
      <c r="FZ16" s="316"/>
      <c r="GA16" s="316"/>
      <c r="GB16" s="316"/>
      <c r="GC16" s="316"/>
      <c r="GD16" s="316"/>
      <c r="GE16" s="316"/>
      <c r="GF16" s="316"/>
      <c r="GG16" s="316"/>
      <c r="GH16" s="316"/>
      <c r="GI16" s="316"/>
      <c r="GJ16" s="316"/>
      <c r="GK16" s="316"/>
      <c r="GL16" s="316"/>
      <c r="GM16" s="316"/>
      <c r="GN16" s="316"/>
      <c r="GO16" s="316"/>
      <c r="GP16" s="316"/>
      <c r="GQ16" s="316"/>
      <c r="GR16" s="316"/>
      <c r="GS16" s="316"/>
      <c r="GT16" s="316"/>
      <c r="GU16" s="316"/>
      <c r="GV16" s="316"/>
      <c r="GW16" s="316"/>
      <c r="GX16" s="316"/>
      <c r="GY16" s="316"/>
      <c r="GZ16" s="316"/>
      <c r="HA16" s="316"/>
      <c r="HB16" s="316"/>
      <c r="HC16" s="316"/>
      <c r="HD16" s="316"/>
      <c r="HE16" s="316"/>
      <c r="HF16" s="316"/>
      <c r="HG16" s="316"/>
      <c r="HH16" s="316"/>
      <c r="HI16" s="316"/>
      <c r="HJ16" s="316"/>
      <c r="HK16" s="316"/>
      <c r="HL16" s="316"/>
      <c r="HM16" s="316"/>
      <c r="HN16" s="316"/>
      <c r="HO16" s="316"/>
      <c r="HP16" s="316"/>
      <c r="HQ16" s="316"/>
      <c r="HR16" s="316"/>
      <c r="HS16" s="316"/>
      <c r="HT16" s="316"/>
      <c r="HU16" s="316"/>
      <c r="HV16" s="316"/>
      <c r="HW16" s="316"/>
      <c r="HX16" s="316"/>
      <c r="HY16" s="316"/>
      <c r="HZ16" s="316"/>
      <c r="IA16" s="316"/>
      <c r="IB16" s="316"/>
      <c r="IC16" s="316"/>
      <c r="ID16" s="316"/>
      <c r="IE16" s="316"/>
      <c r="IF16" s="316"/>
      <c r="IG16" s="316"/>
      <c r="IH16" s="316"/>
      <c r="II16" s="316"/>
      <c r="IJ16" s="316"/>
      <c r="IK16" s="316"/>
      <c r="IL16" s="316"/>
      <c r="IM16" s="316"/>
      <c r="IN16" s="316"/>
      <c r="IO16" s="316"/>
      <c r="IP16" s="316"/>
      <c r="IQ16" s="316"/>
      <c r="IR16" s="316"/>
      <c r="IS16" s="316"/>
      <c r="IT16" s="316"/>
      <c r="IU16" s="316"/>
      <c r="IV16" s="316"/>
      <c r="IW16" s="316"/>
    </row>
    <row r="17" customFormat="false" ht="12.75" hidden="false" customHeight="false" outlineLevel="0" collapsed="false">
      <c r="A17" s="169" t="s">
        <v>74</v>
      </c>
      <c r="B17" s="153" t="n">
        <f aca="false">Assumptions!$E$29*(1+Assumptions!$E$25)</f>
        <v>4124.12</v>
      </c>
      <c r="C17" s="172" t="n">
        <f aca="false">B17*(1+Assumptions!$E$25)</f>
        <v>4247.8436</v>
      </c>
      <c r="D17" s="172" t="n">
        <f aca="false">C17*(1+Assumptions!$E$25)</f>
        <v>4375.278908</v>
      </c>
      <c r="E17" s="153" t="n">
        <f aca="false">Assumptions!$E$19*Assumptions!$E$23*(1+Assumptions!$E$25)^(E5-2000)/1000</f>
        <v>4506.53727524</v>
      </c>
      <c r="F17" s="153" t="n">
        <f aca="false">Assumptions!$E$19*Assumptions!$E$23*(1+Assumptions!$E$25)^(F5-2000)/1000</f>
        <v>4641.7333934972</v>
      </c>
      <c r="G17" s="153" t="n">
        <f aca="false">Assumptions!$E$19*Assumptions!$E$23*(1+Assumptions!$E$25)^(G5-2000)/1000</f>
        <v>4780.98539530212</v>
      </c>
      <c r="H17" s="153" t="n">
        <f aca="false">Assumptions!$E$19*Assumptions!$E$23*(1+Assumptions!$E$25)^(H5-2000)/1000</f>
        <v>4924.41495716118</v>
      </c>
      <c r="I17" s="153" t="n">
        <f aca="false">Assumptions!$E$19*Assumptions!$E$23*(1+Assumptions!$E$25)^(I5-2000)/1000</f>
        <v>5072.14740587602</v>
      </c>
      <c r="J17" s="153" t="n">
        <f aca="false">Assumptions!$E$19*Assumptions!$E$23*(1+Assumptions!$E$25)^(J5-2000)/1000</f>
        <v>5224.3118280523</v>
      </c>
      <c r="K17" s="153" t="n">
        <f aca="false">Assumptions!$E$19*Assumptions!$E$23*(1+Assumptions!$E$25)^(K5-2000)/1000</f>
        <v>5381.04118289387</v>
      </c>
      <c r="L17" s="153" t="n">
        <f aca="false">Assumptions!$E$19*Assumptions!$E$23*(1+Assumptions!$E$25)^(L5-2000)/1000</f>
        <v>5542.47241838068</v>
      </c>
      <c r="M17" s="153" t="n">
        <f aca="false">Assumptions!$E$19*Assumptions!$E$23*(1+Assumptions!$E$25)^(M5-2000)/1000</f>
        <v>5708.7465909321</v>
      </c>
      <c r="N17" s="153" t="n">
        <f aca="false">Assumptions!$E$19*Assumptions!$E$23*(1+Assumptions!$E$25)^(N5-2000)/1000</f>
        <v>5880.00898866007</v>
      </c>
      <c r="O17" s="153" t="n">
        <f aca="false">Assumptions!$E$19*Assumptions!$E$23*(1+Assumptions!$E$25)^(O5-2000)/1000</f>
        <v>6056.40925831987</v>
      </c>
      <c r="P17" s="153" t="n">
        <f aca="false">Assumptions!$E$19*Assumptions!$E$23*(1+Assumptions!$E$25)^(P5-2000)/1000</f>
        <v>6238.10153606946</v>
      </c>
      <c r="Q17" s="153" t="n">
        <f aca="false">Assumptions!$E$19*Assumptions!$E$23*(1+Assumptions!$E$25)^(Q5-2000)/1000</f>
        <v>6425.24458215155</v>
      </c>
      <c r="R17" s="153" t="n">
        <f aca="false">Assumptions!$E$19*Assumptions!$E$23*(1+Assumptions!$E$25)^(R5-2000)/1000</f>
        <v>6618.00191961609</v>
      </c>
      <c r="S17" s="153" t="n">
        <f aca="false">Assumptions!$E$19*Assumptions!$E$23*(1+Assumptions!$E$25)^(S5-2000)/1000</f>
        <v>6816.54197720458</v>
      </c>
      <c r="T17" s="153" t="n">
        <f aca="false">Assumptions!$E$19*Assumptions!$E$23*(1+Assumptions!$E$25)^(T5-2000)/1000</f>
        <v>7021.03823652072</v>
      </c>
      <c r="U17" s="153" t="n">
        <f aca="false">Assumptions!$E$19*Assumptions!$E$23*(1+Assumptions!$E$25)^(U5-2000)/1000</f>
        <v>7231.66938361634</v>
      </c>
      <c r="W17" s="164" t="n">
        <f aca="false">SUM(B17:U17)</f>
        <v>110816.648837494</v>
      </c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316"/>
      <c r="AU17" s="316"/>
      <c r="AV17" s="316"/>
      <c r="AW17" s="316"/>
      <c r="AX17" s="316"/>
      <c r="AY17" s="316"/>
      <c r="AZ17" s="316"/>
      <c r="BA17" s="316"/>
      <c r="BB17" s="316"/>
      <c r="BC17" s="316"/>
      <c r="BD17" s="316"/>
      <c r="BE17" s="316"/>
      <c r="BF17" s="316"/>
      <c r="BG17" s="316"/>
      <c r="BH17" s="316"/>
      <c r="BI17" s="316"/>
      <c r="BJ17" s="316"/>
      <c r="BK17" s="316"/>
      <c r="BL17" s="316"/>
      <c r="BM17" s="316"/>
      <c r="BN17" s="316"/>
      <c r="BO17" s="316"/>
      <c r="BP17" s="316"/>
      <c r="BQ17" s="316"/>
      <c r="BR17" s="316"/>
      <c r="BS17" s="316"/>
      <c r="BT17" s="316"/>
      <c r="BU17" s="316"/>
      <c r="BV17" s="316"/>
      <c r="BW17" s="316"/>
      <c r="BX17" s="316"/>
      <c r="BY17" s="316"/>
      <c r="BZ17" s="316"/>
      <c r="CA17" s="316"/>
      <c r="CB17" s="316"/>
      <c r="CC17" s="316"/>
      <c r="CD17" s="316"/>
      <c r="CE17" s="316"/>
      <c r="CF17" s="316"/>
      <c r="CG17" s="316"/>
      <c r="CH17" s="316"/>
      <c r="CI17" s="316"/>
      <c r="CJ17" s="316"/>
      <c r="CK17" s="316"/>
      <c r="CL17" s="316"/>
      <c r="CM17" s="316"/>
      <c r="CN17" s="316"/>
      <c r="CO17" s="316"/>
      <c r="CP17" s="316"/>
      <c r="CQ17" s="316"/>
      <c r="CR17" s="316"/>
      <c r="CS17" s="316"/>
      <c r="CT17" s="316"/>
      <c r="CU17" s="316"/>
      <c r="CV17" s="316"/>
      <c r="CW17" s="316"/>
      <c r="CX17" s="316"/>
      <c r="CY17" s="316"/>
      <c r="CZ17" s="316"/>
      <c r="DA17" s="316"/>
      <c r="DB17" s="316"/>
      <c r="DC17" s="316"/>
      <c r="DD17" s="316"/>
      <c r="DE17" s="316"/>
      <c r="DF17" s="316"/>
      <c r="DG17" s="316"/>
      <c r="DH17" s="316"/>
      <c r="DI17" s="316"/>
      <c r="DJ17" s="316"/>
      <c r="DK17" s="316"/>
      <c r="DL17" s="316"/>
      <c r="DM17" s="316"/>
      <c r="DN17" s="316"/>
      <c r="DO17" s="316"/>
      <c r="DP17" s="316"/>
      <c r="DQ17" s="316"/>
      <c r="DR17" s="316"/>
      <c r="DS17" s="316"/>
      <c r="DT17" s="316"/>
      <c r="DU17" s="316"/>
      <c r="DV17" s="316"/>
      <c r="DW17" s="316"/>
      <c r="DX17" s="316"/>
      <c r="DY17" s="316"/>
      <c r="DZ17" s="316"/>
      <c r="EA17" s="316"/>
      <c r="EB17" s="316"/>
      <c r="EC17" s="316"/>
      <c r="ED17" s="316"/>
      <c r="EE17" s="316"/>
      <c r="EF17" s="316"/>
      <c r="EG17" s="316"/>
      <c r="EH17" s="316"/>
      <c r="EI17" s="316"/>
      <c r="EJ17" s="316"/>
      <c r="EK17" s="316"/>
      <c r="EL17" s="316"/>
      <c r="EM17" s="316"/>
      <c r="EN17" s="316"/>
      <c r="EO17" s="316"/>
      <c r="EP17" s="316"/>
      <c r="EQ17" s="316"/>
      <c r="ER17" s="316"/>
      <c r="ES17" s="316"/>
      <c r="ET17" s="316"/>
      <c r="EU17" s="316"/>
      <c r="EV17" s="316"/>
      <c r="EW17" s="316"/>
      <c r="EX17" s="316"/>
      <c r="EY17" s="316"/>
      <c r="EZ17" s="316"/>
      <c r="FA17" s="316"/>
      <c r="FB17" s="316"/>
      <c r="FC17" s="316"/>
      <c r="FD17" s="316"/>
      <c r="FE17" s="316"/>
      <c r="FF17" s="316"/>
      <c r="FG17" s="316"/>
      <c r="FH17" s="316"/>
      <c r="FI17" s="316"/>
      <c r="FJ17" s="316"/>
      <c r="FK17" s="316"/>
      <c r="FL17" s="316"/>
      <c r="FM17" s="316"/>
      <c r="FN17" s="316"/>
      <c r="FO17" s="316"/>
      <c r="FP17" s="316"/>
      <c r="FQ17" s="316"/>
      <c r="FR17" s="316"/>
      <c r="FS17" s="316"/>
      <c r="FT17" s="316"/>
      <c r="FU17" s="316"/>
      <c r="FV17" s="316"/>
      <c r="FW17" s="316"/>
      <c r="FX17" s="316"/>
      <c r="FY17" s="316"/>
      <c r="FZ17" s="316"/>
      <c r="GA17" s="316"/>
      <c r="GB17" s="316"/>
      <c r="GC17" s="316"/>
      <c r="GD17" s="316"/>
      <c r="GE17" s="316"/>
      <c r="GF17" s="316"/>
      <c r="GG17" s="316"/>
      <c r="GH17" s="316"/>
      <c r="GI17" s="316"/>
      <c r="GJ17" s="316"/>
      <c r="GK17" s="316"/>
      <c r="GL17" s="316"/>
      <c r="GM17" s="316"/>
      <c r="GN17" s="316"/>
      <c r="GO17" s="316"/>
      <c r="GP17" s="316"/>
      <c r="GQ17" s="316"/>
      <c r="GR17" s="316"/>
      <c r="GS17" s="316"/>
      <c r="GT17" s="316"/>
      <c r="GU17" s="316"/>
      <c r="GV17" s="316"/>
      <c r="GW17" s="316"/>
      <c r="GX17" s="316"/>
      <c r="GY17" s="316"/>
      <c r="GZ17" s="316"/>
      <c r="HA17" s="316"/>
      <c r="HB17" s="316"/>
      <c r="HC17" s="316"/>
      <c r="HD17" s="316"/>
      <c r="HE17" s="316"/>
      <c r="HF17" s="316"/>
      <c r="HG17" s="316"/>
      <c r="HH17" s="316"/>
      <c r="HI17" s="316"/>
      <c r="HJ17" s="316"/>
      <c r="HK17" s="316"/>
      <c r="HL17" s="316"/>
      <c r="HM17" s="316"/>
      <c r="HN17" s="316"/>
      <c r="HO17" s="316"/>
      <c r="HP17" s="316"/>
      <c r="HQ17" s="316"/>
      <c r="HR17" s="316"/>
      <c r="HS17" s="316"/>
      <c r="HT17" s="316"/>
      <c r="HU17" s="316"/>
      <c r="HV17" s="316"/>
      <c r="HW17" s="316"/>
      <c r="HX17" s="316"/>
      <c r="HY17" s="316"/>
      <c r="HZ17" s="316"/>
      <c r="IA17" s="316"/>
      <c r="IB17" s="316"/>
      <c r="IC17" s="316"/>
      <c r="ID17" s="316"/>
      <c r="IE17" s="316"/>
      <c r="IF17" s="316"/>
      <c r="IG17" s="316"/>
      <c r="IH17" s="316"/>
      <c r="II17" s="316"/>
      <c r="IJ17" s="316"/>
      <c r="IK17" s="316"/>
      <c r="IL17" s="316"/>
      <c r="IM17" s="316"/>
      <c r="IN17" s="316"/>
      <c r="IO17" s="316"/>
      <c r="IP17" s="316"/>
      <c r="IQ17" s="316"/>
      <c r="IR17" s="316"/>
      <c r="IS17" s="316"/>
      <c r="IT17" s="316"/>
      <c r="IU17" s="316"/>
      <c r="IV17" s="316"/>
      <c r="IW17" s="316"/>
    </row>
    <row r="18" customFormat="false" ht="12.75" hidden="false" customHeight="false" outlineLevel="0" collapsed="false">
      <c r="A18" s="169" t="s">
        <v>111</v>
      </c>
      <c r="B18" s="153" t="n">
        <f aca="false">Assumptions!$E$24*Assumptions!$E$11*Assumptions!$E$8/1000*(1+Assumptions!$E$25)</f>
        <v>618</v>
      </c>
      <c r="C18" s="164" t="n">
        <f aca="false">B18*(1+Assumptions!$E$25)</f>
        <v>636.54</v>
      </c>
      <c r="D18" s="164" t="n">
        <f aca="false">C18*(1+Assumptions!$E$25)</f>
        <v>655.6362</v>
      </c>
      <c r="E18" s="164" t="n">
        <f aca="false">D18*(1+Assumptions!$E$25)</f>
        <v>675.305286</v>
      </c>
      <c r="F18" s="164" t="n">
        <f aca="false">E18*(1+Assumptions!$E$25)</f>
        <v>695.56444458</v>
      </c>
      <c r="G18" s="164" t="n">
        <f aca="false">F18*(1+Assumptions!$E$25)</f>
        <v>716.4313779174</v>
      </c>
      <c r="H18" s="164" t="n">
        <f aca="false">G18*(1+Assumptions!$E$25)</f>
        <v>737.924319254922</v>
      </c>
      <c r="I18" s="164" t="n">
        <f aca="false">H18*(1+Assumptions!$E$25)</f>
        <v>760.06204883257</v>
      </c>
      <c r="J18" s="164" t="n">
        <f aca="false">I18*(1+Assumptions!$E$25)</f>
        <v>782.863910297547</v>
      </c>
      <c r="K18" s="164" t="n">
        <f aca="false">J18*(1+Assumptions!$E$25)</f>
        <v>806.349827606473</v>
      </c>
      <c r="L18" s="164" t="n">
        <f aca="false">K18*(1+Assumptions!$E$25)</f>
        <v>830.540322434668</v>
      </c>
      <c r="M18" s="164" t="n">
        <f aca="false">L18*(1+Assumptions!$E$25)</f>
        <v>855.456532107708</v>
      </c>
      <c r="N18" s="164" t="n">
        <f aca="false">M18*(1+Assumptions!$E$25)</f>
        <v>881.120228070939</v>
      </c>
      <c r="O18" s="164" t="n">
        <f aca="false">N18*(1+Assumptions!$E$25)</f>
        <v>907.553834913067</v>
      </c>
      <c r="P18" s="164" t="n">
        <f aca="false">O18*(1+Assumptions!$E$25)</f>
        <v>934.780449960459</v>
      </c>
      <c r="Q18" s="164" t="n">
        <f aca="false">P18*(1+Assumptions!$E$25)</f>
        <v>962.823863459273</v>
      </c>
      <c r="R18" s="164" t="n">
        <f aca="false">Q18*(1+Assumptions!$E$25)</f>
        <v>991.708579363051</v>
      </c>
      <c r="S18" s="164" t="n">
        <f aca="false">R18*(1+Assumptions!$E$25)</f>
        <v>1021.45983674394</v>
      </c>
      <c r="T18" s="164" t="n">
        <f aca="false">S18*(1+Assumptions!$E$25)</f>
        <v>1052.10363184626</v>
      </c>
      <c r="U18" s="164" t="n">
        <f aca="false">T18*(1+Assumptions!$E$25)</f>
        <v>1083.66674080165</v>
      </c>
      <c r="W18" s="164" t="n">
        <f aca="false">SUM(B18:U18)</f>
        <v>16605.8914341899</v>
      </c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316"/>
      <c r="AU18" s="316"/>
      <c r="AV18" s="316"/>
      <c r="AW18" s="316"/>
      <c r="AX18" s="316"/>
      <c r="AY18" s="316"/>
      <c r="AZ18" s="316"/>
      <c r="BA18" s="316"/>
      <c r="BB18" s="316"/>
      <c r="BC18" s="316"/>
      <c r="BD18" s="316"/>
      <c r="BE18" s="316"/>
      <c r="BF18" s="316"/>
      <c r="BG18" s="316"/>
      <c r="BH18" s="316"/>
      <c r="BI18" s="316"/>
      <c r="BJ18" s="316"/>
      <c r="BK18" s="316"/>
      <c r="BL18" s="316"/>
      <c r="BM18" s="316"/>
      <c r="BN18" s="316"/>
      <c r="BO18" s="316"/>
      <c r="BP18" s="316"/>
      <c r="BQ18" s="316"/>
      <c r="BR18" s="316"/>
      <c r="BS18" s="316"/>
      <c r="BT18" s="316"/>
      <c r="BU18" s="316"/>
      <c r="BV18" s="316"/>
      <c r="BW18" s="316"/>
      <c r="BX18" s="316"/>
      <c r="BY18" s="316"/>
      <c r="BZ18" s="316"/>
      <c r="CA18" s="316"/>
      <c r="CB18" s="316"/>
      <c r="CC18" s="316"/>
      <c r="CD18" s="316"/>
      <c r="CE18" s="316"/>
      <c r="CF18" s="316"/>
      <c r="CG18" s="316"/>
      <c r="CH18" s="316"/>
      <c r="CI18" s="316"/>
      <c r="CJ18" s="316"/>
      <c r="CK18" s="316"/>
      <c r="CL18" s="316"/>
      <c r="CM18" s="316"/>
      <c r="CN18" s="316"/>
      <c r="CO18" s="316"/>
      <c r="CP18" s="316"/>
      <c r="CQ18" s="316"/>
      <c r="CR18" s="316"/>
      <c r="CS18" s="316"/>
      <c r="CT18" s="316"/>
      <c r="CU18" s="316"/>
      <c r="CV18" s="316"/>
      <c r="CW18" s="316"/>
      <c r="CX18" s="316"/>
      <c r="CY18" s="316"/>
      <c r="CZ18" s="316"/>
      <c r="DA18" s="316"/>
      <c r="DB18" s="316"/>
      <c r="DC18" s="316"/>
      <c r="DD18" s="316"/>
      <c r="DE18" s="316"/>
      <c r="DF18" s="316"/>
      <c r="DG18" s="316"/>
      <c r="DH18" s="316"/>
      <c r="DI18" s="316"/>
      <c r="DJ18" s="316"/>
      <c r="DK18" s="316"/>
      <c r="DL18" s="316"/>
      <c r="DM18" s="316"/>
      <c r="DN18" s="316"/>
      <c r="DO18" s="316"/>
      <c r="DP18" s="316"/>
      <c r="DQ18" s="316"/>
      <c r="DR18" s="316"/>
      <c r="DS18" s="316"/>
      <c r="DT18" s="316"/>
      <c r="DU18" s="316"/>
      <c r="DV18" s="316"/>
      <c r="DW18" s="316"/>
      <c r="DX18" s="316"/>
      <c r="DY18" s="316"/>
      <c r="DZ18" s="316"/>
      <c r="EA18" s="316"/>
      <c r="EB18" s="316"/>
      <c r="EC18" s="316"/>
      <c r="ED18" s="316"/>
      <c r="EE18" s="316"/>
      <c r="EF18" s="316"/>
      <c r="EG18" s="316"/>
      <c r="EH18" s="316"/>
      <c r="EI18" s="316"/>
      <c r="EJ18" s="316"/>
      <c r="EK18" s="316"/>
      <c r="EL18" s="316"/>
      <c r="EM18" s="316"/>
      <c r="EN18" s="316"/>
      <c r="EO18" s="316"/>
      <c r="EP18" s="316"/>
      <c r="EQ18" s="316"/>
      <c r="ER18" s="316"/>
      <c r="ES18" s="316"/>
      <c r="ET18" s="316"/>
      <c r="EU18" s="316"/>
      <c r="EV18" s="316"/>
      <c r="EW18" s="316"/>
      <c r="EX18" s="316"/>
      <c r="EY18" s="316"/>
      <c r="EZ18" s="316"/>
      <c r="FA18" s="316"/>
      <c r="FB18" s="316"/>
      <c r="FC18" s="316"/>
      <c r="FD18" s="316"/>
      <c r="FE18" s="316"/>
      <c r="FF18" s="316"/>
      <c r="FG18" s="316"/>
      <c r="FH18" s="316"/>
      <c r="FI18" s="316"/>
      <c r="FJ18" s="316"/>
      <c r="FK18" s="316"/>
      <c r="FL18" s="316"/>
      <c r="FM18" s="316"/>
      <c r="FN18" s="316"/>
      <c r="FO18" s="316"/>
      <c r="FP18" s="316"/>
      <c r="FQ18" s="316"/>
      <c r="FR18" s="316"/>
      <c r="FS18" s="316"/>
      <c r="FT18" s="316"/>
      <c r="FU18" s="316"/>
      <c r="FV18" s="316"/>
      <c r="FW18" s="316"/>
      <c r="FX18" s="316"/>
      <c r="FY18" s="316"/>
      <c r="FZ18" s="316"/>
      <c r="GA18" s="316"/>
      <c r="GB18" s="316"/>
      <c r="GC18" s="316"/>
      <c r="GD18" s="316"/>
      <c r="GE18" s="316"/>
      <c r="GF18" s="316"/>
      <c r="GG18" s="316"/>
      <c r="GH18" s="316"/>
      <c r="GI18" s="316"/>
      <c r="GJ18" s="316"/>
      <c r="GK18" s="316"/>
      <c r="GL18" s="316"/>
      <c r="GM18" s="316"/>
      <c r="GN18" s="316"/>
      <c r="GO18" s="316"/>
      <c r="GP18" s="316"/>
      <c r="GQ18" s="316"/>
      <c r="GR18" s="316"/>
      <c r="GS18" s="316"/>
      <c r="GT18" s="316"/>
      <c r="GU18" s="316"/>
      <c r="GV18" s="316"/>
      <c r="GW18" s="316"/>
      <c r="GX18" s="316"/>
      <c r="GY18" s="316"/>
      <c r="GZ18" s="316"/>
      <c r="HA18" s="316"/>
      <c r="HB18" s="316"/>
      <c r="HC18" s="316"/>
      <c r="HD18" s="316"/>
      <c r="HE18" s="316"/>
      <c r="HF18" s="316"/>
      <c r="HG18" s="316"/>
      <c r="HH18" s="316"/>
      <c r="HI18" s="316"/>
      <c r="HJ18" s="316"/>
      <c r="HK18" s="316"/>
      <c r="HL18" s="316"/>
      <c r="HM18" s="316"/>
      <c r="HN18" s="316"/>
      <c r="HO18" s="316"/>
      <c r="HP18" s="316"/>
      <c r="HQ18" s="316"/>
      <c r="HR18" s="316"/>
      <c r="HS18" s="316"/>
      <c r="HT18" s="316"/>
      <c r="HU18" s="316"/>
      <c r="HV18" s="316"/>
      <c r="HW18" s="316"/>
      <c r="HX18" s="316"/>
      <c r="HY18" s="316"/>
      <c r="HZ18" s="316"/>
      <c r="IA18" s="316"/>
      <c r="IB18" s="316"/>
      <c r="IC18" s="316"/>
      <c r="ID18" s="316"/>
      <c r="IE18" s="316"/>
      <c r="IF18" s="316"/>
      <c r="IG18" s="316"/>
      <c r="IH18" s="316"/>
      <c r="II18" s="316"/>
      <c r="IJ18" s="316"/>
      <c r="IK18" s="316"/>
      <c r="IL18" s="316"/>
      <c r="IM18" s="316"/>
      <c r="IN18" s="316"/>
      <c r="IO18" s="316"/>
      <c r="IP18" s="316"/>
      <c r="IQ18" s="316"/>
      <c r="IR18" s="316"/>
      <c r="IS18" s="316"/>
      <c r="IT18" s="316"/>
      <c r="IU18" s="316"/>
      <c r="IV18" s="316"/>
      <c r="IW18" s="316"/>
    </row>
    <row r="19" customFormat="false" ht="12.75" hidden="false" customHeight="false" outlineLevel="0" collapsed="false">
      <c r="A19" s="169" t="s">
        <v>76</v>
      </c>
      <c r="B19" s="153" t="n">
        <f aca="false">Assumptions!E31*(1+Assumptions!$E$25)</f>
        <v>412.666557142857</v>
      </c>
      <c r="C19" s="164" t="n">
        <f aca="false">B19*(1+Assumptions!$E$25)</f>
        <v>425.046553857143</v>
      </c>
      <c r="D19" s="164" t="n">
        <f aca="false">C19*(1+Assumptions!$E$25)</f>
        <v>437.797950472857</v>
      </c>
      <c r="E19" s="164" t="n">
        <f aca="false">D19*(1+Assumptions!$E$25)</f>
        <v>450.931888987043</v>
      </c>
      <c r="F19" s="164" t="n">
        <f aca="false">E19*(1+Assumptions!$E$25)</f>
        <v>464.459845656654</v>
      </c>
      <c r="G19" s="164" t="n">
        <f aca="false">F19*(1+Assumptions!$E$25)</f>
        <v>478.393641026354</v>
      </c>
      <c r="H19" s="164" t="n">
        <f aca="false">G19*(1+Assumptions!$E$25)</f>
        <v>492.745450257144</v>
      </c>
      <c r="I19" s="164" t="n">
        <f aca="false">H19*(1+Assumptions!$E$25)</f>
        <v>507.527813764859</v>
      </c>
      <c r="J19" s="164" t="n">
        <f aca="false">I19*(1+Assumptions!$E$25)</f>
        <v>522.753648177805</v>
      </c>
      <c r="K19" s="164" t="n">
        <f aca="false">J19*(1+Assumptions!$E$25)</f>
        <v>538.436257623139</v>
      </c>
      <c r="L19" s="164" t="n">
        <f aca="false">K19*(1+Assumptions!$E$25)</f>
        <v>554.589345351833</v>
      </c>
      <c r="M19" s="164" t="n">
        <f aca="false">L19*(1+Assumptions!$E$25)</f>
        <v>571.227025712388</v>
      </c>
      <c r="N19" s="164" t="n">
        <f aca="false">M19*(1+Assumptions!$E$25)</f>
        <v>588.363836483759</v>
      </c>
      <c r="O19" s="164" t="n">
        <f aca="false">N19*(1+Assumptions!$E$25)</f>
        <v>606.014751578272</v>
      </c>
      <c r="P19" s="164" t="n">
        <f aca="false">O19*(1+Assumptions!$E$25)</f>
        <v>624.19519412562</v>
      </c>
      <c r="Q19" s="164" t="n">
        <f aca="false">P19*(1+Assumptions!$E$25)</f>
        <v>642.921049949389</v>
      </c>
      <c r="R19" s="164" t="n">
        <f aca="false">Q19*(1+Assumptions!$E$25)</f>
        <v>662.208681447871</v>
      </c>
      <c r="S19" s="164" t="n">
        <f aca="false">R19*(1+Assumptions!$E$25)</f>
        <v>682.074941891307</v>
      </c>
      <c r="T19" s="164" t="n">
        <f aca="false">S19*(1+Assumptions!$E$25)</f>
        <v>702.537190148046</v>
      </c>
      <c r="U19" s="164" t="n">
        <f aca="false">T19*(1+Assumptions!$E$25)</f>
        <v>723.613305852487</v>
      </c>
      <c r="W19" s="164" t="n">
        <f aca="false">SUM(B19:U19)</f>
        <v>11088.5049295068</v>
      </c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316"/>
      <c r="AU19" s="316"/>
      <c r="AV19" s="316"/>
      <c r="AW19" s="316"/>
      <c r="AX19" s="316"/>
      <c r="AY19" s="316"/>
      <c r="AZ19" s="316"/>
      <c r="BA19" s="316"/>
      <c r="BB19" s="316"/>
      <c r="BC19" s="316"/>
      <c r="BD19" s="316"/>
      <c r="BE19" s="316"/>
      <c r="BF19" s="316"/>
      <c r="BG19" s="316"/>
      <c r="BH19" s="316"/>
      <c r="BI19" s="316"/>
      <c r="BJ19" s="316"/>
      <c r="BK19" s="316"/>
      <c r="BL19" s="316"/>
      <c r="BM19" s="316"/>
      <c r="BN19" s="316"/>
      <c r="BO19" s="316"/>
      <c r="BP19" s="316"/>
      <c r="BQ19" s="316"/>
      <c r="BR19" s="316"/>
      <c r="BS19" s="316"/>
      <c r="BT19" s="316"/>
      <c r="BU19" s="316"/>
      <c r="BV19" s="316"/>
      <c r="BW19" s="316"/>
      <c r="BX19" s="316"/>
      <c r="BY19" s="316"/>
      <c r="BZ19" s="316"/>
      <c r="CA19" s="316"/>
      <c r="CB19" s="316"/>
      <c r="CC19" s="316"/>
      <c r="CD19" s="316"/>
      <c r="CE19" s="316"/>
      <c r="CF19" s="316"/>
      <c r="CG19" s="316"/>
      <c r="CH19" s="316"/>
      <c r="CI19" s="316"/>
      <c r="CJ19" s="316"/>
      <c r="CK19" s="316"/>
      <c r="CL19" s="316"/>
      <c r="CM19" s="316"/>
      <c r="CN19" s="316"/>
      <c r="CO19" s="316"/>
      <c r="CP19" s="316"/>
      <c r="CQ19" s="316"/>
      <c r="CR19" s="316"/>
      <c r="CS19" s="316"/>
      <c r="CT19" s="316"/>
      <c r="CU19" s="316"/>
      <c r="CV19" s="316"/>
      <c r="CW19" s="316"/>
      <c r="CX19" s="316"/>
      <c r="CY19" s="316"/>
      <c r="CZ19" s="316"/>
      <c r="DA19" s="316"/>
      <c r="DB19" s="316"/>
      <c r="DC19" s="316"/>
      <c r="DD19" s="316"/>
      <c r="DE19" s="316"/>
      <c r="DF19" s="316"/>
      <c r="DG19" s="316"/>
      <c r="DH19" s="316"/>
      <c r="DI19" s="316"/>
      <c r="DJ19" s="316"/>
      <c r="DK19" s="316"/>
      <c r="DL19" s="316"/>
      <c r="DM19" s="316"/>
      <c r="DN19" s="316"/>
      <c r="DO19" s="316"/>
      <c r="DP19" s="316"/>
      <c r="DQ19" s="316"/>
      <c r="DR19" s="316"/>
      <c r="DS19" s="316"/>
      <c r="DT19" s="316"/>
      <c r="DU19" s="316"/>
      <c r="DV19" s="316"/>
      <c r="DW19" s="316"/>
      <c r="DX19" s="316"/>
      <c r="DY19" s="316"/>
      <c r="DZ19" s="316"/>
      <c r="EA19" s="316"/>
      <c r="EB19" s="316"/>
      <c r="EC19" s="316"/>
      <c r="ED19" s="316"/>
      <c r="EE19" s="316"/>
      <c r="EF19" s="316"/>
      <c r="EG19" s="316"/>
      <c r="EH19" s="316"/>
      <c r="EI19" s="316"/>
      <c r="EJ19" s="316"/>
      <c r="EK19" s="316"/>
      <c r="EL19" s="316"/>
      <c r="EM19" s="316"/>
      <c r="EN19" s="316"/>
      <c r="EO19" s="316"/>
      <c r="EP19" s="316"/>
      <c r="EQ19" s="316"/>
      <c r="ER19" s="316"/>
      <c r="ES19" s="316"/>
      <c r="ET19" s="316"/>
      <c r="EU19" s="316"/>
      <c r="EV19" s="316"/>
      <c r="EW19" s="316"/>
      <c r="EX19" s="316"/>
      <c r="EY19" s="316"/>
      <c r="EZ19" s="316"/>
      <c r="FA19" s="316"/>
      <c r="FB19" s="316"/>
      <c r="FC19" s="316"/>
      <c r="FD19" s="316"/>
      <c r="FE19" s="316"/>
      <c r="FF19" s="316"/>
      <c r="FG19" s="316"/>
      <c r="FH19" s="316"/>
      <c r="FI19" s="316"/>
      <c r="FJ19" s="316"/>
      <c r="FK19" s="316"/>
      <c r="FL19" s="316"/>
      <c r="FM19" s="316"/>
      <c r="FN19" s="316"/>
      <c r="FO19" s="316"/>
      <c r="FP19" s="316"/>
      <c r="FQ19" s="316"/>
      <c r="FR19" s="316"/>
      <c r="FS19" s="316"/>
      <c r="FT19" s="316"/>
      <c r="FU19" s="316"/>
      <c r="FV19" s="316"/>
      <c r="FW19" s="316"/>
      <c r="FX19" s="316"/>
      <c r="FY19" s="316"/>
      <c r="FZ19" s="316"/>
      <c r="GA19" s="316"/>
      <c r="GB19" s="316"/>
      <c r="GC19" s="316"/>
      <c r="GD19" s="316"/>
      <c r="GE19" s="316"/>
      <c r="GF19" s="316"/>
      <c r="GG19" s="316"/>
      <c r="GH19" s="316"/>
      <c r="GI19" s="316"/>
      <c r="GJ19" s="316"/>
      <c r="GK19" s="316"/>
      <c r="GL19" s="316"/>
      <c r="GM19" s="316"/>
      <c r="GN19" s="316"/>
      <c r="GO19" s="316"/>
      <c r="GP19" s="316"/>
      <c r="GQ19" s="316"/>
      <c r="GR19" s="316"/>
      <c r="GS19" s="316"/>
      <c r="GT19" s="316"/>
      <c r="GU19" s="316"/>
      <c r="GV19" s="316"/>
      <c r="GW19" s="316"/>
      <c r="GX19" s="316"/>
      <c r="GY19" s="316"/>
      <c r="GZ19" s="316"/>
      <c r="HA19" s="316"/>
      <c r="HB19" s="316"/>
      <c r="HC19" s="316"/>
      <c r="HD19" s="316"/>
      <c r="HE19" s="316"/>
      <c r="HF19" s="316"/>
      <c r="HG19" s="316"/>
      <c r="HH19" s="316"/>
      <c r="HI19" s="316"/>
      <c r="HJ19" s="316"/>
      <c r="HK19" s="316"/>
      <c r="HL19" s="316"/>
      <c r="HM19" s="316"/>
      <c r="HN19" s="316"/>
      <c r="HO19" s="316"/>
      <c r="HP19" s="316"/>
      <c r="HQ19" s="316"/>
      <c r="HR19" s="316"/>
      <c r="HS19" s="316"/>
      <c r="HT19" s="316"/>
      <c r="HU19" s="316"/>
      <c r="HV19" s="316"/>
      <c r="HW19" s="316"/>
      <c r="HX19" s="316"/>
      <c r="HY19" s="316"/>
      <c r="HZ19" s="316"/>
      <c r="IA19" s="316"/>
      <c r="IB19" s="316"/>
      <c r="IC19" s="316"/>
      <c r="ID19" s="316"/>
      <c r="IE19" s="316"/>
      <c r="IF19" s="316"/>
      <c r="IG19" s="316"/>
      <c r="IH19" s="316"/>
      <c r="II19" s="316"/>
      <c r="IJ19" s="316"/>
      <c r="IK19" s="316"/>
      <c r="IL19" s="316"/>
      <c r="IM19" s="316"/>
      <c r="IN19" s="316"/>
      <c r="IO19" s="316"/>
      <c r="IP19" s="316"/>
      <c r="IQ19" s="316"/>
      <c r="IR19" s="316"/>
      <c r="IS19" s="316"/>
      <c r="IT19" s="316"/>
      <c r="IU19" s="316"/>
      <c r="IV19" s="316"/>
      <c r="IW19" s="316"/>
    </row>
    <row r="20" customFormat="false" ht="12.75" hidden="false" customHeight="false" outlineLevel="0" collapsed="false">
      <c r="A20" s="169" t="s">
        <v>194</v>
      </c>
      <c r="B20" s="318" t="n">
        <v>572</v>
      </c>
      <c r="C20" s="318" t="n">
        <v>583.4</v>
      </c>
      <c r="D20" s="318" t="n">
        <v>595.1</v>
      </c>
      <c r="E20" s="318" t="n">
        <v>607</v>
      </c>
      <c r="F20" s="318" t="n">
        <v>619.1</v>
      </c>
      <c r="G20" s="318" t="n">
        <v>631.5</v>
      </c>
      <c r="H20" s="318" t="n">
        <v>631.5</v>
      </c>
      <c r="I20" s="318" t="n">
        <v>631.5</v>
      </c>
      <c r="J20" s="318" t="n">
        <v>631.5</v>
      </c>
      <c r="K20" s="318" t="n">
        <v>631.5</v>
      </c>
      <c r="L20" s="318" t="n">
        <v>631.5</v>
      </c>
      <c r="M20" s="318" t="n">
        <v>631.5</v>
      </c>
      <c r="N20" s="318" t="n">
        <v>631.5</v>
      </c>
      <c r="O20" s="318" t="n">
        <v>631.5</v>
      </c>
      <c r="P20" s="318" t="n">
        <v>631.5</v>
      </c>
      <c r="Q20" s="318" t="n">
        <v>631.5</v>
      </c>
      <c r="R20" s="318" t="n">
        <v>631.5</v>
      </c>
      <c r="S20" s="318" t="n">
        <v>631.5</v>
      </c>
      <c r="T20" s="318" t="n">
        <v>631.5</v>
      </c>
      <c r="U20" s="318" t="n">
        <v>631.5</v>
      </c>
      <c r="W20" s="164" t="n">
        <f aca="false">SUM(B20:U20)</f>
        <v>12449.1</v>
      </c>
      <c r="X20" s="316"/>
      <c r="Y20" s="316"/>
      <c r="Z20" s="316"/>
      <c r="AA20" s="316"/>
      <c r="AB20" s="316"/>
      <c r="AC20" s="316"/>
      <c r="AD20" s="316"/>
      <c r="AE20" s="316"/>
      <c r="AF20" s="316"/>
      <c r="AG20" s="316"/>
      <c r="AH20" s="316"/>
      <c r="AI20" s="316"/>
      <c r="AJ20" s="316"/>
      <c r="AK20" s="316"/>
      <c r="AL20" s="316"/>
      <c r="AM20" s="316"/>
      <c r="AN20" s="316"/>
      <c r="AO20" s="316"/>
      <c r="AP20" s="316"/>
      <c r="AQ20" s="316"/>
      <c r="AR20" s="316"/>
      <c r="AS20" s="316"/>
      <c r="AT20" s="316"/>
      <c r="AU20" s="316"/>
      <c r="AV20" s="316"/>
      <c r="AW20" s="316"/>
      <c r="AX20" s="316"/>
      <c r="AY20" s="316"/>
      <c r="AZ20" s="316"/>
      <c r="BA20" s="316"/>
      <c r="BB20" s="316"/>
      <c r="BC20" s="316"/>
      <c r="BD20" s="316"/>
      <c r="BE20" s="316"/>
      <c r="BF20" s="316"/>
      <c r="BG20" s="316"/>
      <c r="BH20" s="316"/>
      <c r="BI20" s="316"/>
      <c r="BJ20" s="316"/>
      <c r="BK20" s="316"/>
      <c r="BL20" s="316"/>
      <c r="BM20" s="316"/>
      <c r="BN20" s="316"/>
      <c r="BO20" s="316"/>
      <c r="BP20" s="316"/>
      <c r="BQ20" s="316"/>
      <c r="BR20" s="316"/>
      <c r="BS20" s="316"/>
      <c r="BT20" s="316"/>
      <c r="BU20" s="316"/>
      <c r="BV20" s="316"/>
      <c r="BW20" s="316"/>
      <c r="BX20" s="316"/>
      <c r="BY20" s="316"/>
      <c r="BZ20" s="316"/>
      <c r="CA20" s="316"/>
      <c r="CB20" s="316"/>
      <c r="CC20" s="316"/>
      <c r="CD20" s="316"/>
      <c r="CE20" s="316"/>
      <c r="CF20" s="316"/>
      <c r="CG20" s="316"/>
      <c r="CH20" s="316"/>
      <c r="CI20" s="316"/>
      <c r="CJ20" s="316"/>
      <c r="CK20" s="316"/>
      <c r="CL20" s="316"/>
      <c r="CM20" s="316"/>
      <c r="CN20" s="316"/>
      <c r="CO20" s="316"/>
      <c r="CP20" s="316"/>
      <c r="CQ20" s="316"/>
      <c r="CR20" s="316"/>
      <c r="CS20" s="316"/>
      <c r="CT20" s="316"/>
      <c r="CU20" s="316"/>
      <c r="CV20" s="316"/>
      <c r="CW20" s="316"/>
      <c r="CX20" s="316"/>
      <c r="CY20" s="316"/>
      <c r="CZ20" s="316"/>
      <c r="DA20" s="316"/>
      <c r="DB20" s="316"/>
      <c r="DC20" s="316"/>
      <c r="DD20" s="316"/>
      <c r="DE20" s="316"/>
      <c r="DF20" s="316"/>
      <c r="DG20" s="316"/>
      <c r="DH20" s="316"/>
      <c r="DI20" s="316"/>
      <c r="DJ20" s="316"/>
      <c r="DK20" s="316"/>
      <c r="DL20" s="316"/>
      <c r="DM20" s="316"/>
      <c r="DN20" s="316"/>
      <c r="DO20" s="316"/>
      <c r="DP20" s="316"/>
      <c r="DQ20" s="316"/>
      <c r="DR20" s="316"/>
      <c r="DS20" s="316"/>
      <c r="DT20" s="316"/>
      <c r="DU20" s="316"/>
      <c r="DV20" s="316"/>
      <c r="DW20" s="316"/>
      <c r="DX20" s="316"/>
      <c r="DY20" s="316"/>
      <c r="DZ20" s="316"/>
      <c r="EA20" s="316"/>
      <c r="EB20" s="316"/>
      <c r="EC20" s="316"/>
      <c r="ED20" s="316"/>
      <c r="EE20" s="316"/>
      <c r="EF20" s="316"/>
      <c r="EG20" s="316"/>
      <c r="EH20" s="316"/>
      <c r="EI20" s="316"/>
      <c r="EJ20" s="316"/>
      <c r="EK20" s="316"/>
      <c r="EL20" s="316"/>
      <c r="EM20" s="316"/>
      <c r="EN20" s="316"/>
      <c r="EO20" s="316"/>
      <c r="EP20" s="316"/>
      <c r="EQ20" s="316"/>
      <c r="ER20" s="316"/>
      <c r="ES20" s="316"/>
      <c r="ET20" s="316"/>
      <c r="EU20" s="316"/>
      <c r="EV20" s="316"/>
      <c r="EW20" s="316"/>
      <c r="EX20" s="316"/>
      <c r="EY20" s="316"/>
      <c r="EZ20" s="316"/>
      <c r="FA20" s="316"/>
      <c r="FB20" s="316"/>
      <c r="FC20" s="316"/>
      <c r="FD20" s="316"/>
      <c r="FE20" s="316"/>
      <c r="FF20" s="316"/>
      <c r="FG20" s="316"/>
      <c r="FH20" s="316"/>
      <c r="FI20" s="316"/>
      <c r="FJ20" s="316"/>
      <c r="FK20" s="316"/>
      <c r="FL20" s="316"/>
      <c r="FM20" s="316"/>
      <c r="FN20" s="316"/>
      <c r="FO20" s="316"/>
      <c r="FP20" s="316"/>
      <c r="FQ20" s="316"/>
      <c r="FR20" s="316"/>
      <c r="FS20" s="316"/>
      <c r="FT20" s="316"/>
      <c r="FU20" s="316"/>
      <c r="FV20" s="316"/>
      <c r="FW20" s="316"/>
      <c r="FX20" s="316"/>
      <c r="FY20" s="316"/>
      <c r="FZ20" s="316"/>
      <c r="GA20" s="316"/>
      <c r="GB20" s="316"/>
      <c r="GC20" s="316"/>
      <c r="GD20" s="316"/>
      <c r="GE20" s="316"/>
      <c r="GF20" s="316"/>
      <c r="GG20" s="316"/>
      <c r="GH20" s="316"/>
      <c r="GI20" s="316"/>
      <c r="GJ20" s="316"/>
      <c r="GK20" s="316"/>
      <c r="GL20" s="316"/>
      <c r="GM20" s="316"/>
      <c r="GN20" s="316"/>
      <c r="GO20" s="316"/>
      <c r="GP20" s="316"/>
      <c r="GQ20" s="316"/>
      <c r="GR20" s="316"/>
      <c r="GS20" s="316"/>
      <c r="GT20" s="316"/>
      <c r="GU20" s="316"/>
      <c r="GV20" s="316"/>
      <c r="GW20" s="316"/>
      <c r="GX20" s="316"/>
      <c r="GY20" s="316"/>
      <c r="GZ20" s="316"/>
      <c r="HA20" s="316"/>
      <c r="HB20" s="316"/>
      <c r="HC20" s="316"/>
      <c r="HD20" s="316"/>
      <c r="HE20" s="316"/>
      <c r="HF20" s="316"/>
      <c r="HG20" s="316"/>
      <c r="HH20" s="316"/>
      <c r="HI20" s="316"/>
      <c r="HJ20" s="316"/>
      <c r="HK20" s="316"/>
      <c r="HL20" s="316"/>
      <c r="HM20" s="316"/>
      <c r="HN20" s="316"/>
      <c r="HO20" s="316"/>
      <c r="HP20" s="316"/>
      <c r="HQ20" s="316"/>
      <c r="HR20" s="316"/>
      <c r="HS20" s="316"/>
      <c r="HT20" s="316"/>
      <c r="HU20" s="316"/>
      <c r="HV20" s="316"/>
      <c r="HW20" s="316"/>
      <c r="HX20" s="316"/>
      <c r="HY20" s="316"/>
      <c r="HZ20" s="316"/>
      <c r="IA20" s="316"/>
      <c r="IB20" s="316"/>
      <c r="IC20" s="316"/>
      <c r="ID20" s="316"/>
      <c r="IE20" s="316"/>
      <c r="IF20" s="316"/>
      <c r="IG20" s="316"/>
      <c r="IH20" s="316"/>
      <c r="II20" s="316"/>
      <c r="IJ20" s="316"/>
      <c r="IK20" s="316"/>
      <c r="IL20" s="316"/>
      <c r="IM20" s="316"/>
      <c r="IN20" s="316"/>
      <c r="IO20" s="316"/>
      <c r="IP20" s="316"/>
      <c r="IQ20" s="316"/>
      <c r="IR20" s="316"/>
      <c r="IS20" s="316"/>
      <c r="IT20" s="316"/>
      <c r="IU20" s="316"/>
      <c r="IV20" s="316"/>
      <c r="IW20" s="316"/>
    </row>
    <row r="21" customFormat="false" ht="12.75" hidden="false" customHeight="false" outlineLevel="0" collapsed="false">
      <c r="A21" s="364" t="s">
        <v>195</v>
      </c>
      <c r="B21" s="171" t="n">
        <f aca="false">B72</f>
        <v>294.242478890973</v>
      </c>
      <c r="C21" s="171" t="n">
        <f aca="false">C72</f>
        <v>196.161652593982</v>
      </c>
      <c r="D21" s="171" t="n">
        <f aca="false">D72</f>
        <v>196.161652593982</v>
      </c>
      <c r="E21" s="171" t="n">
        <f aca="false">E72</f>
        <v>196.161652593982</v>
      </c>
      <c r="F21" s="171" t="n">
        <f aca="false">F72</f>
        <v>196.161652593982</v>
      </c>
      <c r="G21" s="171" t="n">
        <f aca="false">G72</f>
        <v>196.161652593982</v>
      </c>
      <c r="H21" s="171" t="n">
        <f aca="false">H72</f>
        <v>196.161652593982</v>
      </c>
      <c r="I21" s="171" t="n">
        <f aca="false">I72</f>
        <v>196.161652593982</v>
      </c>
      <c r="J21" s="171" t="n">
        <f aca="false">J72</f>
        <v>196.161652593982</v>
      </c>
      <c r="K21" s="171" t="n">
        <f aca="false">K72</f>
        <v>196.161652593982</v>
      </c>
      <c r="L21" s="171" t="n">
        <f aca="false">L72</f>
        <v>196.161652593982</v>
      </c>
      <c r="M21" s="171" t="n">
        <f aca="false">M72</f>
        <v>196.161652593982</v>
      </c>
      <c r="N21" s="171" t="n">
        <f aca="false">N72</f>
        <v>196.161652593982</v>
      </c>
      <c r="O21" s="171" t="n">
        <f aca="false">O72</f>
        <v>196.161652593982</v>
      </c>
      <c r="P21" s="171" t="n">
        <f aca="false">P72</f>
        <v>196.161652593982</v>
      </c>
      <c r="Q21" s="171" t="n">
        <f aca="false">Q72</f>
        <v>196.161652593982</v>
      </c>
      <c r="R21" s="171" t="n">
        <f aca="false">R72</f>
        <v>196.161652593982</v>
      </c>
      <c r="S21" s="171" t="n">
        <f aca="false">S72</f>
        <v>196.161652593982</v>
      </c>
      <c r="T21" s="171" t="n">
        <f aca="false">T72</f>
        <v>196.161652593982</v>
      </c>
      <c r="U21" s="171" t="n">
        <f aca="false">U72</f>
        <v>196.161652593982</v>
      </c>
      <c r="V21" s="164"/>
      <c r="W21" s="164" t="n">
        <f aca="false">SUM(B21:U21)</f>
        <v>4021.31387817662</v>
      </c>
    </row>
    <row r="22" customFormat="false" ht="12.75" hidden="false" customHeight="false" outlineLevel="0" collapsed="false">
      <c r="A22" s="169" t="s">
        <v>114</v>
      </c>
      <c r="B22" s="153" t="n">
        <f aca="false">SUM(B16:B21)</f>
        <v>7513.02582460526</v>
      </c>
      <c r="C22" s="153" t="n">
        <f aca="false">SUM(C16:C21)</f>
        <v>7625.7484986797</v>
      </c>
      <c r="D22" s="153" t="n">
        <f aca="false">SUM(D16:D21)</f>
        <v>7842.83410406227</v>
      </c>
      <c r="E22" s="153" t="n">
        <f aca="false">SUM(E16:E21)</f>
        <v>8066.28127760632</v>
      </c>
      <c r="F22" s="153" t="n">
        <f aca="false">SUM(F16:F21)</f>
        <v>8296.27486635669</v>
      </c>
      <c r="G22" s="153" t="n">
        <f aca="false">SUM(G16:G21)</f>
        <v>8533.10526276957</v>
      </c>
      <c r="H22" s="153" t="n">
        <f aca="false">SUM(H16:H21)</f>
        <v>8764.26857107484</v>
      </c>
      <c r="I22" s="153" t="n">
        <f aca="false">SUM(I16:I21)</f>
        <v>9002.36677862926</v>
      </c>
      <c r="J22" s="153" t="n">
        <f aca="false">SUM(J16:J21)</f>
        <v>9247.60793241032</v>
      </c>
      <c r="K22" s="153" t="n">
        <f aca="false">SUM(K16:K21)</f>
        <v>9500.20632080481</v>
      </c>
      <c r="L22" s="153" t="n">
        <f aca="false">SUM(L16:L21)</f>
        <v>9760.38266085114</v>
      </c>
      <c r="M22" s="153" t="n">
        <f aca="false">SUM(M16:M21)</f>
        <v>10028.3642910989</v>
      </c>
      <c r="N22" s="153" t="n">
        <f aca="false">SUM(N16:N21)</f>
        <v>10304.385370254</v>
      </c>
      <c r="O22" s="153" t="n">
        <f aca="false">SUM(O16:O21)</f>
        <v>10588.6870817838</v>
      </c>
      <c r="P22" s="153" t="n">
        <f aca="false">SUM(P16:P21)</f>
        <v>10881.5178446595</v>
      </c>
      <c r="Q22" s="153" t="n">
        <f aca="false">SUM(Q16:Q21)</f>
        <v>11183.1335304215</v>
      </c>
      <c r="R22" s="153" t="n">
        <f aca="false">SUM(R16:R21)</f>
        <v>11493.7976867563</v>
      </c>
      <c r="S22" s="153" t="n">
        <f aca="false">SUM(S16:S21)</f>
        <v>11813.7817677812</v>
      </c>
      <c r="T22" s="153" t="n">
        <f aca="false">SUM(T16:T21)</f>
        <v>12143.3653712368</v>
      </c>
      <c r="U22" s="153" t="n">
        <f aca="false">SUM(U16:U21)</f>
        <v>12482.8364827961</v>
      </c>
      <c r="W22" s="164" t="n">
        <f aca="false">SUM(B22:U22)</f>
        <v>195071.971524638</v>
      </c>
    </row>
    <row r="23" customFormat="false" ht="12.75" hidden="false" customHeight="false" outlineLevel="0" collapsed="false">
      <c r="A23" s="175"/>
      <c r="B23" s="319"/>
      <c r="C23" s="319"/>
      <c r="D23" s="319"/>
      <c r="E23" s="319"/>
      <c r="F23" s="319"/>
      <c r="G23" s="319"/>
      <c r="H23" s="319"/>
      <c r="I23" s="319"/>
      <c r="J23" s="319"/>
      <c r="K23" s="319"/>
      <c r="L23" s="319"/>
      <c r="M23" s="319"/>
      <c r="N23" s="319"/>
      <c r="O23" s="319"/>
      <c r="P23" s="319"/>
      <c r="Q23" s="319"/>
      <c r="R23" s="319"/>
      <c r="S23" s="319"/>
      <c r="T23" s="319"/>
      <c r="U23" s="319"/>
      <c r="V23" s="316"/>
      <c r="W23" s="164"/>
    </row>
    <row r="24" customFormat="false" ht="12.75" hidden="false" customHeight="false" outlineLevel="0" collapsed="false">
      <c r="A24" s="175"/>
      <c r="B24" s="319"/>
      <c r="C24" s="319"/>
      <c r="D24" s="319"/>
      <c r="E24" s="319"/>
      <c r="F24" s="319"/>
      <c r="G24" s="319"/>
      <c r="H24" s="319"/>
      <c r="I24" s="319"/>
      <c r="J24" s="319"/>
      <c r="K24" s="319"/>
      <c r="L24" s="319"/>
      <c r="M24" s="319"/>
      <c r="N24" s="319"/>
      <c r="O24" s="319"/>
      <c r="P24" s="319"/>
      <c r="Q24" s="319"/>
      <c r="R24" s="319"/>
      <c r="S24" s="319"/>
      <c r="T24" s="319"/>
      <c r="U24" s="319"/>
      <c r="V24" s="316"/>
      <c r="W24" s="164"/>
    </row>
    <row r="25" customFormat="false" ht="12.75" hidden="false" customHeight="false" outlineLevel="0" collapsed="false">
      <c r="A25" s="163" t="s">
        <v>115</v>
      </c>
      <c r="B25" s="160" t="n">
        <f aca="false">B13-B22</f>
        <v>39903.1577286019</v>
      </c>
      <c r="C25" s="160" t="n">
        <f aca="false">C13-C22</f>
        <v>41942.9080820382</v>
      </c>
      <c r="D25" s="160" t="n">
        <f aca="false">D13-D22</f>
        <v>43975.7736078166</v>
      </c>
      <c r="E25" s="160" t="n">
        <f aca="false">E13-E22</f>
        <v>46105.5463628686</v>
      </c>
      <c r="F25" s="160" t="n">
        <f aca="false">F13-F22</f>
        <v>48336.8169704711</v>
      </c>
      <c r="G25" s="160" t="n">
        <f aca="false">G13-G22</f>
        <v>49289.2624079271</v>
      </c>
      <c r="H25" s="160" t="n">
        <f aca="false">H13-H22</f>
        <v>50272.9352372186</v>
      </c>
      <c r="I25" s="160" t="n">
        <f aca="false">I13-I22</f>
        <v>51275.6334596702</v>
      </c>
      <c r="J25" s="160" t="n">
        <f aca="false">J13-J22</f>
        <v>52297.7164906229</v>
      </c>
      <c r="K25" s="160" t="n">
        <f aca="false">K13-K22</f>
        <v>53339.5502676765</v>
      </c>
      <c r="L25" s="160" t="n">
        <f aca="false">L13-L22</f>
        <v>54373.2334726263</v>
      </c>
      <c r="M25" s="160" t="n">
        <f aca="false">M13-M22</f>
        <v>55426.2934150184</v>
      </c>
      <c r="N25" s="160" t="n">
        <f aca="false">N13-N22</f>
        <v>56499.0826370289</v>
      </c>
      <c r="O25" s="160" t="n">
        <f aca="false">O13-O22</f>
        <v>57591.9597588872</v>
      </c>
      <c r="P25" s="160" t="n">
        <f aca="false">P13-P22</f>
        <v>58705.2895727674</v>
      </c>
      <c r="Q25" s="160" t="n">
        <f aca="false">Q13-Q22</f>
        <v>59569.4558086848</v>
      </c>
      <c r="R25" s="160" t="n">
        <f aca="false">R13-R22</f>
        <v>60445.3608083787</v>
      </c>
      <c r="S25" s="160" t="n">
        <f aca="false">S13-S22</f>
        <v>61333.1384918378</v>
      </c>
      <c r="T25" s="160" t="n">
        <f aca="false">T13-T22</f>
        <v>62232.9234391697</v>
      </c>
      <c r="U25" s="160" t="n">
        <f aca="false">U13-U22</f>
        <v>63144.8508587522</v>
      </c>
      <c r="V25" s="293"/>
      <c r="W25" s="164" t="n">
        <f aca="false">SUM(B25:U25)</f>
        <v>1066060.88887806</v>
      </c>
    </row>
    <row r="26" customFormat="false" ht="12.75" hidden="false" customHeight="false" outlineLevel="0" collapsed="false">
      <c r="A26" s="163"/>
      <c r="B26" s="320"/>
      <c r="C26" s="321"/>
      <c r="D26" s="320"/>
      <c r="E26" s="320"/>
      <c r="F26" s="320"/>
      <c r="G26" s="320"/>
      <c r="H26" s="320"/>
      <c r="I26" s="320"/>
      <c r="J26" s="320"/>
      <c r="K26" s="320"/>
      <c r="L26" s="320"/>
      <c r="M26" s="320"/>
      <c r="N26" s="320"/>
      <c r="O26" s="320"/>
      <c r="P26" s="320"/>
      <c r="Q26" s="320"/>
      <c r="R26" s="320"/>
      <c r="S26" s="320"/>
      <c r="T26" s="320"/>
      <c r="U26" s="320"/>
      <c r="V26" s="293"/>
      <c r="W26" s="164"/>
    </row>
    <row r="27" customFormat="false" ht="12.75" hidden="false" customHeight="false" outlineLevel="0" collapsed="false">
      <c r="A27" s="169" t="s">
        <v>116</v>
      </c>
      <c r="B27" s="153" t="n">
        <f aca="false">Depreciation!C29</f>
        <v>10462.861280734</v>
      </c>
      <c r="C27" s="153" t="n">
        <f aca="false">Depreciation!D29</f>
        <v>10462.861280734</v>
      </c>
      <c r="D27" s="153" t="n">
        <f aca="false">Depreciation!E29</f>
        <v>10462.861280734</v>
      </c>
      <c r="E27" s="153" t="n">
        <f aca="false">Depreciation!F29</f>
        <v>10462.861280734</v>
      </c>
      <c r="F27" s="153" t="n">
        <f aca="false">Depreciation!G29</f>
        <v>10462.861280734</v>
      </c>
      <c r="G27" s="153" t="n">
        <f aca="false">Depreciation!H29</f>
        <v>10462.861280734</v>
      </c>
      <c r="H27" s="153" t="n">
        <f aca="false">Depreciation!I29</f>
        <v>10462.861280734</v>
      </c>
      <c r="I27" s="153" t="n">
        <f aca="false">Depreciation!J29</f>
        <v>10462.861280734</v>
      </c>
      <c r="J27" s="153" t="n">
        <f aca="false">Depreciation!K29</f>
        <v>10462.861280734</v>
      </c>
      <c r="K27" s="153" t="n">
        <f aca="false">Depreciation!L29</f>
        <v>10462.861280734</v>
      </c>
      <c r="L27" s="153" t="n">
        <f aca="false">Depreciation!M29</f>
        <v>10462.861280734</v>
      </c>
      <c r="M27" s="153" t="n">
        <f aca="false">Depreciation!N29</f>
        <v>10462.861280734</v>
      </c>
      <c r="N27" s="153" t="n">
        <f aca="false">Depreciation!O29</f>
        <v>10462.861280734</v>
      </c>
      <c r="O27" s="153" t="n">
        <f aca="false">Depreciation!P29</f>
        <v>10462.861280734</v>
      </c>
      <c r="P27" s="153" t="n">
        <f aca="false">Depreciation!Q29</f>
        <v>10462.861280734</v>
      </c>
      <c r="Q27" s="153" t="n">
        <f aca="false">Depreciation!R29</f>
        <v>10462.861280734</v>
      </c>
      <c r="R27" s="153" t="n">
        <f aca="false">Depreciation!S29</f>
        <v>10462.861280734</v>
      </c>
      <c r="S27" s="153" t="n">
        <f aca="false">Depreciation!T29</f>
        <v>10462.861280734</v>
      </c>
      <c r="T27" s="153" t="n">
        <f aca="false">Depreciation!U29</f>
        <v>10462.861280734</v>
      </c>
      <c r="U27" s="153" t="n">
        <f aca="false">Depreciation!V29</f>
        <v>10462.861280734</v>
      </c>
      <c r="W27" s="164" t="n">
        <f aca="false">SUM(B27:U27)</f>
        <v>209257.225614681</v>
      </c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  <c r="IS27" s="1"/>
      <c r="IT27" s="1"/>
      <c r="IU27" s="1"/>
      <c r="IV27" s="1"/>
      <c r="IW27" s="1"/>
    </row>
    <row r="28" customFormat="false" ht="12.75" hidden="false" customHeight="false" outlineLevel="0" collapsed="false">
      <c r="A28" s="169"/>
      <c r="B28" s="153"/>
      <c r="C28" s="164"/>
      <c r="D28" s="153"/>
      <c r="E28" s="153"/>
      <c r="F28" s="153"/>
      <c r="G28" s="153"/>
      <c r="H28" s="153"/>
      <c r="I28" s="153"/>
      <c r="J28" s="153"/>
      <c r="K28" s="153"/>
      <c r="L28" s="153"/>
      <c r="M28" s="153"/>
      <c r="N28" s="153"/>
      <c r="O28" s="153"/>
      <c r="P28" s="153"/>
      <c r="Q28" s="153"/>
      <c r="R28" s="153"/>
      <c r="S28" s="153"/>
      <c r="T28" s="153"/>
      <c r="U28" s="153"/>
      <c r="W28" s="164"/>
    </row>
    <row r="29" customFormat="false" ht="12.75" hidden="false" customHeight="false" outlineLevel="0" collapsed="false">
      <c r="A29" s="163" t="s">
        <v>117</v>
      </c>
      <c r="B29" s="320" t="n">
        <f aca="false">B25-B27</f>
        <v>29440.2964478679</v>
      </c>
      <c r="C29" s="320" t="n">
        <f aca="false">C25-C27</f>
        <v>31480.0468013041</v>
      </c>
      <c r="D29" s="320" t="n">
        <f aca="false">D25-D27</f>
        <v>33512.9123270826</v>
      </c>
      <c r="E29" s="320" t="n">
        <f aca="false">E25-E27</f>
        <v>35642.6850821345</v>
      </c>
      <c r="F29" s="320" t="n">
        <f aca="false">F25-F27</f>
        <v>37873.955689737</v>
      </c>
      <c r="G29" s="320" t="n">
        <f aca="false">G25-G27</f>
        <v>38826.4011271931</v>
      </c>
      <c r="H29" s="320" t="n">
        <f aca="false">H25-H27</f>
        <v>39810.0739564846</v>
      </c>
      <c r="I29" s="320" t="n">
        <f aca="false">I25-I27</f>
        <v>40812.7721789362</v>
      </c>
      <c r="J29" s="320" t="n">
        <f aca="false">J25-J27</f>
        <v>41834.8552098889</v>
      </c>
      <c r="K29" s="320" t="n">
        <f aca="false">K25-K27</f>
        <v>42876.6889869425</v>
      </c>
      <c r="L29" s="320" t="n">
        <f aca="false">L25-L27</f>
        <v>43910.3721918923</v>
      </c>
      <c r="M29" s="320" t="n">
        <f aca="false">M25-M27</f>
        <v>44963.4321342844</v>
      </c>
      <c r="N29" s="320" t="n">
        <f aca="false">N25-N27</f>
        <v>46036.2213562948</v>
      </c>
      <c r="O29" s="320" t="n">
        <f aca="false">O25-O27</f>
        <v>47129.0984781532</v>
      </c>
      <c r="P29" s="320" t="n">
        <f aca="false">P25-P27</f>
        <v>48242.4282920333</v>
      </c>
      <c r="Q29" s="320" t="n">
        <f aca="false">Q25-Q27</f>
        <v>49106.5945279508</v>
      </c>
      <c r="R29" s="320" t="n">
        <f aca="false">R25-R27</f>
        <v>49982.4995276446</v>
      </c>
      <c r="S29" s="320" t="n">
        <f aca="false">S25-S27</f>
        <v>50870.2772111038</v>
      </c>
      <c r="T29" s="320" t="n">
        <f aca="false">T25-T27</f>
        <v>51770.0621584357</v>
      </c>
      <c r="U29" s="320" t="n">
        <f aca="false">U25-U27</f>
        <v>52681.9895780182</v>
      </c>
      <c r="V29" s="293"/>
      <c r="W29" s="164" t="n">
        <f aca="false">SUM(B29:U29)</f>
        <v>856803.663263383</v>
      </c>
      <c r="X29" s="316"/>
      <c r="Y29" s="316"/>
      <c r="Z29" s="316"/>
      <c r="AA29" s="316"/>
      <c r="AB29" s="316"/>
      <c r="AC29" s="316"/>
      <c r="AD29" s="316"/>
      <c r="AE29" s="316"/>
      <c r="AF29" s="316"/>
      <c r="AG29" s="316"/>
      <c r="AH29" s="316"/>
      <c r="AI29" s="316"/>
      <c r="AJ29" s="316"/>
      <c r="AK29" s="316"/>
      <c r="AL29" s="316"/>
      <c r="AM29" s="316"/>
      <c r="AN29" s="316"/>
      <c r="AO29" s="316"/>
      <c r="AP29" s="316"/>
      <c r="AQ29" s="316"/>
      <c r="AR29" s="316"/>
      <c r="AS29" s="316"/>
      <c r="AT29" s="316"/>
      <c r="AU29" s="316"/>
      <c r="AV29" s="316"/>
      <c r="AW29" s="316"/>
      <c r="AX29" s="316"/>
      <c r="AY29" s="316"/>
      <c r="AZ29" s="316"/>
      <c r="BA29" s="316"/>
      <c r="BB29" s="316"/>
      <c r="BC29" s="316"/>
      <c r="BD29" s="316"/>
      <c r="BE29" s="316"/>
      <c r="BF29" s="316"/>
      <c r="BG29" s="316"/>
      <c r="BH29" s="316"/>
      <c r="BI29" s="316"/>
      <c r="BJ29" s="316"/>
      <c r="BK29" s="316"/>
      <c r="BL29" s="316"/>
      <c r="BM29" s="316"/>
      <c r="BN29" s="316"/>
      <c r="BO29" s="316"/>
      <c r="BP29" s="316"/>
      <c r="BQ29" s="316"/>
      <c r="BR29" s="316"/>
      <c r="BS29" s="316"/>
      <c r="BT29" s="316"/>
      <c r="BU29" s="316"/>
      <c r="BV29" s="316"/>
      <c r="BW29" s="316"/>
      <c r="BX29" s="316"/>
      <c r="BY29" s="316"/>
      <c r="BZ29" s="316"/>
      <c r="CA29" s="316"/>
      <c r="CB29" s="316"/>
      <c r="CC29" s="316"/>
      <c r="CD29" s="316"/>
      <c r="CE29" s="316"/>
      <c r="CF29" s="316"/>
      <c r="CG29" s="316"/>
      <c r="CH29" s="316"/>
      <c r="CI29" s="316"/>
      <c r="CJ29" s="316"/>
      <c r="CK29" s="316"/>
      <c r="CL29" s="316"/>
      <c r="CM29" s="316"/>
      <c r="CN29" s="316"/>
      <c r="CO29" s="316"/>
      <c r="CP29" s="316"/>
      <c r="CQ29" s="316"/>
      <c r="CR29" s="316"/>
      <c r="CS29" s="316"/>
      <c r="CT29" s="316"/>
      <c r="CU29" s="316"/>
      <c r="CV29" s="316"/>
      <c r="CW29" s="316"/>
      <c r="CX29" s="316"/>
      <c r="CY29" s="316"/>
      <c r="CZ29" s="316"/>
      <c r="DA29" s="316"/>
      <c r="DB29" s="316"/>
      <c r="DC29" s="316"/>
      <c r="DD29" s="316"/>
      <c r="DE29" s="316"/>
      <c r="DF29" s="316"/>
      <c r="DG29" s="316"/>
      <c r="DH29" s="316"/>
      <c r="DI29" s="316"/>
      <c r="DJ29" s="316"/>
      <c r="DK29" s="316"/>
      <c r="DL29" s="316"/>
      <c r="DM29" s="316"/>
      <c r="DN29" s="316"/>
      <c r="DO29" s="316"/>
      <c r="DP29" s="316"/>
      <c r="DQ29" s="316"/>
      <c r="DR29" s="316"/>
      <c r="DS29" s="316"/>
      <c r="DT29" s="316"/>
      <c r="DU29" s="316"/>
      <c r="DV29" s="316"/>
      <c r="DW29" s="316"/>
      <c r="DX29" s="316"/>
      <c r="DY29" s="316"/>
      <c r="DZ29" s="316"/>
      <c r="EA29" s="316"/>
      <c r="EB29" s="316"/>
      <c r="EC29" s="316"/>
      <c r="ED29" s="316"/>
      <c r="EE29" s="316"/>
      <c r="EF29" s="316"/>
      <c r="EG29" s="316"/>
      <c r="EH29" s="316"/>
      <c r="EI29" s="316"/>
      <c r="EJ29" s="316"/>
      <c r="EK29" s="316"/>
      <c r="EL29" s="316"/>
      <c r="EM29" s="316"/>
      <c r="EN29" s="316"/>
      <c r="EO29" s="316"/>
      <c r="EP29" s="316"/>
      <c r="EQ29" s="316"/>
      <c r="ER29" s="316"/>
      <c r="ES29" s="316"/>
      <c r="ET29" s="316"/>
      <c r="EU29" s="316"/>
      <c r="EV29" s="316"/>
      <c r="EW29" s="316"/>
      <c r="EX29" s="316"/>
      <c r="EY29" s="316"/>
      <c r="EZ29" s="316"/>
      <c r="FA29" s="316"/>
      <c r="FB29" s="316"/>
      <c r="FC29" s="316"/>
      <c r="FD29" s="316"/>
      <c r="FE29" s="316"/>
      <c r="FF29" s="316"/>
      <c r="FG29" s="316"/>
      <c r="FH29" s="316"/>
      <c r="FI29" s="316"/>
      <c r="FJ29" s="316"/>
      <c r="FK29" s="316"/>
      <c r="FL29" s="316"/>
      <c r="FM29" s="316"/>
      <c r="FN29" s="316"/>
      <c r="FO29" s="316"/>
      <c r="FP29" s="316"/>
      <c r="FQ29" s="316"/>
      <c r="FR29" s="316"/>
      <c r="FS29" s="316"/>
      <c r="FT29" s="316"/>
      <c r="FU29" s="316"/>
      <c r="FV29" s="316"/>
      <c r="FW29" s="316"/>
      <c r="FX29" s="316"/>
      <c r="FY29" s="316"/>
      <c r="FZ29" s="316"/>
      <c r="GA29" s="316"/>
      <c r="GB29" s="316"/>
      <c r="GC29" s="316"/>
      <c r="GD29" s="316"/>
      <c r="GE29" s="316"/>
      <c r="GF29" s="316"/>
      <c r="GG29" s="316"/>
      <c r="GH29" s="316"/>
      <c r="GI29" s="316"/>
      <c r="GJ29" s="316"/>
      <c r="GK29" s="316"/>
      <c r="GL29" s="316"/>
      <c r="GM29" s="316"/>
      <c r="GN29" s="316"/>
      <c r="GO29" s="316"/>
      <c r="GP29" s="316"/>
      <c r="GQ29" s="316"/>
      <c r="GR29" s="316"/>
      <c r="GS29" s="316"/>
      <c r="GT29" s="316"/>
      <c r="GU29" s="316"/>
      <c r="GV29" s="316"/>
      <c r="GW29" s="316"/>
      <c r="GX29" s="316"/>
      <c r="GY29" s="316"/>
      <c r="GZ29" s="316"/>
      <c r="HA29" s="316"/>
      <c r="HB29" s="316"/>
      <c r="HC29" s="316"/>
      <c r="HD29" s="316"/>
      <c r="HE29" s="316"/>
      <c r="HF29" s="316"/>
      <c r="HG29" s="316"/>
      <c r="HH29" s="316"/>
      <c r="HI29" s="316"/>
      <c r="HJ29" s="316"/>
      <c r="HK29" s="316"/>
      <c r="HL29" s="316"/>
      <c r="HM29" s="316"/>
      <c r="HN29" s="316"/>
      <c r="HO29" s="316"/>
      <c r="HP29" s="316"/>
      <c r="HQ29" s="316"/>
      <c r="HR29" s="316"/>
      <c r="HS29" s="316"/>
      <c r="HT29" s="316"/>
      <c r="HU29" s="316"/>
      <c r="HV29" s="316"/>
      <c r="HW29" s="316"/>
      <c r="HX29" s="316"/>
      <c r="HY29" s="316"/>
      <c r="HZ29" s="316"/>
      <c r="IA29" s="316"/>
      <c r="IB29" s="316"/>
      <c r="IC29" s="316"/>
      <c r="ID29" s="316"/>
      <c r="IE29" s="316"/>
      <c r="IF29" s="316"/>
      <c r="IG29" s="316"/>
      <c r="IH29" s="316"/>
      <c r="II29" s="316"/>
      <c r="IJ29" s="316"/>
      <c r="IK29" s="316"/>
      <c r="IL29" s="316"/>
      <c r="IM29" s="316"/>
      <c r="IN29" s="316"/>
      <c r="IO29" s="316"/>
      <c r="IP29" s="316"/>
      <c r="IQ29" s="316"/>
      <c r="IR29" s="316"/>
      <c r="IS29" s="316"/>
      <c r="IT29" s="316"/>
      <c r="IU29" s="316"/>
      <c r="IV29" s="316"/>
      <c r="IW29" s="316"/>
    </row>
    <row r="30" customFormat="false" ht="12.75" hidden="false" customHeight="false" outlineLevel="0" collapsed="false">
      <c r="A30" s="163"/>
      <c r="B30" s="320"/>
      <c r="C30" s="320"/>
      <c r="D30" s="320"/>
      <c r="E30" s="320"/>
      <c r="F30" s="320"/>
      <c r="G30" s="320"/>
      <c r="H30" s="320"/>
      <c r="I30" s="320"/>
      <c r="J30" s="320"/>
      <c r="K30" s="320"/>
      <c r="L30" s="320"/>
      <c r="M30" s="320"/>
      <c r="N30" s="320"/>
      <c r="O30" s="320"/>
      <c r="P30" s="320"/>
      <c r="Q30" s="320"/>
      <c r="R30" s="320"/>
      <c r="S30" s="320"/>
      <c r="T30" s="320"/>
      <c r="U30" s="320"/>
      <c r="V30" s="293"/>
      <c r="W30" s="164"/>
      <c r="X30" s="316"/>
      <c r="Y30" s="316"/>
      <c r="Z30" s="316"/>
      <c r="AA30" s="316"/>
      <c r="AB30" s="316"/>
      <c r="AC30" s="316"/>
      <c r="AD30" s="316"/>
      <c r="AE30" s="316"/>
      <c r="AF30" s="316"/>
      <c r="AG30" s="316"/>
      <c r="AH30" s="316"/>
      <c r="AI30" s="316"/>
      <c r="AJ30" s="316"/>
      <c r="AK30" s="316"/>
      <c r="AL30" s="316"/>
      <c r="AM30" s="316"/>
      <c r="AN30" s="316"/>
      <c r="AO30" s="316"/>
      <c r="AP30" s="316"/>
      <c r="AQ30" s="316"/>
      <c r="AR30" s="316"/>
      <c r="AS30" s="316"/>
      <c r="AT30" s="316"/>
      <c r="AU30" s="316"/>
      <c r="AV30" s="316"/>
      <c r="AW30" s="316"/>
      <c r="AX30" s="316"/>
      <c r="AY30" s="316"/>
      <c r="AZ30" s="316"/>
      <c r="BA30" s="316"/>
      <c r="BB30" s="316"/>
      <c r="BC30" s="316"/>
      <c r="BD30" s="316"/>
      <c r="BE30" s="316"/>
      <c r="BF30" s="316"/>
      <c r="BG30" s="316"/>
      <c r="BH30" s="316"/>
      <c r="BI30" s="316"/>
      <c r="BJ30" s="316"/>
      <c r="BK30" s="316"/>
      <c r="BL30" s="316"/>
      <c r="BM30" s="316"/>
      <c r="BN30" s="316"/>
      <c r="BO30" s="316"/>
      <c r="BP30" s="316"/>
      <c r="BQ30" s="316"/>
      <c r="BR30" s="316"/>
      <c r="BS30" s="316"/>
      <c r="BT30" s="316"/>
      <c r="BU30" s="316"/>
      <c r="BV30" s="316"/>
      <c r="BW30" s="316"/>
      <c r="BX30" s="316"/>
      <c r="BY30" s="316"/>
      <c r="BZ30" s="316"/>
      <c r="CA30" s="316"/>
      <c r="CB30" s="316"/>
      <c r="CC30" s="316"/>
      <c r="CD30" s="316"/>
      <c r="CE30" s="316"/>
      <c r="CF30" s="316"/>
      <c r="CG30" s="316"/>
      <c r="CH30" s="316"/>
      <c r="CI30" s="316"/>
      <c r="CJ30" s="316"/>
      <c r="CK30" s="316"/>
      <c r="CL30" s="316"/>
      <c r="CM30" s="316"/>
      <c r="CN30" s="316"/>
      <c r="CO30" s="316"/>
      <c r="CP30" s="316"/>
      <c r="CQ30" s="316"/>
      <c r="CR30" s="316"/>
      <c r="CS30" s="316"/>
      <c r="CT30" s="316"/>
      <c r="CU30" s="316"/>
      <c r="CV30" s="316"/>
      <c r="CW30" s="316"/>
      <c r="CX30" s="316"/>
      <c r="CY30" s="316"/>
      <c r="CZ30" s="316"/>
      <c r="DA30" s="316"/>
      <c r="DB30" s="316"/>
      <c r="DC30" s="316"/>
      <c r="DD30" s="316"/>
      <c r="DE30" s="316"/>
      <c r="DF30" s="316"/>
      <c r="DG30" s="316"/>
      <c r="DH30" s="316"/>
      <c r="DI30" s="316"/>
      <c r="DJ30" s="316"/>
      <c r="DK30" s="316"/>
      <c r="DL30" s="316"/>
      <c r="DM30" s="316"/>
      <c r="DN30" s="316"/>
      <c r="DO30" s="316"/>
      <c r="DP30" s="316"/>
      <c r="DQ30" s="316"/>
      <c r="DR30" s="316"/>
      <c r="DS30" s="316"/>
      <c r="DT30" s="316"/>
      <c r="DU30" s="316"/>
      <c r="DV30" s="316"/>
      <c r="DW30" s="316"/>
      <c r="DX30" s="316"/>
      <c r="DY30" s="316"/>
      <c r="DZ30" s="316"/>
      <c r="EA30" s="316"/>
      <c r="EB30" s="316"/>
      <c r="EC30" s="316"/>
      <c r="ED30" s="316"/>
      <c r="EE30" s="316"/>
      <c r="EF30" s="316"/>
      <c r="EG30" s="316"/>
      <c r="EH30" s="316"/>
      <c r="EI30" s="316"/>
      <c r="EJ30" s="316"/>
      <c r="EK30" s="316"/>
      <c r="EL30" s="316"/>
      <c r="EM30" s="316"/>
      <c r="EN30" s="316"/>
      <c r="EO30" s="316"/>
      <c r="EP30" s="316"/>
      <c r="EQ30" s="316"/>
      <c r="ER30" s="316"/>
      <c r="ES30" s="316"/>
      <c r="ET30" s="316"/>
      <c r="EU30" s="316"/>
      <c r="EV30" s="316"/>
      <c r="EW30" s="316"/>
      <c r="EX30" s="316"/>
      <c r="EY30" s="316"/>
      <c r="EZ30" s="316"/>
      <c r="FA30" s="316"/>
      <c r="FB30" s="316"/>
      <c r="FC30" s="316"/>
      <c r="FD30" s="316"/>
      <c r="FE30" s="316"/>
      <c r="FF30" s="316"/>
      <c r="FG30" s="316"/>
      <c r="FH30" s="316"/>
      <c r="FI30" s="316"/>
      <c r="FJ30" s="316"/>
      <c r="FK30" s="316"/>
      <c r="FL30" s="316"/>
      <c r="FM30" s="316"/>
      <c r="FN30" s="316"/>
      <c r="FO30" s="316"/>
      <c r="FP30" s="316"/>
      <c r="FQ30" s="316"/>
      <c r="FR30" s="316"/>
      <c r="FS30" s="316"/>
      <c r="FT30" s="316"/>
      <c r="FU30" s="316"/>
      <c r="FV30" s="316"/>
      <c r="FW30" s="316"/>
      <c r="FX30" s="316"/>
      <c r="FY30" s="316"/>
      <c r="FZ30" s="316"/>
      <c r="GA30" s="316"/>
      <c r="GB30" s="316"/>
      <c r="GC30" s="316"/>
      <c r="GD30" s="316"/>
      <c r="GE30" s="316"/>
      <c r="GF30" s="316"/>
      <c r="GG30" s="316"/>
      <c r="GH30" s="316"/>
      <c r="GI30" s="316"/>
      <c r="GJ30" s="316"/>
      <c r="GK30" s="316"/>
      <c r="GL30" s="316"/>
      <c r="GM30" s="316"/>
      <c r="GN30" s="316"/>
      <c r="GO30" s="316"/>
      <c r="GP30" s="316"/>
      <c r="GQ30" s="316"/>
      <c r="GR30" s="316"/>
      <c r="GS30" s="316"/>
      <c r="GT30" s="316"/>
      <c r="GU30" s="316"/>
      <c r="GV30" s="316"/>
      <c r="GW30" s="316"/>
      <c r="GX30" s="316"/>
      <c r="GY30" s="316"/>
      <c r="GZ30" s="316"/>
      <c r="HA30" s="316"/>
      <c r="HB30" s="316"/>
      <c r="HC30" s="316"/>
      <c r="HD30" s="316"/>
      <c r="HE30" s="316"/>
      <c r="HF30" s="316"/>
      <c r="HG30" s="316"/>
      <c r="HH30" s="316"/>
      <c r="HI30" s="316"/>
      <c r="HJ30" s="316"/>
      <c r="HK30" s="316"/>
      <c r="HL30" s="316"/>
      <c r="HM30" s="316"/>
      <c r="HN30" s="316"/>
      <c r="HO30" s="316"/>
      <c r="HP30" s="316"/>
      <c r="HQ30" s="316"/>
      <c r="HR30" s="316"/>
      <c r="HS30" s="316"/>
      <c r="HT30" s="316"/>
      <c r="HU30" s="316"/>
      <c r="HV30" s="316"/>
      <c r="HW30" s="316"/>
      <c r="HX30" s="316"/>
      <c r="HY30" s="316"/>
      <c r="HZ30" s="316"/>
      <c r="IA30" s="316"/>
      <c r="IB30" s="316"/>
      <c r="IC30" s="316"/>
      <c r="ID30" s="316"/>
      <c r="IE30" s="316"/>
      <c r="IF30" s="316"/>
      <c r="IG30" s="316"/>
      <c r="IH30" s="316"/>
      <c r="II30" s="316"/>
      <c r="IJ30" s="316"/>
      <c r="IK30" s="316"/>
      <c r="IL30" s="316"/>
      <c r="IM30" s="316"/>
      <c r="IN30" s="316"/>
      <c r="IO30" s="316"/>
      <c r="IP30" s="316"/>
      <c r="IQ30" s="316"/>
      <c r="IR30" s="316"/>
      <c r="IS30" s="316"/>
      <c r="IT30" s="316"/>
      <c r="IU30" s="316"/>
      <c r="IV30" s="316"/>
      <c r="IW30" s="316"/>
    </row>
    <row r="31" customFormat="false" ht="12.75" hidden="false" customHeight="false" outlineLevel="0" collapsed="false">
      <c r="A31" s="4" t="s">
        <v>118</v>
      </c>
      <c r="B31" s="153" t="n">
        <f aca="false">IS!B33*Allocation!$E$8</f>
        <v>15297.9100687005</v>
      </c>
      <c r="C31" s="153" t="n">
        <f aca="false">IS!C33*Allocation!$E$8</f>
        <v>15339.9372941639</v>
      </c>
      <c r="D31" s="153" t="n">
        <f aca="false">IS!D33*Allocation!$E$8</f>
        <v>15339.9372941639</v>
      </c>
      <c r="E31" s="153" t="n">
        <f aca="false">IS!E33*Allocation!$E$8</f>
        <v>15331.2438914987</v>
      </c>
      <c r="F31" s="153" t="n">
        <f aca="false">IS!F33*Allocation!$E$8</f>
        <v>15068.893262339</v>
      </c>
      <c r="G31" s="153" t="n">
        <f aca="false">IS!G33*Allocation!$E$8</f>
        <v>14782.3606294947</v>
      </c>
      <c r="H31" s="153" t="n">
        <f aca="false">IS!H33*Allocation!$E$8</f>
        <v>14460.336528988</v>
      </c>
      <c r="I31" s="153" t="n">
        <f aca="false">IS!I33*Allocation!$E$8</f>
        <v>14144.0439205677</v>
      </c>
      <c r="J31" s="153" t="n">
        <f aca="false">IS!J33*Allocation!$E$8</f>
        <v>13704.9623866445</v>
      </c>
      <c r="K31" s="153" t="n">
        <f aca="false">IS!K33*Allocation!$E$8</f>
        <v>13241.2578000964</v>
      </c>
      <c r="L31" s="153" t="n">
        <f aca="false">IS!L33*Allocation!$E$8</f>
        <v>12450.9749664733</v>
      </c>
      <c r="M31" s="153" t="n">
        <f aca="false">IS!M33*Allocation!$E$8</f>
        <v>11185.1747140478</v>
      </c>
      <c r="N31" s="153" t="n">
        <f aca="false">IS!N33*Allocation!$E$8</f>
        <v>9856.4665170262</v>
      </c>
      <c r="O31" s="153" t="n">
        <f aca="false">IS!O33*Allocation!$E$8</f>
        <v>8559.21229230266</v>
      </c>
      <c r="P31" s="153" t="n">
        <f aca="false">IS!P33*Allocation!$E$8</f>
        <v>7245.60911022643</v>
      </c>
      <c r="Q31" s="153" t="n">
        <f aca="false">IS!Q33*Allocation!$E$8</f>
        <v>5884.20299849944</v>
      </c>
      <c r="R31" s="153" t="n">
        <f aca="false">IS!R33*Allocation!$E$8</f>
        <v>4440.16356971814</v>
      </c>
      <c r="S31" s="153" t="n">
        <f aca="false">IS!S33*Allocation!$E$8</f>
        <v>3078.57975193296</v>
      </c>
      <c r="T31" s="153" t="n">
        <f aca="false">IS!T33*Allocation!$E$8</f>
        <v>1911.05094968178</v>
      </c>
      <c r="U31" s="153" t="n">
        <f aca="false">IS!U33*Allocation!$E$8</f>
        <v>746.36544436149</v>
      </c>
      <c r="W31" s="164" t="n">
        <f aca="false">SUM(B31:U31)</f>
        <v>212068.683390928</v>
      </c>
      <c r="X31" s="293"/>
      <c r="Y31" s="293"/>
      <c r="Z31" s="293"/>
      <c r="AA31" s="293"/>
      <c r="AB31" s="293"/>
      <c r="AC31" s="293"/>
      <c r="AD31" s="293"/>
      <c r="AE31" s="293"/>
      <c r="AF31" s="293"/>
      <c r="AG31" s="293"/>
      <c r="AH31" s="293"/>
      <c r="AI31" s="293"/>
      <c r="AJ31" s="293"/>
      <c r="AK31" s="293"/>
      <c r="AL31" s="293"/>
      <c r="AM31" s="293"/>
      <c r="AN31" s="293"/>
      <c r="AO31" s="293"/>
      <c r="AP31" s="293"/>
      <c r="AQ31" s="293"/>
      <c r="AR31" s="293"/>
      <c r="AS31" s="293"/>
      <c r="AT31" s="293"/>
      <c r="AU31" s="293"/>
      <c r="AV31" s="293"/>
      <c r="AW31" s="293"/>
      <c r="AX31" s="293"/>
      <c r="AY31" s="293"/>
      <c r="AZ31" s="293"/>
      <c r="BA31" s="293"/>
      <c r="BB31" s="293"/>
      <c r="BC31" s="293"/>
      <c r="BD31" s="293"/>
      <c r="BE31" s="293"/>
      <c r="BF31" s="293"/>
      <c r="BG31" s="293"/>
      <c r="BH31" s="293"/>
      <c r="BI31" s="293"/>
      <c r="BJ31" s="293"/>
      <c r="BK31" s="293"/>
      <c r="BL31" s="293"/>
      <c r="BM31" s="293"/>
      <c r="BN31" s="293"/>
      <c r="BO31" s="293"/>
      <c r="BP31" s="293"/>
      <c r="BQ31" s="293"/>
      <c r="BR31" s="293"/>
      <c r="BS31" s="293"/>
      <c r="BT31" s="293"/>
      <c r="BU31" s="293"/>
      <c r="BV31" s="293"/>
      <c r="BW31" s="293"/>
      <c r="BX31" s="293"/>
      <c r="BY31" s="293"/>
      <c r="BZ31" s="293"/>
      <c r="CA31" s="293"/>
      <c r="CB31" s="293"/>
      <c r="CC31" s="293"/>
      <c r="CD31" s="293"/>
      <c r="CE31" s="293"/>
      <c r="CF31" s="293"/>
      <c r="CG31" s="293"/>
      <c r="CH31" s="293"/>
      <c r="CI31" s="293"/>
      <c r="CJ31" s="293"/>
      <c r="CK31" s="293"/>
      <c r="CL31" s="293"/>
      <c r="CM31" s="293"/>
      <c r="CN31" s="293"/>
      <c r="CO31" s="293"/>
      <c r="CP31" s="293"/>
      <c r="CQ31" s="293"/>
      <c r="CR31" s="293"/>
      <c r="CS31" s="293"/>
      <c r="CT31" s="293"/>
      <c r="CU31" s="293"/>
      <c r="CV31" s="293"/>
      <c r="CW31" s="293"/>
      <c r="CX31" s="293"/>
      <c r="CY31" s="293"/>
      <c r="CZ31" s="293"/>
      <c r="DA31" s="293"/>
      <c r="DB31" s="293"/>
      <c r="DC31" s="293"/>
      <c r="DD31" s="293"/>
      <c r="DE31" s="293"/>
      <c r="DF31" s="293"/>
      <c r="DG31" s="293"/>
      <c r="DH31" s="293"/>
      <c r="DI31" s="293"/>
      <c r="DJ31" s="293"/>
      <c r="DK31" s="293"/>
      <c r="DL31" s="293"/>
      <c r="DM31" s="293"/>
      <c r="DN31" s="293"/>
      <c r="DO31" s="293"/>
      <c r="DP31" s="293"/>
      <c r="DQ31" s="293"/>
      <c r="DR31" s="293"/>
      <c r="DS31" s="293"/>
      <c r="DT31" s="293"/>
      <c r="DU31" s="293"/>
      <c r="DV31" s="293"/>
      <c r="DW31" s="293"/>
      <c r="DX31" s="293"/>
      <c r="DY31" s="293"/>
      <c r="DZ31" s="293"/>
      <c r="EA31" s="293"/>
      <c r="EB31" s="293"/>
      <c r="EC31" s="293"/>
      <c r="ED31" s="293"/>
      <c r="EE31" s="293"/>
      <c r="EF31" s="293"/>
      <c r="EG31" s="293"/>
      <c r="EH31" s="293"/>
      <c r="EI31" s="293"/>
      <c r="EJ31" s="293"/>
      <c r="EK31" s="293"/>
      <c r="EL31" s="293"/>
      <c r="EM31" s="293"/>
      <c r="EN31" s="293"/>
      <c r="EO31" s="293"/>
      <c r="EP31" s="293"/>
      <c r="EQ31" s="293"/>
      <c r="ER31" s="293"/>
      <c r="ES31" s="293"/>
      <c r="ET31" s="293"/>
      <c r="EU31" s="293"/>
      <c r="EV31" s="293"/>
      <c r="EW31" s="293"/>
      <c r="EX31" s="293"/>
      <c r="EY31" s="293"/>
      <c r="EZ31" s="293"/>
      <c r="FA31" s="293"/>
      <c r="FB31" s="293"/>
      <c r="FC31" s="293"/>
      <c r="FD31" s="293"/>
      <c r="FE31" s="293"/>
      <c r="FF31" s="293"/>
      <c r="FG31" s="293"/>
      <c r="FH31" s="293"/>
      <c r="FI31" s="293"/>
      <c r="FJ31" s="293"/>
      <c r="FK31" s="293"/>
      <c r="FL31" s="293"/>
      <c r="FM31" s="293"/>
      <c r="FN31" s="293"/>
      <c r="FO31" s="293"/>
      <c r="FP31" s="293"/>
      <c r="FQ31" s="293"/>
      <c r="FR31" s="293"/>
      <c r="FS31" s="293"/>
      <c r="FT31" s="293"/>
      <c r="FU31" s="293"/>
      <c r="FV31" s="293"/>
      <c r="FW31" s="293"/>
      <c r="FX31" s="293"/>
      <c r="FY31" s="293"/>
      <c r="FZ31" s="293"/>
      <c r="GA31" s="293"/>
      <c r="GB31" s="293"/>
      <c r="GC31" s="293"/>
      <c r="GD31" s="293"/>
      <c r="GE31" s="293"/>
      <c r="GF31" s="293"/>
      <c r="GG31" s="293"/>
      <c r="GH31" s="293"/>
      <c r="GI31" s="293"/>
      <c r="GJ31" s="293"/>
      <c r="GK31" s="293"/>
      <c r="GL31" s="293"/>
      <c r="GM31" s="293"/>
      <c r="GN31" s="293"/>
      <c r="GO31" s="293"/>
      <c r="GP31" s="293"/>
      <c r="GQ31" s="293"/>
      <c r="GR31" s="293"/>
      <c r="GS31" s="293"/>
      <c r="GT31" s="293"/>
      <c r="GU31" s="293"/>
      <c r="GV31" s="293"/>
      <c r="GW31" s="293"/>
      <c r="GX31" s="293"/>
      <c r="GY31" s="293"/>
      <c r="GZ31" s="293"/>
      <c r="HA31" s="293"/>
      <c r="HB31" s="293"/>
      <c r="HC31" s="293"/>
      <c r="HD31" s="293"/>
      <c r="HE31" s="293"/>
      <c r="HF31" s="293"/>
      <c r="HG31" s="293"/>
      <c r="HH31" s="293"/>
      <c r="HI31" s="293"/>
      <c r="HJ31" s="293"/>
      <c r="HK31" s="293"/>
      <c r="HL31" s="293"/>
      <c r="HM31" s="293"/>
      <c r="HN31" s="293"/>
      <c r="HO31" s="293"/>
      <c r="HP31" s="293"/>
      <c r="HQ31" s="293"/>
      <c r="HR31" s="293"/>
      <c r="HS31" s="293"/>
      <c r="HT31" s="293"/>
      <c r="HU31" s="293"/>
      <c r="HV31" s="293"/>
      <c r="HW31" s="293"/>
      <c r="HX31" s="293"/>
      <c r="HY31" s="293"/>
      <c r="HZ31" s="293"/>
      <c r="IA31" s="293"/>
      <c r="IB31" s="293"/>
      <c r="IC31" s="293"/>
      <c r="ID31" s="293"/>
      <c r="IE31" s="293"/>
      <c r="IF31" s="293"/>
      <c r="IG31" s="293"/>
      <c r="IH31" s="293"/>
      <c r="II31" s="293"/>
      <c r="IJ31" s="293"/>
      <c r="IK31" s="293"/>
      <c r="IL31" s="293"/>
      <c r="IM31" s="293"/>
      <c r="IN31" s="293"/>
      <c r="IO31" s="293"/>
      <c r="IP31" s="293"/>
      <c r="IQ31" s="293"/>
      <c r="IR31" s="293"/>
      <c r="IS31" s="293"/>
      <c r="IT31" s="293"/>
      <c r="IU31" s="293"/>
      <c r="IV31" s="293"/>
      <c r="IW31" s="293"/>
    </row>
    <row r="32" customFormat="false" ht="12.75" hidden="false" customHeight="false" outlineLevel="0" collapsed="false">
      <c r="B32" s="259"/>
      <c r="C32" s="259"/>
      <c r="D32" s="259"/>
      <c r="E32" s="259"/>
      <c r="F32" s="259"/>
      <c r="G32" s="259"/>
      <c r="H32" s="259"/>
      <c r="I32" s="259"/>
      <c r="J32" s="259"/>
      <c r="K32" s="259"/>
      <c r="L32" s="259"/>
      <c r="M32" s="259"/>
      <c r="N32" s="259"/>
      <c r="O32" s="259"/>
      <c r="P32" s="259"/>
      <c r="Q32" s="259"/>
      <c r="R32" s="259"/>
      <c r="S32" s="259"/>
      <c r="T32" s="259"/>
      <c r="U32" s="259"/>
      <c r="W32" s="164"/>
      <c r="X32" s="293"/>
      <c r="Y32" s="293"/>
      <c r="Z32" s="293"/>
      <c r="AA32" s="293"/>
      <c r="AB32" s="293"/>
      <c r="AC32" s="293"/>
      <c r="AD32" s="293"/>
      <c r="AE32" s="293"/>
      <c r="AF32" s="293"/>
      <c r="AG32" s="293"/>
      <c r="AH32" s="293"/>
      <c r="AI32" s="293"/>
      <c r="AJ32" s="293"/>
      <c r="AK32" s="293"/>
      <c r="AL32" s="293"/>
      <c r="AM32" s="293"/>
      <c r="AN32" s="293"/>
      <c r="AO32" s="293"/>
      <c r="AP32" s="293"/>
      <c r="AQ32" s="293"/>
      <c r="AR32" s="293"/>
      <c r="AS32" s="293"/>
      <c r="AT32" s="293"/>
      <c r="AU32" s="293"/>
      <c r="AV32" s="293"/>
      <c r="AW32" s="293"/>
      <c r="AX32" s="293"/>
      <c r="AY32" s="293"/>
      <c r="AZ32" s="293"/>
      <c r="BA32" s="293"/>
      <c r="BB32" s="293"/>
      <c r="BC32" s="293"/>
      <c r="BD32" s="293"/>
      <c r="BE32" s="293"/>
      <c r="BF32" s="293"/>
      <c r="BG32" s="293"/>
      <c r="BH32" s="293"/>
      <c r="BI32" s="293"/>
      <c r="BJ32" s="293"/>
      <c r="BK32" s="293"/>
      <c r="BL32" s="293"/>
      <c r="BM32" s="293"/>
      <c r="BN32" s="293"/>
      <c r="BO32" s="293"/>
      <c r="BP32" s="293"/>
      <c r="BQ32" s="293"/>
      <c r="BR32" s="293"/>
      <c r="BS32" s="293"/>
      <c r="BT32" s="293"/>
      <c r="BU32" s="293"/>
      <c r="BV32" s="293"/>
      <c r="BW32" s="293"/>
      <c r="BX32" s="293"/>
      <c r="BY32" s="293"/>
      <c r="BZ32" s="293"/>
      <c r="CA32" s="293"/>
      <c r="CB32" s="293"/>
      <c r="CC32" s="293"/>
      <c r="CD32" s="293"/>
      <c r="CE32" s="293"/>
      <c r="CF32" s="293"/>
      <c r="CG32" s="293"/>
      <c r="CH32" s="293"/>
      <c r="CI32" s="293"/>
      <c r="CJ32" s="293"/>
      <c r="CK32" s="293"/>
      <c r="CL32" s="293"/>
      <c r="CM32" s="293"/>
      <c r="CN32" s="293"/>
      <c r="CO32" s="293"/>
      <c r="CP32" s="293"/>
      <c r="CQ32" s="293"/>
      <c r="CR32" s="293"/>
      <c r="CS32" s="293"/>
      <c r="CT32" s="293"/>
      <c r="CU32" s="293"/>
      <c r="CV32" s="293"/>
      <c r="CW32" s="293"/>
      <c r="CX32" s="293"/>
      <c r="CY32" s="293"/>
      <c r="CZ32" s="293"/>
      <c r="DA32" s="293"/>
      <c r="DB32" s="293"/>
      <c r="DC32" s="293"/>
      <c r="DD32" s="293"/>
      <c r="DE32" s="293"/>
      <c r="DF32" s="293"/>
      <c r="DG32" s="293"/>
      <c r="DH32" s="293"/>
      <c r="DI32" s="293"/>
      <c r="DJ32" s="293"/>
      <c r="DK32" s="293"/>
      <c r="DL32" s="293"/>
      <c r="DM32" s="293"/>
      <c r="DN32" s="293"/>
      <c r="DO32" s="293"/>
      <c r="DP32" s="293"/>
      <c r="DQ32" s="293"/>
      <c r="DR32" s="293"/>
      <c r="DS32" s="293"/>
      <c r="DT32" s="293"/>
      <c r="DU32" s="293"/>
      <c r="DV32" s="293"/>
      <c r="DW32" s="293"/>
      <c r="DX32" s="293"/>
      <c r="DY32" s="293"/>
      <c r="DZ32" s="293"/>
      <c r="EA32" s="293"/>
      <c r="EB32" s="293"/>
      <c r="EC32" s="293"/>
      <c r="ED32" s="293"/>
      <c r="EE32" s="293"/>
      <c r="EF32" s="293"/>
      <c r="EG32" s="293"/>
      <c r="EH32" s="293"/>
      <c r="EI32" s="293"/>
      <c r="EJ32" s="293"/>
      <c r="EK32" s="293"/>
      <c r="EL32" s="293"/>
      <c r="EM32" s="293"/>
      <c r="EN32" s="293"/>
      <c r="EO32" s="293"/>
      <c r="EP32" s="293"/>
      <c r="EQ32" s="293"/>
      <c r="ER32" s="293"/>
      <c r="ES32" s="293"/>
      <c r="ET32" s="293"/>
      <c r="EU32" s="293"/>
      <c r="EV32" s="293"/>
      <c r="EW32" s="293"/>
      <c r="EX32" s="293"/>
      <c r="EY32" s="293"/>
      <c r="EZ32" s="293"/>
      <c r="FA32" s="293"/>
      <c r="FB32" s="293"/>
      <c r="FC32" s="293"/>
      <c r="FD32" s="293"/>
      <c r="FE32" s="293"/>
      <c r="FF32" s="293"/>
      <c r="FG32" s="293"/>
      <c r="FH32" s="293"/>
      <c r="FI32" s="293"/>
      <c r="FJ32" s="293"/>
      <c r="FK32" s="293"/>
      <c r="FL32" s="293"/>
      <c r="FM32" s="293"/>
      <c r="FN32" s="293"/>
      <c r="FO32" s="293"/>
      <c r="FP32" s="293"/>
      <c r="FQ32" s="293"/>
      <c r="FR32" s="293"/>
      <c r="FS32" s="293"/>
      <c r="FT32" s="293"/>
      <c r="FU32" s="293"/>
      <c r="FV32" s="293"/>
      <c r="FW32" s="293"/>
      <c r="FX32" s="293"/>
      <c r="FY32" s="293"/>
      <c r="FZ32" s="293"/>
      <c r="GA32" s="293"/>
      <c r="GB32" s="293"/>
      <c r="GC32" s="293"/>
      <c r="GD32" s="293"/>
      <c r="GE32" s="293"/>
      <c r="GF32" s="293"/>
      <c r="GG32" s="293"/>
      <c r="GH32" s="293"/>
      <c r="GI32" s="293"/>
      <c r="GJ32" s="293"/>
      <c r="GK32" s="293"/>
      <c r="GL32" s="293"/>
      <c r="GM32" s="293"/>
      <c r="GN32" s="293"/>
      <c r="GO32" s="293"/>
      <c r="GP32" s="293"/>
      <c r="GQ32" s="293"/>
      <c r="GR32" s="293"/>
      <c r="GS32" s="293"/>
      <c r="GT32" s="293"/>
      <c r="GU32" s="293"/>
      <c r="GV32" s="293"/>
      <c r="GW32" s="293"/>
      <c r="GX32" s="293"/>
      <c r="GY32" s="293"/>
      <c r="GZ32" s="293"/>
      <c r="HA32" s="293"/>
      <c r="HB32" s="293"/>
      <c r="HC32" s="293"/>
      <c r="HD32" s="293"/>
      <c r="HE32" s="293"/>
      <c r="HF32" s="293"/>
      <c r="HG32" s="293"/>
      <c r="HH32" s="293"/>
      <c r="HI32" s="293"/>
      <c r="HJ32" s="293"/>
      <c r="HK32" s="293"/>
      <c r="HL32" s="293"/>
      <c r="HM32" s="293"/>
      <c r="HN32" s="293"/>
      <c r="HO32" s="293"/>
      <c r="HP32" s="293"/>
      <c r="HQ32" s="293"/>
      <c r="HR32" s="293"/>
      <c r="HS32" s="293"/>
      <c r="HT32" s="293"/>
      <c r="HU32" s="293"/>
      <c r="HV32" s="293"/>
      <c r="HW32" s="293"/>
      <c r="HX32" s="293"/>
      <c r="HY32" s="293"/>
      <c r="HZ32" s="293"/>
      <c r="IA32" s="293"/>
      <c r="IB32" s="293"/>
      <c r="IC32" s="293"/>
      <c r="ID32" s="293"/>
      <c r="IE32" s="293"/>
      <c r="IF32" s="293"/>
      <c r="IG32" s="293"/>
      <c r="IH32" s="293"/>
      <c r="II32" s="293"/>
      <c r="IJ32" s="293"/>
      <c r="IK32" s="293"/>
      <c r="IL32" s="293"/>
      <c r="IM32" s="293"/>
      <c r="IN32" s="293"/>
      <c r="IO32" s="293"/>
      <c r="IP32" s="293"/>
      <c r="IQ32" s="293"/>
      <c r="IR32" s="293"/>
      <c r="IS32" s="293"/>
      <c r="IT32" s="293"/>
      <c r="IU32" s="293"/>
      <c r="IV32" s="293"/>
      <c r="IW32" s="293"/>
    </row>
    <row r="33" customFormat="false" ht="12.75" hidden="false" customHeight="false" outlineLevel="0" collapsed="false">
      <c r="A33" s="163" t="s">
        <v>119</v>
      </c>
      <c r="B33" s="320" t="n">
        <f aca="false">B29-B31</f>
        <v>14142.3863791674</v>
      </c>
      <c r="C33" s="320" t="n">
        <f aca="false">C29-C31</f>
        <v>16140.1095071402</v>
      </c>
      <c r="D33" s="320" t="n">
        <f aca="false">D29-D31</f>
        <v>18172.9750329187</v>
      </c>
      <c r="E33" s="320" t="n">
        <f aca="false">E29-E31</f>
        <v>20311.4411906359</v>
      </c>
      <c r="F33" s="320" t="n">
        <f aca="false">F29-F31</f>
        <v>22805.062427398</v>
      </c>
      <c r="G33" s="320" t="n">
        <f aca="false">G29-G31</f>
        <v>24044.0404976983</v>
      </c>
      <c r="H33" s="320" t="n">
        <f aca="false">H29-H31</f>
        <v>25349.7374274966</v>
      </c>
      <c r="I33" s="320" t="n">
        <f aca="false">I29-I31</f>
        <v>26668.7282583685</v>
      </c>
      <c r="J33" s="320" t="n">
        <f aca="false">J29-J31</f>
        <v>28129.8928232444</v>
      </c>
      <c r="K33" s="320" t="n">
        <f aca="false">K29-K31</f>
        <v>29635.4311868461</v>
      </c>
      <c r="L33" s="320" t="n">
        <f aca="false">L29-L31</f>
        <v>31459.397225419</v>
      </c>
      <c r="M33" s="320" t="n">
        <f aca="false">M29-M31</f>
        <v>33778.2574202365</v>
      </c>
      <c r="N33" s="320" t="n">
        <f aca="false">N29-N31</f>
        <v>36179.7548392686</v>
      </c>
      <c r="O33" s="320" t="n">
        <f aca="false">O29-O31</f>
        <v>38569.8861858505</v>
      </c>
      <c r="P33" s="320" t="n">
        <f aca="false">P29-P31</f>
        <v>40996.8191818069</v>
      </c>
      <c r="Q33" s="320" t="n">
        <f aca="false">Q29-Q31</f>
        <v>43222.3915294513</v>
      </c>
      <c r="R33" s="320" t="n">
        <f aca="false">R29-R31</f>
        <v>45542.3359579265</v>
      </c>
      <c r="S33" s="320" t="n">
        <f aca="false">S29-S31</f>
        <v>47791.6974591708</v>
      </c>
      <c r="T33" s="320" t="n">
        <f aca="false">T29-T31</f>
        <v>49859.0112087539</v>
      </c>
      <c r="U33" s="320" t="n">
        <f aca="false">U29-U31</f>
        <v>51935.6241336567</v>
      </c>
      <c r="V33" s="293"/>
      <c r="W33" s="164" t="n">
        <f aca="false">SUM(B33:U33)</f>
        <v>644734.979872455</v>
      </c>
    </row>
    <row r="34" customFormat="false" ht="12.75" hidden="false" customHeight="false" outlineLevel="0" collapsed="false">
      <c r="A34" s="163"/>
      <c r="B34" s="320"/>
      <c r="C34" s="320"/>
      <c r="D34" s="320"/>
      <c r="E34" s="320"/>
      <c r="F34" s="320"/>
      <c r="G34" s="320"/>
      <c r="H34" s="320"/>
      <c r="I34" s="320"/>
      <c r="J34" s="320"/>
      <c r="K34" s="320"/>
      <c r="L34" s="320"/>
      <c r="M34" s="320"/>
      <c r="N34" s="320"/>
      <c r="O34" s="320"/>
      <c r="P34" s="320"/>
      <c r="Q34" s="320"/>
      <c r="R34" s="320"/>
      <c r="S34" s="320"/>
      <c r="T34" s="320"/>
      <c r="U34" s="320"/>
      <c r="V34" s="293"/>
      <c r="W34" s="164"/>
    </row>
    <row r="35" customFormat="false" ht="12.75" hidden="false" customHeight="false" outlineLevel="0" collapsed="false">
      <c r="A35" s="169" t="s">
        <v>120</v>
      </c>
      <c r="B35" s="153" t="n">
        <f aca="false">B33*-Assumptions!$E$38</f>
        <v>-1015.42334202422</v>
      </c>
      <c r="C35" s="153" t="n">
        <f aca="false">C33*-Assumptions!$E$38</f>
        <v>-1158.85986261267</v>
      </c>
      <c r="D35" s="153" t="n">
        <f aca="false">D33*-Assumptions!$E$38</f>
        <v>-1304.81960736356</v>
      </c>
      <c r="E35" s="153" t="n">
        <f aca="false">E33*-Assumptions!$E$38</f>
        <v>-1458.36147748765</v>
      </c>
      <c r="F35" s="153" t="n">
        <f aca="false">F33*-Assumptions!$E$38</f>
        <v>-1637.40348228718</v>
      </c>
      <c r="G35" s="153" t="n">
        <f aca="false">G33*-Assumptions!$E$38</f>
        <v>-1726.36210773474</v>
      </c>
      <c r="H35" s="153" t="n">
        <f aca="false">H33*-Assumptions!$E$38</f>
        <v>-1820.11114729425</v>
      </c>
      <c r="I35" s="153" t="n">
        <f aca="false">I33*-Assumptions!$E$38</f>
        <v>-1914.81468895086</v>
      </c>
      <c r="J35" s="153" t="n">
        <f aca="false">J33*-Assumptions!$E$38</f>
        <v>-2019.72630470895</v>
      </c>
      <c r="K35" s="153" t="n">
        <f aca="false">K33*-Assumptions!$E$38</f>
        <v>-2127.82395921555</v>
      </c>
      <c r="L35" s="153" t="n">
        <f aca="false">L33*-Assumptions!$E$38</f>
        <v>-2258.78472078509</v>
      </c>
      <c r="M35" s="153" t="n">
        <f aca="false">M33*-Assumptions!$E$38</f>
        <v>-2425.27888277298</v>
      </c>
      <c r="N35" s="153" t="n">
        <f aca="false">N33*-Assumptions!$E$38</f>
        <v>-2597.70639745949</v>
      </c>
      <c r="O35" s="153" t="n">
        <f aca="false">O33*-Assumptions!$E$38</f>
        <v>-2769.31782814407</v>
      </c>
      <c r="P35" s="153" t="n">
        <f aca="false">P33*-Assumptions!$E$38</f>
        <v>-2943.57161725373</v>
      </c>
      <c r="Q35" s="153" t="n">
        <f aca="false">Q33*-Assumptions!$E$38</f>
        <v>-3103.36771181461</v>
      </c>
      <c r="R35" s="153" t="n">
        <f aca="false">R33*-Assumptions!$E$38</f>
        <v>-3269.93972177912</v>
      </c>
      <c r="S35" s="153" t="n">
        <f aca="false">S33*-Assumptions!$E$38</f>
        <v>-3431.44387756846</v>
      </c>
      <c r="T35" s="153" t="n">
        <f aca="false">T33*-Assumptions!$E$38</f>
        <v>-3579.87700478853</v>
      </c>
      <c r="U35" s="153" t="n">
        <f aca="false">U33*-Assumptions!$E$38</f>
        <v>-3728.97781279655</v>
      </c>
      <c r="W35" s="164" t="n">
        <f aca="false">SUM(B35:U35)</f>
        <v>-46291.9715548423</v>
      </c>
      <c r="X35" s="293"/>
      <c r="Y35" s="293"/>
      <c r="Z35" s="293"/>
      <c r="AA35" s="293"/>
      <c r="AB35" s="293"/>
      <c r="AC35" s="293"/>
      <c r="AD35" s="293"/>
      <c r="AE35" s="293"/>
      <c r="AF35" s="293"/>
      <c r="AG35" s="293"/>
      <c r="AH35" s="293"/>
      <c r="AI35" s="293"/>
      <c r="AJ35" s="293"/>
      <c r="AK35" s="293"/>
      <c r="AL35" s="293"/>
      <c r="AM35" s="293"/>
      <c r="AN35" s="293"/>
      <c r="AO35" s="293"/>
      <c r="AP35" s="293"/>
      <c r="AQ35" s="293"/>
      <c r="AR35" s="293"/>
      <c r="AS35" s="293"/>
      <c r="AT35" s="293"/>
      <c r="AU35" s="293"/>
      <c r="AV35" s="293"/>
      <c r="AW35" s="293"/>
      <c r="AX35" s="293"/>
      <c r="AY35" s="293"/>
      <c r="AZ35" s="293"/>
      <c r="BA35" s="293"/>
      <c r="BB35" s="293"/>
      <c r="BC35" s="293"/>
      <c r="BD35" s="293"/>
      <c r="BE35" s="293"/>
      <c r="BF35" s="293"/>
      <c r="BG35" s="293"/>
      <c r="BH35" s="293"/>
      <c r="BI35" s="293"/>
      <c r="BJ35" s="293"/>
      <c r="BK35" s="293"/>
      <c r="BL35" s="293"/>
      <c r="BM35" s="293"/>
      <c r="BN35" s="293"/>
      <c r="BO35" s="293"/>
      <c r="BP35" s="293"/>
      <c r="BQ35" s="293"/>
      <c r="BR35" s="293"/>
      <c r="BS35" s="293"/>
      <c r="BT35" s="293"/>
      <c r="BU35" s="293"/>
      <c r="BV35" s="293"/>
      <c r="BW35" s="293"/>
      <c r="BX35" s="293"/>
      <c r="BY35" s="293"/>
      <c r="BZ35" s="293"/>
      <c r="CA35" s="293"/>
      <c r="CB35" s="293"/>
      <c r="CC35" s="293"/>
      <c r="CD35" s="293"/>
      <c r="CE35" s="293"/>
      <c r="CF35" s="293"/>
      <c r="CG35" s="293"/>
      <c r="CH35" s="293"/>
      <c r="CI35" s="293"/>
      <c r="CJ35" s="293"/>
      <c r="CK35" s="293"/>
      <c r="CL35" s="293"/>
      <c r="CM35" s="293"/>
      <c r="CN35" s="293"/>
      <c r="CO35" s="293"/>
      <c r="CP35" s="293"/>
      <c r="CQ35" s="293"/>
      <c r="CR35" s="293"/>
      <c r="CS35" s="293"/>
      <c r="CT35" s="293"/>
      <c r="CU35" s="293"/>
      <c r="CV35" s="293"/>
      <c r="CW35" s="293"/>
      <c r="CX35" s="293"/>
      <c r="CY35" s="293"/>
      <c r="CZ35" s="293"/>
      <c r="DA35" s="293"/>
      <c r="DB35" s="293"/>
      <c r="DC35" s="293"/>
      <c r="DD35" s="293"/>
      <c r="DE35" s="293"/>
      <c r="DF35" s="293"/>
      <c r="DG35" s="293"/>
      <c r="DH35" s="293"/>
      <c r="DI35" s="293"/>
      <c r="DJ35" s="293"/>
      <c r="DK35" s="293"/>
      <c r="DL35" s="293"/>
      <c r="DM35" s="293"/>
      <c r="DN35" s="293"/>
      <c r="DO35" s="293"/>
      <c r="DP35" s="293"/>
      <c r="DQ35" s="293"/>
      <c r="DR35" s="293"/>
      <c r="DS35" s="293"/>
      <c r="DT35" s="293"/>
      <c r="DU35" s="293"/>
      <c r="DV35" s="293"/>
      <c r="DW35" s="293"/>
      <c r="DX35" s="293"/>
      <c r="DY35" s="293"/>
      <c r="DZ35" s="293"/>
      <c r="EA35" s="293"/>
      <c r="EB35" s="293"/>
      <c r="EC35" s="293"/>
      <c r="ED35" s="293"/>
      <c r="EE35" s="293"/>
      <c r="EF35" s="293"/>
      <c r="EG35" s="293"/>
      <c r="EH35" s="293"/>
      <c r="EI35" s="293"/>
      <c r="EJ35" s="293"/>
      <c r="EK35" s="293"/>
      <c r="EL35" s="293"/>
      <c r="EM35" s="293"/>
      <c r="EN35" s="293"/>
      <c r="EO35" s="293"/>
      <c r="EP35" s="293"/>
      <c r="EQ35" s="293"/>
      <c r="ER35" s="293"/>
      <c r="ES35" s="293"/>
      <c r="ET35" s="293"/>
      <c r="EU35" s="293"/>
      <c r="EV35" s="293"/>
      <c r="EW35" s="293"/>
      <c r="EX35" s="293"/>
      <c r="EY35" s="293"/>
      <c r="EZ35" s="293"/>
      <c r="FA35" s="293"/>
      <c r="FB35" s="293"/>
      <c r="FC35" s="293"/>
      <c r="FD35" s="293"/>
      <c r="FE35" s="293"/>
      <c r="FF35" s="293"/>
      <c r="FG35" s="293"/>
      <c r="FH35" s="293"/>
      <c r="FI35" s="293"/>
      <c r="FJ35" s="293"/>
      <c r="FK35" s="293"/>
      <c r="FL35" s="293"/>
      <c r="FM35" s="293"/>
      <c r="FN35" s="293"/>
      <c r="FO35" s="293"/>
      <c r="FP35" s="293"/>
      <c r="FQ35" s="293"/>
      <c r="FR35" s="293"/>
      <c r="FS35" s="293"/>
      <c r="FT35" s="293"/>
      <c r="FU35" s="293"/>
      <c r="FV35" s="293"/>
      <c r="FW35" s="293"/>
      <c r="FX35" s="293"/>
      <c r="FY35" s="293"/>
      <c r="FZ35" s="293"/>
      <c r="GA35" s="293"/>
      <c r="GB35" s="293"/>
      <c r="GC35" s="293"/>
      <c r="GD35" s="293"/>
      <c r="GE35" s="293"/>
      <c r="GF35" s="293"/>
      <c r="GG35" s="293"/>
      <c r="GH35" s="293"/>
      <c r="GI35" s="293"/>
      <c r="GJ35" s="293"/>
      <c r="GK35" s="293"/>
      <c r="GL35" s="293"/>
      <c r="GM35" s="293"/>
      <c r="GN35" s="293"/>
      <c r="GO35" s="293"/>
      <c r="GP35" s="293"/>
      <c r="GQ35" s="293"/>
      <c r="GR35" s="293"/>
      <c r="GS35" s="293"/>
      <c r="GT35" s="293"/>
      <c r="GU35" s="293"/>
      <c r="GV35" s="293"/>
      <c r="GW35" s="293"/>
      <c r="GX35" s="293"/>
      <c r="GY35" s="293"/>
      <c r="GZ35" s="293"/>
      <c r="HA35" s="293"/>
      <c r="HB35" s="293"/>
      <c r="HC35" s="293"/>
      <c r="HD35" s="293"/>
      <c r="HE35" s="293"/>
      <c r="HF35" s="293"/>
      <c r="HG35" s="293"/>
      <c r="HH35" s="293"/>
      <c r="HI35" s="293"/>
      <c r="HJ35" s="293"/>
      <c r="HK35" s="293"/>
      <c r="HL35" s="293"/>
      <c r="HM35" s="293"/>
      <c r="HN35" s="293"/>
      <c r="HO35" s="293"/>
      <c r="HP35" s="293"/>
      <c r="HQ35" s="293"/>
      <c r="HR35" s="293"/>
      <c r="HS35" s="293"/>
      <c r="HT35" s="293"/>
      <c r="HU35" s="293"/>
      <c r="HV35" s="293"/>
      <c r="HW35" s="293"/>
      <c r="HX35" s="293"/>
      <c r="HY35" s="293"/>
      <c r="HZ35" s="293"/>
      <c r="IA35" s="293"/>
      <c r="IB35" s="293"/>
      <c r="IC35" s="293"/>
      <c r="ID35" s="293"/>
      <c r="IE35" s="293"/>
      <c r="IF35" s="293"/>
      <c r="IG35" s="293"/>
      <c r="IH35" s="293"/>
      <c r="II35" s="293"/>
      <c r="IJ35" s="293"/>
      <c r="IK35" s="293"/>
      <c r="IL35" s="293"/>
      <c r="IM35" s="293"/>
      <c r="IN35" s="293"/>
      <c r="IO35" s="293"/>
      <c r="IP35" s="293"/>
      <c r="IQ35" s="293"/>
      <c r="IR35" s="293"/>
      <c r="IS35" s="293"/>
      <c r="IT35" s="293"/>
      <c r="IU35" s="293"/>
      <c r="IV35" s="293"/>
      <c r="IW35" s="293"/>
    </row>
    <row r="36" customFormat="false" ht="12.75" hidden="false" customHeight="false" outlineLevel="0" collapsed="false">
      <c r="A36" s="169" t="s">
        <v>121</v>
      </c>
      <c r="B36" s="322" t="n">
        <f aca="false">(B33+B35)*-Assumptions!$E$37</f>
        <v>-4594.43706300013</v>
      </c>
      <c r="C36" s="322" t="n">
        <f aca="false">(C33+C35)*-Assumptions!$E$37</f>
        <v>-5243.43737558464</v>
      </c>
      <c r="D36" s="322" t="n">
        <f aca="false">(D33+D35)*-Assumptions!$E$37</f>
        <v>-5903.85439894428</v>
      </c>
      <c r="E36" s="322" t="n">
        <f aca="false">(E33+E35)*-Assumptions!$E$37</f>
        <v>-6598.57789960187</v>
      </c>
      <c r="F36" s="322" t="n">
        <f aca="false">(F33+F35)*-Assumptions!$E$37</f>
        <v>-7408.68063078879</v>
      </c>
      <c r="G36" s="322" t="n">
        <f aca="false">(G33+G35)*-Assumptions!$E$37</f>
        <v>-7811.18743648726</v>
      </c>
      <c r="H36" s="322" t="n">
        <f aca="false">(H33+H35)*-Assumptions!$E$37</f>
        <v>-8235.36919807081</v>
      </c>
      <c r="I36" s="322" t="n">
        <f aca="false">(I33+I35)*-Assumptions!$E$37</f>
        <v>-8663.86974929616</v>
      </c>
      <c r="J36" s="322" t="n">
        <f aca="false">(J33+J35)*-Assumptions!$E$37</f>
        <v>-9138.55828148741</v>
      </c>
      <c r="K36" s="322" t="n">
        <f aca="false">(K33+K35)*-Assumptions!$E$37</f>
        <v>-9627.66252967069</v>
      </c>
      <c r="L36" s="322" t="n">
        <f aca="false">(L33+L35)*-Assumptions!$E$37</f>
        <v>-10220.2143766219</v>
      </c>
      <c r="M36" s="322" t="n">
        <f aca="false">(M33+M35)*-Assumptions!$E$37</f>
        <v>-10973.5424881122</v>
      </c>
      <c r="N36" s="322" t="n">
        <f aca="false">(N33+N35)*-Assumptions!$E$37</f>
        <v>-11753.7169546332</v>
      </c>
      <c r="O36" s="322" t="n">
        <f aca="false">(O33+O35)*-Assumptions!$E$37</f>
        <v>-12530.1989251973</v>
      </c>
      <c r="P36" s="322" t="n">
        <f aca="false">(P33+P35)*-Assumptions!$E$37</f>
        <v>-13318.6366475936</v>
      </c>
      <c r="Q36" s="322" t="n">
        <f aca="false">(Q33+Q35)*-Assumptions!$E$37</f>
        <v>-14041.6583361729</v>
      </c>
      <c r="R36" s="322" t="n">
        <f aca="false">(R33+R35)*-Assumptions!$E$37</f>
        <v>-14795.3386826516</v>
      </c>
      <c r="S36" s="322" t="n">
        <f aca="false">(S33+S35)*-Assumptions!$E$37</f>
        <v>-15526.0887535608</v>
      </c>
      <c r="T36" s="322" t="n">
        <f aca="false">(T33+T35)*-Assumptions!$E$37</f>
        <v>-16197.6969713879</v>
      </c>
      <c r="U36" s="322" t="n">
        <f aca="false">(U33+U35)*-Assumptions!$E$37</f>
        <v>-16872.3262123011</v>
      </c>
      <c r="W36" s="164" t="n">
        <f aca="false">SUM(B36:U36)</f>
        <v>-209455.052911164</v>
      </c>
      <c r="X36" s="293"/>
      <c r="Y36" s="293"/>
      <c r="Z36" s="293"/>
      <c r="AA36" s="293"/>
      <c r="AB36" s="293"/>
      <c r="AC36" s="293"/>
      <c r="AD36" s="293"/>
      <c r="AE36" s="293"/>
      <c r="AF36" s="293"/>
      <c r="AG36" s="293"/>
      <c r="AH36" s="293"/>
      <c r="AI36" s="293"/>
      <c r="AJ36" s="293"/>
      <c r="AK36" s="293"/>
      <c r="AL36" s="293"/>
      <c r="AM36" s="293"/>
      <c r="AN36" s="293"/>
      <c r="AO36" s="293"/>
      <c r="AP36" s="293"/>
      <c r="AQ36" s="293"/>
      <c r="AR36" s="293"/>
      <c r="AS36" s="293"/>
      <c r="AT36" s="293"/>
      <c r="AU36" s="293"/>
      <c r="AV36" s="293"/>
      <c r="AW36" s="293"/>
      <c r="AX36" s="293"/>
      <c r="AY36" s="293"/>
      <c r="AZ36" s="293"/>
      <c r="BA36" s="293"/>
      <c r="BB36" s="293"/>
      <c r="BC36" s="293"/>
      <c r="BD36" s="293"/>
      <c r="BE36" s="293"/>
      <c r="BF36" s="293"/>
      <c r="BG36" s="293"/>
      <c r="BH36" s="293"/>
      <c r="BI36" s="293"/>
      <c r="BJ36" s="293"/>
      <c r="BK36" s="293"/>
      <c r="BL36" s="293"/>
      <c r="BM36" s="293"/>
      <c r="BN36" s="293"/>
      <c r="BO36" s="293"/>
      <c r="BP36" s="293"/>
      <c r="BQ36" s="293"/>
      <c r="BR36" s="293"/>
      <c r="BS36" s="293"/>
      <c r="BT36" s="293"/>
      <c r="BU36" s="293"/>
      <c r="BV36" s="293"/>
      <c r="BW36" s="293"/>
      <c r="BX36" s="293"/>
      <c r="BY36" s="293"/>
      <c r="BZ36" s="293"/>
      <c r="CA36" s="293"/>
      <c r="CB36" s="293"/>
      <c r="CC36" s="293"/>
      <c r="CD36" s="293"/>
      <c r="CE36" s="293"/>
      <c r="CF36" s="293"/>
      <c r="CG36" s="293"/>
      <c r="CH36" s="293"/>
      <c r="CI36" s="293"/>
      <c r="CJ36" s="293"/>
      <c r="CK36" s="293"/>
      <c r="CL36" s="293"/>
      <c r="CM36" s="293"/>
      <c r="CN36" s="293"/>
      <c r="CO36" s="293"/>
      <c r="CP36" s="293"/>
      <c r="CQ36" s="293"/>
      <c r="CR36" s="293"/>
      <c r="CS36" s="293"/>
      <c r="CT36" s="293"/>
      <c r="CU36" s="293"/>
      <c r="CV36" s="293"/>
      <c r="CW36" s="293"/>
      <c r="CX36" s="293"/>
      <c r="CY36" s="293"/>
      <c r="CZ36" s="293"/>
      <c r="DA36" s="293"/>
      <c r="DB36" s="293"/>
      <c r="DC36" s="293"/>
      <c r="DD36" s="293"/>
      <c r="DE36" s="293"/>
      <c r="DF36" s="293"/>
      <c r="DG36" s="293"/>
      <c r="DH36" s="293"/>
      <c r="DI36" s="293"/>
      <c r="DJ36" s="293"/>
      <c r="DK36" s="293"/>
      <c r="DL36" s="293"/>
      <c r="DM36" s="293"/>
      <c r="DN36" s="293"/>
      <c r="DO36" s="293"/>
      <c r="DP36" s="293"/>
      <c r="DQ36" s="293"/>
      <c r="DR36" s="293"/>
      <c r="DS36" s="293"/>
      <c r="DT36" s="293"/>
      <c r="DU36" s="293"/>
      <c r="DV36" s="293"/>
      <c r="DW36" s="293"/>
      <c r="DX36" s="293"/>
      <c r="DY36" s="293"/>
      <c r="DZ36" s="293"/>
      <c r="EA36" s="293"/>
      <c r="EB36" s="293"/>
      <c r="EC36" s="293"/>
      <c r="ED36" s="293"/>
      <c r="EE36" s="293"/>
      <c r="EF36" s="293"/>
      <c r="EG36" s="293"/>
      <c r="EH36" s="293"/>
      <c r="EI36" s="293"/>
      <c r="EJ36" s="293"/>
      <c r="EK36" s="293"/>
      <c r="EL36" s="293"/>
      <c r="EM36" s="293"/>
      <c r="EN36" s="293"/>
      <c r="EO36" s="293"/>
      <c r="EP36" s="293"/>
      <c r="EQ36" s="293"/>
      <c r="ER36" s="293"/>
      <c r="ES36" s="293"/>
      <c r="ET36" s="293"/>
      <c r="EU36" s="293"/>
      <c r="EV36" s="293"/>
      <c r="EW36" s="293"/>
      <c r="EX36" s="293"/>
      <c r="EY36" s="293"/>
      <c r="EZ36" s="293"/>
      <c r="FA36" s="293"/>
      <c r="FB36" s="293"/>
      <c r="FC36" s="293"/>
      <c r="FD36" s="293"/>
      <c r="FE36" s="293"/>
      <c r="FF36" s="293"/>
      <c r="FG36" s="293"/>
      <c r="FH36" s="293"/>
      <c r="FI36" s="293"/>
      <c r="FJ36" s="293"/>
      <c r="FK36" s="293"/>
      <c r="FL36" s="293"/>
      <c r="FM36" s="293"/>
      <c r="FN36" s="293"/>
      <c r="FO36" s="293"/>
      <c r="FP36" s="293"/>
      <c r="FQ36" s="293"/>
      <c r="FR36" s="293"/>
      <c r="FS36" s="293"/>
      <c r="FT36" s="293"/>
      <c r="FU36" s="293"/>
      <c r="FV36" s="293"/>
      <c r="FW36" s="293"/>
      <c r="FX36" s="293"/>
      <c r="FY36" s="293"/>
      <c r="FZ36" s="293"/>
      <c r="GA36" s="293"/>
      <c r="GB36" s="293"/>
      <c r="GC36" s="293"/>
      <c r="GD36" s="293"/>
      <c r="GE36" s="293"/>
      <c r="GF36" s="293"/>
      <c r="GG36" s="293"/>
      <c r="GH36" s="293"/>
      <c r="GI36" s="293"/>
      <c r="GJ36" s="293"/>
      <c r="GK36" s="293"/>
      <c r="GL36" s="293"/>
      <c r="GM36" s="293"/>
      <c r="GN36" s="293"/>
      <c r="GO36" s="293"/>
      <c r="GP36" s="293"/>
      <c r="GQ36" s="293"/>
      <c r="GR36" s="293"/>
      <c r="GS36" s="293"/>
      <c r="GT36" s="293"/>
      <c r="GU36" s="293"/>
      <c r="GV36" s="293"/>
      <c r="GW36" s="293"/>
      <c r="GX36" s="293"/>
      <c r="GY36" s="293"/>
      <c r="GZ36" s="293"/>
      <c r="HA36" s="293"/>
      <c r="HB36" s="293"/>
      <c r="HC36" s="293"/>
      <c r="HD36" s="293"/>
      <c r="HE36" s="293"/>
      <c r="HF36" s="293"/>
      <c r="HG36" s="293"/>
      <c r="HH36" s="293"/>
      <c r="HI36" s="293"/>
      <c r="HJ36" s="293"/>
      <c r="HK36" s="293"/>
      <c r="HL36" s="293"/>
      <c r="HM36" s="293"/>
      <c r="HN36" s="293"/>
      <c r="HO36" s="293"/>
      <c r="HP36" s="293"/>
      <c r="HQ36" s="293"/>
      <c r="HR36" s="293"/>
      <c r="HS36" s="293"/>
      <c r="HT36" s="293"/>
      <c r="HU36" s="293"/>
      <c r="HV36" s="293"/>
      <c r="HW36" s="293"/>
      <c r="HX36" s="293"/>
      <c r="HY36" s="293"/>
      <c r="HZ36" s="293"/>
      <c r="IA36" s="293"/>
      <c r="IB36" s="293"/>
      <c r="IC36" s="293"/>
      <c r="ID36" s="293"/>
      <c r="IE36" s="293"/>
      <c r="IF36" s="293"/>
      <c r="IG36" s="293"/>
      <c r="IH36" s="293"/>
      <c r="II36" s="293"/>
      <c r="IJ36" s="293"/>
      <c r="IK36" s="293"/>
      <c r="IL36" s="293"/>
      <c r="IM36" s="293"/>
      <c r="IN36" s="293"/>
      <c r="IO36" s="293"/>
      <c r="IP36" s="293"/>
      <c r="IQ36" s="293"/>
      <c r="IR36" s="293"/>
      <c r="IS36" s="293"/>
      <c r="IT36" s="293"/>
      <c r="IU36" s="293"/>
      <c r="IV36" s="293"/>
      <c r="IW36" s="293"/>
    </row>
    <row r="37" customFormat="false" ht="12.75" hidden="false" customHeight="false" outlineLevel="0" collapsed="false">
      <c r="B37" s="153"/>
      <c r="C37" s="153"/>
      <c r="D37" s="153"/>
      <c r="E37" s="153"/>
      <c r="F37" s="153"/>
      <c r="G37" s="153"/>
      <c r="H37" s="153"/>
      <c r="I37" s="153"/>
      <c r="J37" s="153"/>
      <c r="K37" s="153"/>
      <c r="L37" s="153"/>
      <c r="M37" s="153"/>
      <c r="N37" s="153"/>
      <c r="O37" s="153"/>
      <c r="P37" s="153"/>
      <c r="Q37" s="153"/>
      <c r="R37" s="153"/>
      <c r="S37" s="153"/>
      <c r="T37" s="153"/>
      <c r="U37" s="153"/>
      <c r="W37" s="164"/>
    </row>
    <row r="38" customFormat="false" ht="15.75" hidden="false" customHeight="false" outlineLevel="0" collapsed="false">
      <c r="A38" s="178" t="s">
        <v>196</v>
      </c>
      <c r="B38" s="323" t="n">
        <f aca="false">SUM(B33:B36)</f>
        <v>8532.52597414309</v>
      </c>
      <c r="C38" s="323" t="n">
        <f aca="false">SUM(C33:C36)</f>
        <v>9737.8122689429</v>
      </c>
      <c r="D38" s="323" t="n">
        <f aca="false">SUM(D33:D36)</f>
        <v>10964.3010266108</v>
      </c>
      <c r="E38" s="323" t="n">
        <f aca="false">SUM(E33:E36)</f>
        <v>12254.5018135463</v>
      </c>
      <c r="F38" s="323" t="n">
        <f aca="false">SUM(F33:F36)</f>
        <v>13758.978314322</v>
      </c>
      <c r="G38" s="323" t="n">
        <f aca="false">SUM(G33:G36)</f>
        <v>14506.4909534763</v>
      </c>
      <c r="H38" s="323" t="n">
        <f aca="false">SUM(H33:H36)</f>
        <v>15294.2570821315</v>
      </c>
      <c r="I38" s="323" t="n">
        <f aca="false">SUM(I33:I36)</f>
        <v>16090.0438201214</v>
      </c>
      <c r="J38" s="323" t="n">
        <f aca="false">SUM(J33:J36)</f>
        <v>16971.608237048</v>
      </c>
      <c r="K38" s="323" t="n">
        <f aca="false">SUM(K33:K36)</f>
        <v>17879.9446979599</v>
      </c>
      <c r="L38" s="323" t="n">
        <f aca="false">SUM(L33:L36)</f>
        <v>18980.3981280121</v>
      </c>
      <c r="M38" s="323" t="n">
        <f aca="false">SUM(M33:M36)</f>
        <v>20379.4360493513</v>
      </c>
      <c r="N38" s="323" t="n">
        <f aca="false">SUM(N33:N36)</f>
        <v>21828.3314871759</v>
      </c>
      <c r="O38" s="323" t="n">
        <f aca="false">SUM(O33:O36)</f>
        <v>23270.3694325092</v>
      </c>
      <c r="P38" s="323" t="n">
        <f aca="false">SUM(P33:P36)</f>
        <v>24734.6109169596</v>
      </c>
      <c r="Q38" s="323" t="n">
        <f aca="false">SUM(Q33:Q36)</f>
        <v>26077.3654814639</v>
      </c>
      <c r="R38" s="323" t="n">
        <f aca="false">SUM(R33:R36)</f>
        <v>27477.0575534958</v>
      </c>
      <c r="S38" s="323" t="n">
        <f aca="false">SUM(S33:S36)</f>
        <v>28834.1648280415</v>
      </c>
      <c r="T38" s="323" t="n">
        <f aca="false">SUM(T33:T36)</f>
        <v>30081.4372325775</v>
      </c>
      <c r="U38" s="323" t="n">
        <f aca="false">SUM(U33:U36)</f>
        <v>31334.3201085591</v>
      </c>
      <c r="V38" s="324"/>
      <c r="W38" s="164" t="n">
        <f aca="false">SUM(B38:U38)</f>
        <v>388987.955406448</v>
      </c>
    </row>
    <row r="39" customFormat="false" ht="12.75" hidden="false" customHeight="false" outlineLevel="0" collapsed="false">
      <c r="A39" s="317"/>
      <c r="B39" s="325"/>
      <c r="C39" s="325"/>
      <c r="D39" s="325"/>
      <c r="E39" s="325"/>
      <c r="F39" s="325"/>
      <c r="G39" s="325"/>
      <c r="H39" s="325"/>
      <c r="I39" s="325"/>
      <c r="J39" s="325"/>
      <c r="K39" s="325"/>
      <c r="L39" s="325"/>
      <c r="M39" s="325"/>
      <c r="N39" s="325"/>
      <c r="O39" s="325"/>
      <c r="P39" s="325"/>
      <c r="Q39" s="325"/>
      <c r="R39" s="325"/>
      <c r="S39" s="325"/>
      <c r="T39" s="325"/>
      <c r="U39" s="325"/>
      <c r="V39" s="316"/>
      <c r="W39" s="316"/>
      <c r="X39" s="293"/>
      <c r="Y39" s="293"/>
      <c r="Z39" s="293"/>
      <c r="AA39" s="293"/>
      <c r="AB39" s="293"/>
      <c r="AC39" s="293"/>
      <c r="AD39" s="293"/>
      <c r="AE39" s="293"/>
      <c r="AF39" s="293"/>
      <c r="AG39" s="293"/>
      <c r="AH39" s="293"/>
      <c r="AI39" s="293"/>
      <c r="AJ39" s="293"/>
      <c r="AK39" s="293"/>
      <c r="AL39" s="293"/>
      <c r="AM39" s="293"/>
      <c r="AN39" s="293"/>
      <c r="AO39" s="293"/>
      <c r="AP39" s="293"/>
      <c r="AQ39" s="293"/>
      <c r="AR39" s="293"/>
      <c r="AS39" s="293"/>
      <c r="AT39" s="293"/>
      <c r="AU39" s="293"/>
      <c r="AV39" s="293"/>
      <c r="AW39" s="293"/>
      <c r="AX39" s="293"/>
      <c r="AY39" s="293"/>
      <c r="AZ39" s="293"/>
      <c r="BA39" s="293"/>
      <c r="BB39" s="293"/>
      <c r="BC39" s="293"/>
      <c r="BD39" s="293"/>
      <c r="BE39" s="293"/>
      <c r="BF39" s="293"/>
      <c r="BG39" s="293"/>
      <c r="BH39" s="293"/>
      <c r="BI39" s="293"/>
      <c r="BJ39" s="293"/>
      <c r="BK39" s="293"/>
      <c r="BL39" s="293"/>
      <c r="BM39" s="293"/>
      <c r="BN39" s="293"/>
      <c r="BO39" s="293"/>
      <c r="BP39" s="293"/>
      <c r="BQ39" s="293"/>
      <c r="BR39" s="293"/>
      <c r="BS39" s="293"/>
      <c r="BT39" s="293"/>
      <c r="BU39" s="293"/>
      <c r="BV39" s="293"/>
      <c r="BW39" s="293"/>
      <c r="BX39" s="293"/>
      <c r="BY39" s="293"/>
      <c r="BZ39" s="293"/>
      <c r="CA39" s="293"/>
      <c r="CB39" s="293"/>
      <c r="CC39" s="293"/>
      <c r="CD39" s="293"/>
      <c r="CE39" s="293"/>
      <c r="CF39" s="293"/>
      <c r="CG39" s="293"/>
      <c r="CH39" s="293"/>
      <c r="CI39" s="293"/>
      <c r="CJ39" s="293"/>
      <c r="CK39" s="293"/>
      <c r="CL39" s="293"/>
      <c r="CM39" s="293"/>
      <c r="CN39" s="293"/>
      <c r="CO39" s="293"/>
      <c r="CP39" s="293"/>
      <c r="CQ39" s="293"/>
      <c r="CR39" s="293"/>
      <c r="CS39" s="293"/>
      <c r="CT39" s="293"/>
      <c r="CU39" s="293"/>
      <c r="CV39" s="293"/>
      <c r="CW39" s="293"/>
      <c r="CX39" s="293"/>
      <c r="CY39" s="293"/>
      <c r="CZ39" s="293"/>
      <c r="DA39" s="293"/>
      <c r="DB39" s="293"/>
      <c r="DC39" s="293"/>
      <c r="DD39" s="293"/>
      <c r="DE39" s="293"/>
      <c r="DF39" s="293"/>
      <c r="DG39" s="293"/>
      <c r="DH39" s="293"/>
      <c r="DI39" s="293"/>
      <c r="DJ39" s="293"/>
      <c r="DK39" s="293"/>
      <c r="DL39" s="293"/>
      <c r="DM39" s="293"/>
      <c r="DN39" s="293"/>
      <c r="DO39" s="293"/>
      <c r="DP39" s="293"/>
      <c r="DQ39" s="293"/>
      <c r="DR39" s="293"/>
      <c r="DS39" s="293"/>
      <c r="DT39" s="293"/>
      <c r="DU39" s="293"/>
      <c r="DV39" s="293"/>
      <c r="DW39" s="293"/>
      <c r="DX39" s="293"/>
      <c r="DY39" s="293"/>
      <c r="DZ39" s="293"/>
      <c r="EA39" s="293"/>
      <c r="EB39" s="293"/>
      <c r="EC39" s="293"/>
      <c r="ED39" s="293"/>
      <c r="EE39" s="293"/>
      <c r="EF39" s="293"/>
      <c r="EG39" s="293"/>
      <c r="EH39" s="293"/>
      <c r="EI39" s="293"/>
      <c r="EJ39" s="293"/>
      <c r="EK39" s="293"/>
      <c r="EL39" s="293"/>
      <c r="EM39" s="293"/>
      <c r="EN39" s="293"/>
      <c r="EO39" s="293"/>
      <c r="EP39" s="293"/>
      <c r="EQ39" s="293"/>
      <c r="ER39" s="293"/>
      <c r="ES39" s="293"/>
      <c r="ET39" s="293"/>
      <c r="EU39" s="293"/>
      <c r="EV39" s="293"/>
      <c r="EW39" s="293"/>
      <c r="EX39" s="293"/>
      <c r="EY39" s="293"/>
      <c r="EZ39" s="293"/>
      <c r="FA39" s="293"/>
      <c r="FB39" s="293"/>
      <c r="FC39" s="293"/>
      <c r="FD39" s="293"/>
      <c r="FE39" s="293"/>
      <c r="FF39" s="293"/>
      <c r="FG39" s="293"/>
      <c r="FH39" s="293"/>
      <c r="FI39" s="293"/>
      <c r="FJ39" s="293"/>
      <c r="FK39" s="293"/>
      <c r="FL39" s="293"/>
      <c r="FM39" s="293"/>
      <c r="FN39" s="293"/>
      <c r="FO39" s="293"/>
      <c r="FP39" s="293"/>
      <c r="FQ39" s="293"/>
      <c r="FR39" s="293"/>
      <c r="FS39" s="293"/>
      <c r="FT39" s="293"/>
      <c r="FU39" s="293"/>
      <c r="FV39" s="293"/>
      <c r="FW39" s="293"/>
      <c r="FX39" s="293"/>
      <c r="FY39" s="293"/>
      <c r="FZ39" s="293"/>
      <c r="GA39" s="293"/>
      <c r="GB39" s="293"/>
      <c r="GC39" s="293"/>
      <c r="GD39" s="293"/>
      <c r="GE39" s="293"/>
      <c r="GF39" s="293"/>
      <c r="GG39" s="293"/>
      <c r="GH39" s="293"/>
      <c r="GI39" s="293"/>
      <c r="GJ39" s="293"/>
      <c r="GK39" s="293"/>
      <c r="GL39" s="293"/>
      <c r="GM39" s="293"/>
      <c r="GN39" s="293"/>
      <c r="GO39" s="293"/>
      <c r="GP39" s="293"/>
      <c r="GQ39" s="293"/>
      <c r="GR39" s="293"/>
      <c r="GS39" s="293"/>
      <c r="GT39" s="293"/>
      <c r="GU39" s="293"/>
      <c r="GV39" s="293"/>
      <c r="GW39" s="293"/>
      <c r="GX39" s="293"/>
      <c r="GY39" s="293"/>
      <c r="GZ39" s="293"/>
      <c r="HA39" s="293"/>
      <c r="HB39" s="293"/>
      <c r="HC39" s="293"/>
      <c r="HD39" s="293"/>
      <c r="HE39" s="293"/>
      <c r="HF39" s="293"/>
      <c r="HG39" s="293"/>
      <c r="HH39" s="293"/>
      <c r="HI39" s="293"/>
      <c r="HJ39" s="293"/>
      <c r="HK39" s="293"/>
      <c r="HL39" s="293"/>
      <c r="HM39" s="293"/>
      <c r="HN39" s="293"/>
      <c r="HO39" s="293"/>
      <c r="HP39" s="293"/>
      <c r="HQ39" s="293"/>
      <c r="HR39" s="293"/>
      <c r="HS39" s="293"/>
      <c r="HT39" s="293"/>
      <c r="HU39" s="293"/>
      <c r="HV39" s="293"/>
      <c r="HW39" s="293"/>
      <c r="HX39" s="293"/>
      <c r="HY39" s="293"/>
      <c r="HZ39" s="293"/>
      <c r="IA39" s="293"/>
      <c r="IB39" s="293"/>
      <c r="IC39" s="293"/>
      <c r="ID39" s="293"/>
      <c r="IE39" s="293"/>
      <c r="IF39" s="293"/>
      <c r="IG39" s="293"/>
      <c r="IH39" s="293"/>
      <c r="II39" s="293"/>
      <c r="IJ39" s="293"/>
      <c r="IK39" s="293"/>
      <c r="IL39" s="293"/>
      <c r="IM39" s="293"/>
      <c r="IN39" s="293"/>
      <c r="IO39" s="293"/>
      <c r="IP39" s="293"/>
      <c r="IQ39" s="293"/>
      <c r="IR39" s="293"/>
      <c r="IS39" s="293"/>
      <c r="IT39" s="293"/>
      <c r="IU39" s="293"/>
      <c r="IV39" s="293"/>
      <c r="IW39" s="293"/>
    </row>
    <row r="40" customFormat="false" ht="12.75" hidden="false" customHeight="false" outlineLevel="0" collapsed="false">
      <c r="A40" s="317"/>
      <c r="B40" s="325"/>
      <c r="C40" s="325"/>
      <c r="D40" s="325"/>
      <c r="E40" s="325"/>
      <c r="F40" s="325"/>
      <c r="G40" s="325"/>
      <c r="H40" s="325"/>
      <c r="I40" s="325"/>
      <c r="J40" s="325"/>
      <c r="K40" s="325"/>
      <c r="L40" s="325"/>
      <c r="M40" s="325"/>
      <c r="N40" s="325"/>
      <c r="O40" s="325"/>
      <c r="P40" s="325"/>
      <c r="Q40" s="325"/>
      <c r="R40" s="325"/>
      <c r="S40" s="325"/>
      <c r="T40" s="325"/>
      <c r="U40" s="325"/>
      <c r="V40" s="316"/>
      <c r="W40" s="316"/>
      <c r="X40" s="293"/>
      <c r="Y40" s="293"/>
      <c r="Z40" s="293"/>
      <c r="AA40" s="293"/>
      <c r="AB40" s="293"/>
      <c r="AC40" s="293"/>
      <c r="AD40" s="293"/>
      <c r="AE40" s="293"/>
      <c r="AF40" s="293"/>
      <c r="AG40" s="293"/>
      <c r="AH40" s="293"/>
      <c r="AI40" s="293"/>
      <c r="AJ40" s="293"/>
      <c r="AK40" s="293"/>
      <c r="AL40" s="293"/>
      <c r="AM40" s="293"/>
      <c r="AN40" s="293"/>
      <c r="AO40" s="293"/>
      <c r="AP40" s="293"/>
      <c r="AQ40" s="293"/>
      <c r="AR40" s="293"/>
      <c r="AS40" s="293"/>
      <c r="AT40" s="293"/>
      <c r="AU40" s="293"/>
      <c r="AV40" s="293"/>
      <c r="AW40" s="293"/>
      <c r="AX40" s="293"/>
      <c r="AY40" s="293"/>
      <c r="AZ40" s="293"/>
      <c r="BA40" s="293"/>
      <c r="BB40" s="293"/>
      <c r="BC40" s="293"/>
      <c r="BD40" s="293"/>
      <c r="BE40" s="293"/>
      <c r="BF40" s="293"/>
      <c r="BG40" s="293"/>
      <c r="BH40" s="293"/>
      <c r="BI40" s="293"/>
      <c r="BJ40" s="293"/>
      <c r="BK40" s="293"/>
      <c r="BL40" s="293"/>
      <c r="BM40" s="293"/>
      <c r="BN40" s="293"/>
      <c r="BO40" s="293"/>
      <c r="BP40" s="293"/>
      <c r="BQ40" s="293"/>
      <c r="BR40" s="293"/>
      <c r="BS40" s="293"/>
      <c r="BT40" s="293"/>
      <c r="BU40" s="293"/>
      <c r="BV40" s="293"/>
      <c r="BW40" s="293"/>
      <c r="BX40" s="293"/>
      <c r="BY40" s="293"/>
      <c r="BZ40" s="293"/>
      <c r="CA40" s="293"/>
      <c r="CB40" s="293"/>
      <c r="CC40" s="293"/>
      <c r="CD40" s="293"/>
      <c r="CE40" s="293"/>
      <c r="CF40" s="293"/>
      <c r="CG40" s="293"/>
      <c r="CH40" s="293"/>
      <c r="CI40" s="293"/>
      <c r="CJ40" s="293"/>
      <c r="CK40" s="293"/>
      <c r="CL40" s="293"/>
      <c r="CM40" s="293"/>
      <c r="CN40" s="293"/>
      <c r="CO40" s="293"/>
      <c r="CP40" s="293"/>
      <c r="CQ40" s="293"/>
      <c r="CR40" s="293"/>
      <c r="CS40" s="293"/>
      <c r="CT40" s="293"/>
      <c r="CU40" s="293"/>
      <c r="CV40" s="293"/>
      <c r="CW40" s="293"/>
      <c r="CX40" s="293"/>
      <c r="CY40" s="293"/>
      <c r="CZ40" s="293"/>
      <c r="DA40" s="293"/>
      <c r="DB40" s="293"/>
      <c r="DC40" s="293"/>
      <c r="DD40" s="293"/>
      <c r="DE40" s="293"/>
      <c r="DF40" s="293"/>
      <c r="DG40" s="293"/>
      <c r="DH40" s="293"/>
      <c r="DI40" s="293"/>
      <c r="DJ40" s="293"/>
      <c r="DK40" s="293"/>
      <c r="DL40" s="293"/>
      <c r="DM40" s="293"/>
      <c r="DN40" s="293"/>
      <c r="DO40" s="293"/>
      <c r="DP40" s="293"/>
      <c r="DQ40" s="293"/>
      <c r="DR40" s="293"/>
      <c r="DS40" s="293"/>
      <c r="DT40" s="293"/>
      <c r="DU40" s="293"/>
      <c r="DV40" s="293"/>
      <c r="DW40" s="293"/>
      <c r="DX40" s="293"/>
      <c r="DY40" s="293"/>
      <c r="DZ40" s="293"/>
      <c r="EA40" s="293"/>
      <c r="EB40" s="293"/>
      <c r="EC40" s="293"/>
      <c r="ED40" s="293"/>
      <c r="EE40" s="293"/>
      <c r="EF40" s="293"/>
      <c r="EG40" s="293"/>
      <c r="EH40" s="293"/>
      <c r="EI40" s="293"/>
      <c r="EJ40" s="293"/>
      <c r="EK40" s="293"/>
      <c r="EL40" s="293"/>
      <c r="EM40" s="293"/>
      <c r="EN40" s="293"/>
      <c r="EO40" s="293"/>
      <c r="EP40" s="293"/>
      <c r="EQ40" s="293"/>
      <c r="ER40" s="293"/>
      <c r="ES40" s="293"/>
      <c r="ET40" s="293"/>
      <c r="EU40" s="293"/>
      <c r="EV40" s="293"/>
      <c r="EW40" s="293"/>
      <c r="EX40" s="293"/>
      <c r="EY40" s="293"/>
      <c r="EZ40" s="293"/>
      <c r="FA40" s="293"/>
      <c r="FB40" s="293"/>
      <c r="FC40" s="293"/>
      <c r="FD40" s="293"/>
      <c r="FE40" s="293"/>
      <c r="FF40" s="293"/>
      <c r="FG40" s="293"/>
      <c r="FH40" s="293"/>
      <c r="FI40" s="293"/>
      <c r="FJ40" s="293"/>
      <c r="FK40" s="293"/>
      <c r="FL40" s="293"/>
      <c r="FM40" s="293"/>
      <c r="FN40" s="293"/>
      <c r="FO40" s="293"/>
      <c r="FP40" s="293"/>
      <c r="FQ40" s="293"/>
      <c r="FR40" s="293"/>
      <c r="FS40" s="293"/>
      <c r="FT40" s="293"/>
      <c r="FU40" s="293"/>
      <c r="FV40" s="293"/>
      <c r="FW40" s="293"/>
      <c r="FX40" s="293"/>
      <c r="FY40" s="293"/>
      <c r="FZ40" s="293"/>
      <c r="GA40" s="293"/>
      <c r="GB40" s="293"/>
      <c r="GC40" s="293"/>
      <c r="GD40" s="293"/>
      <c r="GE40" s="293"/>
      <c r="GF40" s="293"/>
      <c r="GG40" s="293"/>
      <c r="GH40" s="293"/>
      <c r="GI40" s="293"/>
      <c r="GJ40" s="293"/>
      <c r="GK40" s="293"/>
      <c r="GL40" s="293"/>
      <c r="GM40" s="293"/>
      <c r="GN40" s="293"/>
      <c r="GO40" s="293"/>
      <c r="GP40" s="293"/>
      <c r="GQ40" s="293"/>
      <c r="GR40" s="293"/>
      <c r="GS40" s="293"/>
      <c r="GT40" s="293"/>
      <c r="GU40" s="293"/>
      <c r="GV40" s="293"/>
      <c r="GW40" s="293"/>
      <c r="GX40" s="293"/>
      <c r="GY40" s="293"/>
      <c r="GZ40" s="293"/>
      <c r="HA40" s="293"/>
      <c r="HB40" s="293"/>
      <c r="HC40" s="293"/>
      <c r="HD40" s="293"/>
      <c r="HE40" s="293"/>
      <c r="HF40" s="293"/>
      <c r="HG40" s="293"/>
      <c r="HH40" s="293"/>
      <c r="HI40" s="293"/>
      <c r="HJ40" s="293"/>
      <c r="HK40" s="293"/>
      <c r="HL40" s="293"/>
      <c r="HM40" s="293"/>
      <c r="HN40" s="293"/>
      <c r="HO40" s="293"/>
      <c r="HP40" s="293"/>
      <c r="HQ40" s="293"/>
      <c r="HR40" s="293"/>
      <c r="HS40" s="293"/>
      <c r="HT40" s="293"/>
      <c r="HU40" s="293"/>
      <c r="HV40" s="293"/>
      <c r="HW40" s="293"/>
      <c r="HX40" s="293"/>
      <c r="HY40" s="293"/>
      <c r="HZ40" s="293"/>
      <c r="IA40" s="293"/>
      <c r="IB40" s="293"/>
      <c r="IC40" s="293"/>
      <c r="ID40" s="293"/>
      <c r="IE40" s="293"/>
      <c r="IF40" s="293"/>
      <c r="IG40" s="293"/>
      <c r="IH40" s="293"/>
      <c r="II40" s="293"/>
      <c r="IJ40" s="293"/>
      <c r="IK40" s="293"/>
      <c r="IL40" s="293"/>
      <c r="IM40" s="293"/>
      <c r="IN40" s="293"/>
      <c r="IO40" s="293"/>
      <c r="IP40" s="293"/>
      <c r="IQ40" s="293"/>
      <c r="IR40" s="293"/>
      <c r="IS40" s="293"/>
      <c r="IT40" s="293"/>
      <c r="IU40" s="293"/>
      <c r="IV40" s="293"/>
      <c r="IW40" s="293"/>
    </row>
    <row r="41" customFormat="false" ht="12.75" hidden="false" customHeight="false" outlineLevel="0" collapsed="false">
      <c r="A41" s="258"/>
      <c r="B41" s="172"/>
      <c r="C41" s="172"/>
      <c r="D41" s="172"/>
      <c r="E41" s="172"/>
      <c r="F41" s="172"/>
      <c r="G41" s="172"/>
      <c r="H41" s="172"/>
      <c r="I41" s="172"/>
      <c r="J41" s="172"/>
      <c r="K41" s="172"/>
      <c r="L41" s="172"/>
      <c r="M41" s="172"/>
      <c r="N41" s="172"/>
      <c r="O41" s="172"/>
      <c r="P41" s="172"/>
      <c r="Q41" s="172"/>
      <c r="R41" s="172"/>
      <c r="S41" s="172"/>
      <c r="T41" s="172"/>
      <c r="U41" s="172"/>
    </row>
    <row r="42" customFormat="false" ht="18" hidden="false" customHeight="false" outlineLevel="0" collapsed="false">
      <c r="A42" s="326" t="s">
        <v>232</v>
      </c>
      <c r="B42" s="172"/>
      <c r="C42" s="172"/>
      <c r="D42" s="172"/>
      <c r="E42" s="172"/>
      <c r="F42" s="172"/>
      <c r="G42" s="172"/>
      <c r="H42" s="172"/>
      <c r="I42" s="172"/>
      <c r="J42" s="172"/>
      <c r="K42" s="172"/>
      <c r="L42" s="172"/>
      <c r="M42" s="172"/>
      <c r="N42" s="172"/>
      <c r="O42" s="172"/>
      <c r="P42" s="172"/>
      <c r="Q42" s="172"/>
      <c r="R42" s="172"/>
      <c r="S42" s="172"/>
      <c r="T42" s="172"/>
      <c r="U42" s="172"/>
    </row>
    <row r="43" customFormat="false" ht="12.75" hidden="false" customHeight="false" outlineLevel="0" collapsed="false">
      <c r="A43" s="163"/>
      <c r="B43" s="172"/>
      <c r="C43" s="172"/>
      <c r="D43" s="172"/>
      <c r="E43" s="172"/>
      <c r="F43" s="172"/>
      <c r="G43" s="172"/>
      <c r="H43" s="172"/>
      <c r="I43" s="172"/>
      <c r="J43" s="172"/>
      <c r="K43" s="172"/>
      <c r="L43" s="172"/>
      <c r="M43" s="172"/>
      <c r="N43" s="172"/>
      <c r="O43" s="172"/>
      <c r="P43" s="172"/>
      <c r="Q43" s="172"/>
      <c r="R43" s="172"/>
      <c r="S43" s="172"/>
      <c r="T43" s="172"/>
      <c r="U43" s="172"/>
    </row>
    <row r="44" customFormat="false" ht="15.75" hidden="false" customHeight="false" outlineLevel="0" collapsed="false">
      <c r="A44" s="163"/>
      <c r="B44" s="172"/>
      <c r="C44" s="172"/>
      <c r="D44" s="172"/>
      <c r="E44" s="172"/>
      <c r="F44" s="172"/>
      <c r="G44" s="172"/>
      <c r="H44" s="172"/>
      <c r="I44" s="172"/>
      <c r="J44" s="172"/>
      <c r="K44" s="172"/>
      <c r="L44" s="172"/>
      <c r="M44" s="172"/>
      <c r="N44" s="172"/>
      <c r="O44" s="172"/>
      <c r="P44" s="172"/>
      <c r="Q44" s="172"/>
      <c r="R44" s="172"/>
      <c r="S44" s="172"/>
      <c r="T44" s="172"/>
      <c r="U44" s="172"/>
      <c r="X44" s="324"/>
      <c r="Y44" s="324"/>
      <c r="Z44" s="324"/>
      <c r="AA44" s="324"/>
      <c r="AB44" s="324"/>
      <c r="AC44" s="324"/>
      <c r="AD44" s="324"/>
      <c r="AE44" s="324"/>
      <c r="AF44" s="324"/>
      <c r="AG44" s="324"/>
      <c r="AH44" s="324"/>
      <c r="AI44" s="324"/>
      <c r="AJ44" s="324"/>
      <c r="AK44" s="324"/>
      <c r="AL44" s="324"/>
      <c r="AM44" s="324"/>
      <c r="AN44" s="324"/>
      <c r="AO44" s="324"/>
      <c r="AP44" s="324"/>
      <c r="AQ44" s="324"/>
      <c r="AR44" s="324"/>
      <c r="AS44" s="324"/>
      <c r="AT44" s="324"/>
      <c r="AU44" s="324"/>
      <c r="AV44" s="324"/>
      <c r="AW44" s="324"/>
      <c r="AX44" s="324"/>
      <c r="AY44" s="324"/>
      <c r="AZ44" s="324"/>
      <c r="BA44" s="324"/>
      <c r="BB44" s="324"/>
      <c r="BC44" s="324"/>
      <c r="BD44" s="324"/>
      <c r="BE44" s="324"/>
      <c r="BF44" s="324"/>
      <c r="BG44" s="324"/>
      <c r="BH44" s="324"/>
      <c r="BI44" s="324"/>
      <c r="BJ44" s="324"/>
      <c r="BK44" s="324"/>
      <c r="BL44" s="324"/>
      <c r="BM44" s="324"/>
      <c r="BN44" s="324"/>
      <c r="BO44" s="324"/>
      <c r="BP44" s="324"/>
      <c r="BQ44" s="324"/>
      <c r="BR44" s="324"/>
      <c r="BS44" s="324"/>
      <c r="BT44" s="324"/>
      <c r="BU44" s="324"/>
      <c r="BV44" s="324"/>
      <c r="BW44" s="324"/>
      <c r="BX44" s="324"/>
      <c r="BY44" s="324"/>
      <c r="BZ44" s="324"/>
      <c r="CA44" s="324"/>
      <c r="CB44" s="324"/>
      <c r="CC44" s="324"/>
      <c r="CD44" s="324"/>
      <c r="CE44" s="324"/>
      <c r="CF44" s="324"/>
      <c r="CG44" s="324"/>
      <c r="CH44" s="324"/>
      <c r="CI44" s="324"/>
      <c r="CJ44" s="324"/>
      <c r="CK44" s="324"/>
      <c r="CL44" s="324"/>
      <c r="CM44" s="324"/>
      <c r="CN44" s="324"/>
      <c r="CO44" s="324"/>
      <c r="CP44" s="324"/>
      <c r="CQ44" s="324"/>
      <c r="CR44" s="324"/>
      <c r="CS44" s="324"/>
      <c r="CT44" s="324"/>
      <c r="CU44" s="324"/>
      <c r="CV44" s="324"/>
      <c r="CW44" s="324"/>
      <c r="CX44" s="324"/>
      <c r="CY44" s="324"/>
      <c r="CZ44" s="324"/>
      <c r="DA44" s="324"/>
      <c r="DB44" s="324"/>
      <c r="DC44" s="324"/>
      <c r="DD44" s="324"/>
      <c r="DE44" s="324"/>
      <c r="DF44" s="324"/>
      <c r="DG44" s="324"/>
      <c r="DH44" s="324"/>
      <c r="DI44" s="324"/>
      <c r="DJ44" s="324"/>
      <c r="DK44" s="324"/>
      <c r="DL44" s="324"/>
      <c r="DM44" s="324"/>
      <c r="DN44" s="324"/>
      <c r="DO44" s="324"/>
      <c r="DP44" s="324"/>
      <c r="DQ44" s="324"/>
      <c r="DR44" s="324"/>
      <c r="DS44" s="324"/>
      <c r="DT44" s="324"/>
      <c r="DU44" s="324"/>
      <c r="DV44" s="324"/>
      <c r="DW44" s="324"/>
      <c r="DX44" s="324"/>
      <c r="DY44" s="324"/>
      <c r="DZ44" s="324"/>
      <c r="EA44" s="324"/>
      <c r="EB44" s="324"/>
      <c r="EC44" s="324"/>
      <c r="ED44" s="324"/>
      <c r="EE44" s="324"/>
      <c r="EF44" s="324"/>
      <c r="EG44" s="324"/>
      <c r="EH44" s="324"/>
      <c r="EI44" s="324"/>
      <c r="EJ44" s="324"/>
      <c r="EK44" s="324"/>
      <c r="EL44" s="324"/>
      <c r="EM44" s="324"/>
      <c r="EN44" s="324"/>
      <c r="EO44" s="324"/>
      <c r="EP44" s="324"/>
      <c r="EQ44" s="324"/>
      <c r="ER44" s="324"/>
      <c r="ES44" s="324"/>
      <c r="ET44" s="324"/>
      <c r="EU44" s="324"/>
      <c r="EV44" s="324"/>
      <c r="EW44" s="324"/>
      <c r="EX44" s="324"/>
      <c r="EY44" s="324"/>
      <c r="EZ44" s="324"/>
      <c r="FA44" s="324"/>
      <c r="FB44" s="324"/>
      <c r="FC44" s="324"/>
      <c r="FD44" s="324"/>
      <c r="FE44" s="324"/>
      <c r="FF44" s="324"/>
      <c r="FG44" s="324"/>
      <c r="FH44" s="324"/>
      <c r="FI44" s="324"/>
      <c r="FJ44" s="324"/>
      <c r="FK44" s="324"/>
      <c r="FL44" s="324"/>
      <c r="FM44" s="324"/>
      <c r="FN44" s="324"/>
      <c r="FO44" s="324"/>
      <c r="FP44" s="324"/>
      <c r="FQ44" s="324"/>
      <c r="FR44" s="324"/>
      <c r="FS44" s="324"/>
      <c r="FT44" s="324"/>
      <c r="FU44" s="324"/>
      <c r="FV44" s="324"/>
      <c r="FW44" s="324"/>
      <c r="FX44" s="324"/>
      <c r="FY44" s="324"/>
      <c r="FZ44" s="324"/>
      <c r="GA44" s="324"/>
      <c r="GB44" s="324"/>
      <c r="GC44" s="324"/>
      <c r="GD44" s="324"/>
      <c r="GE44" s="324"/>
      <c r="GF44" s="324"/>
      <c r="GG44" s="324"/>
      <c r="GH44" s="324"/>
      <c r="GI44" s="324"/>
      <c r="GJ44" s="324"/>
      <c r="GK44" s="324"/>
      <c r="GL44" s="324"/>
      <c r="GM44" s="324"/>
      <c r="GN44" s="324"/>
      <c r="GO44" s="324"/>
      <c r="GP44" s="324"/>
      <c r="GQ44" s="324"/>
      <c r="GR44" s="324"/>
      <c r="GS44" s="324"/>
      <c r="GT44" s="324"/>
      <c r="GU44" s="324"/>
      <c r="GV44" s="324"/>
      <c r="GW44" s="324"/>
      <c r="GX44" s="324"/>
      <c r="GY44" s="324"/>
      <c r="GZ44" s="324"/>
      <c r="HA44" s="324"/>
      <c r="HB44" s="324"/>
      <c r="HC44" s="324"/>
      <c r="HD44" s="324"/>
      <c r="HE44" s="324"/>
      <c r="HF44" s="324"/>
      <c r="HG44" s="324"/>
      <c r="HH44" s="324"/>
      <c r="HI44" s="324"/>
      <c r="HJ44" s="324"/>
      <c r="HK44" s="324"/>
      <c r="HL44" s="324"/>
      <c r="HM44" s="324"/>
      <c r="HN44" s="324"/>
      <c r="HO44" s="324"/>
      <c r="HP44" s="324"/>
      <c r="HQ44" s="324"/>
      <c r="HR44" s="324"/>
      <c r="HS44" s="324"/>
      <c r="HT44" s="324"/>
      <c r="HU44" s="324"/>
      <c r="HV44" s="324"/>
      <c r="HW44" s="324"/>
      <c r="HX44" s="324"/>
      <c r="HY44" s="324"/>
      <c r="HZ44" s="324"/>
      <c r="IA44" s="324"/>
      <c r="IB44" s="324"/>
      <c r="IC44" s="324"/>
      <c r="ID44" s="324"/>
      <c r="IE44" s="324"/>
      <c r="IF44" s="324"/>
      <c r="IG44" s="324"/>
      <c r="IH44" s="324"/>
      <c r="II44" s="324"/>
      <c r="IJ44" s="324"/>
      <c r="IK44" s="324"/>
      <c r="IL44" s="324"/>
      <c r="IM44" s="324"/>
      <c r="IN44" s="324"/>
      <c r="IO44" s="324"/>
      <c r="IP44" s="324"/>
      <c r="IQ44" s="324"/>
      <c r="IR44" s="324"/>
      <c r="IS44" s="324"/>
      <c r="IT44" s="324"/>
      <c r="IU44" s="324"/>
      <c r="IV44" s="324"/>
      <c r="IW44" s="324"/>
    </row>
    <row r="45" customFormat="false" ht="12.75" hidden="false" customHeight="false" outlineLevel="0" collapsed="false">
      <c r="A45" s="163"/>
      <c r="B45" s="172"/>
      <c r="C45" s="172"/>
      <c r="D45" s="172"/>
      <c r="E45" s="172"/>
      <c r="F45" s="172"/>
      <c r="G45" s="172"/>
      <c r="H45" s="172"/>
      <c r="I45" s="172"/>
      <c r="J45" s="172"/>
      <c r="K45" s="172"/>
      <c r="L45" s="172"/>
      <c r="M45" s="172"/>
      <c r="N45" s="172"/>
      <c r="O45" s="172"/>
      <c r="P45" s="172"/>
      <c r="Q45" s="172"/>
      <c r="R45" s="172"/>
      <c r="S45" s="172"/>
      <c r="T45" s="172"/>
      <c r="U45" s="172"/>
      <c r="X45" s="316"/>
      <c r="Y45" s="316"/>
      <c r="Z45" s="316"/>
      <c r="AA45" s="316"/>
      <c r="AB45" s="316"/>
      <c r="AC45" s="316"/>
      <c r="AD45" s="316"/>
      <c r="AE45" s="316"/>
      <c r="AF45" s="316"/>
      <c r="AG45" s="316"/>
      <c r="AH45" s="316"/>
      <c r="AI45" s="316"/>
      <c r="AJ45" s="316"/>
      <c r="AK45" s="316"/>
      <c r="AL45" s="316"/>
      <c r="AM45" s="316"/>
      <c r="AN45" s="316"/>
      <c r="AO45" s="316"/>
      <c r="AP45" s="316"/>
      <c r="AQ45" s="316"/>
      <c r="AR45" s="316"/>
      <c r="AS45" s="316"/>
      <c r="AT45" s="316"/>
      <c r="AU45" s="316"/>
      <c r="AV45" s="316"/>
      <c r="AW45" s="316"/>
      <c r="AX45" s="316"/>
      <c r="AY45" s="316"/>
      <c r="AZ45" s="316"/>
      <c r="BA45" s="316"/>
      <c r="BB45" s="316"/>
      <c r="BC45" s="316"/>
      <c r="BD45" s="316"/>
      <c r="BE45" s="316"/>
      <c r="BF45" s="316"/>
      <c r="BG45" s="316"/>
      <c r="BH45" s="316"/>
      <c r="BI45" s="316"/>
      <c r="BJ45" s="316"/>
      <c r="BK45" s="316"/>
      <c r="BL45" s="316"/>
      <c r="BM45" s="316"/>
      <c r="BN45" s="316"/>
      <c r="BO45" s="316"/>
      <c r="BP45" s="316"/>
      <c r="BQ45" s="316"/>
      <c r="BR45" s="316"/>
      <c r="BS45" s="316"/>
      <c r="BT45" s="316"/>
      <c r="BU45" s="316"/>
      <c r="BV45" s="316"/>
      <c r="BW45" s="316"/>
      <c r="BX45" s="316"/>
      <c r="BY45" s="316"/>
      <c r="BZ45" s="316"/>
      <c r="CA45" s="316"/>
      <c r="CB45" s="316"/>
      <c r="CC45" s="316"/>
      <c r="CD45" s="316"/>
      <c r="CE45" s="316"/>
      <c r="CF45" s="316"/>
      <c r="CG45" s="316"/>
      <c r="CH45" s="316"/>
      <c r="CI45" s="316"/>
      <c r="CJ45" s="316"/>
      <c r="CK45" s="316"/>
      <c r="CL45" s="316"/>
      <c r="CM45" s="316"/>
      <c r="CN45" s="316"/>
      <c r="CO45" s="316"/>
      <c r="CP45" s="316"/>
      <c r="CQ45" s="316"/>
      <c r="CR45" s="316"/>
      <c r="CS45" s="316"/>
      <c r="CT45" s="316"/>
      <c r="CU45" s="316"/>
      <c r="CV45" s="316"/>
      <c r="CW45" s="316"/>
      <c r="CX45" s="316"/>
      <c r="CY45" s="316"/>
      <c r="CZ45" s="316"/>
      <c r="DA45" s="316"/>
      <c r="DB45" s="316"/>
      <c r="DC45" s="316"/>
      <c r="DD45" s="316"/>
      <c r="DE45" s="316"/>
      <c r="DF45" s="316"/>
      <c r="DG45" s="316"/>
      <c r="DH45" s="316"/>
      <c r="DI45" s="316"/>
      <c r="DJ45" s="316"/>
      <c r="DK45" s="316"/>
      <c r="DL45" s="316"/>
      <c r="DM45" s="316"/>
      <c r="DN45" s="316"/>
      <c r="DO45" s="316"/>
      <c r="DP45" s="316"/>
      <c r="DQ45" s="316"/>
      <c r="DR45" s="316"/>
      <c r="DS45" s="316"/>
      <c r="DT45" s="316"/>
      <c r="DU45" s="316"/>
      <c r="DV45" s="316"/>
      <c r="DW45" s="316"/>
      <c r="DX45" s="316"/>
      <c r="DY45" s="316"/>
      <c r="DZ45" s="316"/>
      <c r="EA45" s="316"/>
      <c r="EB45" s="316"/>
      <c r="EC45" s="316"/>
      <c r="ED45" s="316"/>
      <c r="EE45" s="316"/>
      <c r="EF45" s="316"/>
      <c r="EG45" s="316"/>
      <c r="EH45" s="316"/>
      <c r="EI45" s="316"/>
      <c r="EJ45" s="316"/>
      <c r="EK45" s="316"/>
      <c r="EL45" s="316"/>
      <c r="EM45" s="316"/>
      <c r="EN45" s="316"/>
      <c r="EO45" s="316"/>
      <c r="EP45" s="316"/>
      <c r="EQ45" s="316"/>
      <c r="ER45" s="316"/>
      <c r="ES45" s="316"/>
      <c r="ET45" s="316"/>
      <c r="EU45" s="316"/>
      <c r="EV45" s="316"/>
      <c r="EW45" s="316"/>
      <c r="EX45" s="316"/>
      <c r="EY45" s="316"/>
      <c r="EZ45" s="316"/>
      <c r="FA45" s="316"/>
      <c r="FB45" s="316"/>
      <c r="FC45" s="316"/>
      <c r="FD45" s="316"/>
      <c r="FE45" s="316"/>
      <c r="FF45" s="316"/>
      <c r="FG45" s="316"/>
      <c r="FH45" s="316"/>
      <c r="FI45" s="316"/>
      <c r="FJ45" s="316"/>
      <c r="FK45" s="316"/>
      <c r="FL45" s="316"/>
      <c r="FM45" s="316"/>
      <c r="FN45" s="316"/>
      <c r="FO45" s="316"/>
      <c r="FP45" s="316"/>
      <c r="FQ45" s="316"/>
      <c r="FR45" s="316"/>
      <c r="FS45" s="316"/>
      <c r="FT45" s="316"/>
      <c r="FU45" s="316"/>
      <c r="FV45" s="316"/>
      <c r="FW45" s="316"/>
      <c r="FX45" s="316"/>
      <c r="FY45" s="316"/>
      <c r="FZ45" s="316"/>
      <c r="GA45" s="316"/>
      <c r="GB45" s="316"/>
      <c r="GC45" s="316"/>
      <c r="GD45" s="316"/>
      <c r="GE45" s="316"/>
      <c r="GF45" s="316"/>
      <c r="GG45" s="316"/>
      <c r="GH45" s="316"/>
      <c r="GI45" s="316"/>
      <c r="GJ45" s="316"/>
      <c r="GK45" s="316"/>
      <c r="GL45" s="316"/>
      <c r="GM45" s="316"/>
      <c r="GN45" s="316"/>
      <c r="GO45" s="316"/>
      <c r="GP45" s="316"/>
      <c r="GQ45" s="316"/>
      <c r="GR45" s="316"/>
      <c r="GS45" s="316"/>
      <c r="GT45" s="316"/>
      <c r="GU45" s="316"/>
      <c r="GV45" s="316"/>
      <c r="GW45" s="316"/>
      <c r="GX45" s="316"/>
      <c r="GY45" s="316"/>
      <c r="GZ45" s="316"/>
      <c r="HA45" s="316"/>
      <c r="HB45" s="316"/>
      <c r="HC45" s="316"/>
      <c r="HD45" s="316"/>
      <c r="HE45" s="316"/>
      <c r="HF45" s="316"/>
      <c r="HG45" s="316"/>
      <c r="HH45" s="316"/>
      <c r="HI45" s="316"/>
      <c r="HJ45" s="316"/>
      <c r="HK45" s="316"/>
      <c r="HL45" s="316"/>
      <c r="HM45" s="316"/>
      <c r="HN45" s="316"/>
      <c r="HO45" s="316"/>
      <c r="HP45" s="316"/>
      <c r="HQ45" s="316"/>
      <c r="HR45" s="316"/>
      <c r="HS45" s="316"/>
      <c r="HT45" s="316"/>
      <c r="HU45" s="316"/>
      <c r="HV45" s="316"/>
      <c r="HW45" s="316"/>
      <c r="HX45" s="316"/>
      <c r="HY45" s="316"/>
      <c r="HZ45" s="316"/>
      <c r="IA45" s="316"/>
      <c r="IB45" s="316"/>
      <c r="IC45" s="316"/>
      <c r="ID45" s="316"/>
      <c r="IE45" s="316"/>
      <c r="IF45" s="316"/>
      <c r="IG45" s="316"/>
      <c r="IH45" s="316"/>
      <c r="II45" s="316"/>
      <c r="IJ45" s="316"/>
      <c r="IK45" s="316"/>
      <c r="IL45" s="316"/>
      <c r="IM45" s="316"/>
      <c r="IN45" s="316"/>
      <c r="IO45" s="316"/>
      <c r="IP45" s="316"/>
      <c r="IQ45" s="316"/>
      <c r="IR45" s="316"/>
      <c r="IS45" s="316"/>
      <c r="IT45" s="316"/>
      <c r="IU45" s="316"/>
      <c r="IV45" s="316"/>
      <c r="IW45" s="316"/>
    </row>
    <row r="46" customFormat="false" ht="13.5" hidden="false" customHeight="false" outlineLevel="0" collapsed="false">
      <c r="A46" s="154" t="s">
        <v>103</v>
      </c>
      <c r="B46" s="155" t="n">
        <v>2001</v>
      </c>
      <c r="C46" s="155" t="n">
        <f aca="false">B46+1</f>
        <v>2002</v>
      </c>
      <c r="D46" s="155" t="n">
        <f aca="false">C46+1</f>
        <v>2003</v>
      </c>
      <c r="E46" s="155" t="n">
        <f aca="false">D46+1</f>
        <v>2004</v>
      </c>
      <c r="F46" s="155" t="n">
        <f aca="false">E46+1</f>
        <v>2005</v>
      </c>
      <c r="G46" s="155" t="n">
        <f aca="false">F46+1</f>
        <v>2006</v>
      </c>
      <c r="H46" s="155" t="n">
        <f aca="false">G46+1</f>
        <v>2007</v>
      </c>
      <c r="I46" s="155" t="n">
        <f aca="false">H46+1</f>
        <v>2008</v>
      </c>
      <c r="J46" s="155" t="n">
        <f aca="false">I46+1</f>
        <v>2009</v>
      </c>
      <c r="K46" s="155" t="n">
        <f aca="false">J46+1</f>
        <v>2010</v>
      </c>
      <c r="L46" s="155" t="n">
        <f aca="false">K46+1</f>
        <v>2011</v>
      </c>
      <c r="M46" s="155" t="n">
        <f aca="false">L46+1</f>
        <v>2012</v>
      </c>
      <c r="N46" s="155" t="n">
        <f aca="false">M46+1</f>
        <v>2013</v>
      </c>
      <c r="O46" s="155" t="n">
        <f aca="false">N46+1</f>
        <v>2014</v>
      </c>
      <c r="P46" s="155" t="n">
        <f aca="false">O46+1</f>
        <v>2015</v>
      </c>
      <c r="Q46" s="155" t="n">
        <f aca="false">P46+1</f>
        <v>2016</v>
      </c>
      <c r="R46" s="155" t="n">
        <f aca="false">Q46+1</f>
        <v>2017</v>
      </c>
      <c r="S46" s="155" t="n">
        <f aca="false">R46+1</f>
        <v>2018</v>
      </c>
      <c r="T46" s="155" t="n">
        <f aca="false">S46+1</f>
        <v>2019</v>
      </c>
      <c r="U46" s="155" t="n">
        <f aca="false">T46+1</f>
        <v>2020</v>
      </c>
      <c r="W46" s="290" t="s">
        <v>125</v>
      </c>
      <c r="X46" s="316"/>
      <c r="Y46" s="316"/>
      <c r="Z46" s="316"/>
      <c r="AA46" s="316"/>
      <c r="AB46" s="316"/>
      <c r="AC46" s="316"/>
      <c r="AD46" s="316"/>
      <c r="AE46" s="316"/>
      <c r="AF46" s="316"/>
      <c r="AG46" s="316"/>
      <c r="AH46" s="316"/>
      <c r="AI46" s="316"/>
      <c r="AJ46" s="316"/>
      <c r="AK46" s="316"/>
      <c r="AL46" s="316"/>
      <c r="AM46" s="316"/>
      <c r="AN46" s="316"/>
      <c r="AO46" s="316"/>
      <c r="AP46" s="316"/>
      <c r="AQ46" s="316"/>
      <c r="AR46" s="316"/>
      <c r="AS46" s="316"/>
      <c r="AT46" s="316"/>
      <c r="AU46" s="316"/>
      <c r="AV46" s="316"/>
      <c r="AW46" s="316"/>
      <c r="AX46" s="316"/>
      <c r="AY46" s="316"/>
      <c r="AZ46" s="316"/>
      <c r="BA46" s="316"/>
      <c r="BB46" s="316"/>
      <c r="BC46" s="316"/>
      <c r="BD46" s="316"/>
      <c r="BE46" s="316"/>
      <c r="BF46" s="316"/>
      <c r="BG46" s="316"/>
      <c r="BH46" s="316"/>
      <c r="BI46" s="316"/>
      <c r="BJ46" s="316"/>
      <c r="BK46" s="316"/>
      <c r="BL46" s="316"/>
      <c r="BM46" s="316"/>
      <c r="BN46" s="316"/>
      <c r="BO46" s="316"/>
      <c r="BP46" s="316"/>
      <c r="BQ46" s="316"/>
      <c r="BR46" s="316"/>
      <c r="BS46" s="316"/>
      <c r="BT46" s="316"/>
      <c r="BU46" s="316"/>
      <c r="BV46" s="316"/>
      <c r="BW46" s="316"/>
      <c r="BX46" s="316"/>
      <c r="BY46" s="316"/>
      <c r="BZ46" s="316"/>
      <c r="CA46" s="316"/>
      <c r="CB46" s="316"/>
      <c r="CC46" s="316"/>
      <c r="CD46" s="316"/>
      <c r="CE46" s="316"/>
      <c r="CF46" s="316"/>
      <c r="CG46" s="316"/>
      <c r="CH46" s="316"/>
      <c r="CI46" s="316"/>
      <c r="CJ46" s="316"/>
      <c r="CK46" s="316"/>
      <c r="CL46" s="316"/>
      <c r="CM46" s="316"/>
      <c r="CN46" s="316"/>
      <c r="CO46" s="316"/>
      <c r="CP46" s="316"/>
      <c r="CQ46" s="316"/>
      <c r="CR46" s="316"/>
      <c r="CS46" s="316"/>
      <c r="CT46" s="316"/>
      <c r="CU46" s="316"/>
      <c r="CV46" s="316"/>
      <c r="CW46" s="316"/>
      <c r="CX46" s="316"/>
      <c r="CY46" s="316"/>
      <c r="CZ46" s="316"/>
      <c r="DA46" s="316"/>
      <c r="DB46" s="316"/>
      <c r="DC46" s="316"/>
      <c r="DD46" s="316"/>
      <c r="DE46" s="316"/>
      <c r="DF46" s="316"/>
      <c r="DG46" s="316"/>
      <c r="DH46" s="316"/>
      <c r="DI46" s="316"/>
      <c r="DJ46" s="316"/>
      <c r="DK46" s="316"/>
      <c r="DL46" s="316"/>
      <c r="DM46" s="316"/>
      <c r="DN46" s="316"/>
      <c r="DO46" s="316"/>
      <c r="DP46" s="316"/>
      <c r="DQ46" s="316"/>
      <c r="DR46" s="316"/>
      <c r="DS46" s="316"/>
      <c r="DT46" s="316"/>
      <c r="DU46" s="316"/>
      <c r="DV46" s="316"/>
      <c r="DW46" s="316"/>
      <c r="DX46" s="316"/>
      <c r="DY46" s="316"/>
      <c r="DZ46" s="316"/>
      <c r="EA46" s="316"/>
      <c r="EB46" s="316"/>
      <c r="EC46" s="316"/>
      <c r="ED46" s="316"/>
      <c r="EE46" s="316"/>
      <c r="EF46" s="316"/>
      <c r="EG46" s="316"/>
      <c r="EH46" s="316"/>
      <c r="EI46" s="316"/>
      <c r="EJ46" s="316"/>
      <c r="EK46" s="316"/>
      <c r="EL46" s="316"/>
      <c r="EM46" s="316"/>
      <c r="EN46" s="316"/>
      <c r="EO46" s="316"/>
      <c r="EP46" s="316"/>
      <c r="EQ46" s="316"/>
      <c r="ER46" s="316"/>
      <c r="ES46" s="316"/>
      <c r="ET46" s="316"/>
      <c r="EU46" s="316"/>
      <c r="EV46" s="316"/>
      <c r="EW46" s="316"/>
      <c r="EX46" s="316"/>
      <c r="EY46" s="316"/>
      <c r="EZ46" s="316"/>
      <c r="FA46" s="316"/>
      <c r="FB46" s="316"/>
      <c r="FC46" s="316"/>
      <c r="FD46" s="316"/>
      <c r="FE46" s="316"/>
      <c r="FF46" s="316"/>
      <c r="FG46" s="316"/>
      <c r="FH46" s="316"/>
      <c r="FI46" s="316"/>
      <c r="FJ46" s="316"/>
      <c r="FK46" s="316"/>
      <c r="FL46" s="316"/>
      <c r="FM46" s="316"/>
      <c r="FN46" s="316"/>
      <c r="FO46" s="316"/>
      <c r="FP46" s="316"/>
      <c r="FQ46" s="316"/>
      <c r="FR46" s="316"/>
      <c r="FS46" s="316"/>
      <c r="FT46" s="316"/>
      <c r="FU46" s="316"/>
      <c r="FV46" s="316"/>
      <c r="FW46" s="316"/>
      <c r="FX46" s="316"/>
      <c r="FY46" s="316"/>
      <c r="FZ46" s="316"/>
      <c r="GA46" s="316"/>
      <c r="GB46" s="316"/>
      <c r="GC46" s="316"/>
      <c r="GD46" s="316"/>
      <c r="GE46" s="316"/>
      <c r="GF46" s="316"/>
      <c r="GG46" s="316"/>
      <c r="GH46" s="316"/>
      <c r="GI46" s="316"/>
      <c r="GJ46" s="316"/>
      <c r="GK46" s="316"/>
      <c r="GL46" s="316"/>
      <c r="GM46" s="316"/>
      <c r="GN46" s="316"/>
      <c r="GO46" s="316"/>
      <c r="GP46" s="316"/>
      <c r="GQ46" s="316"/>
      <c r="GR46" s="316"/>
      <c r="GS46" s="316"/>
      <c r="GT46" s="316"/>
      <c r="GU46" s="316"/>
      <c r="GV46" s="316"/>
      <c r="GW46" s="316"/>
      <c r="GX46" s="316"/>
      <c r="GY46" s="316"/>
      <c r="GZ46" s="316"/>
      <c r="HA46" s="316"/>
      <c r="HB46" s="316"/>
      <c r="HC46" s="316"/>
      <c r="HD46" s="316"/>
      <c r="HE46" s="316"/>
      <c r="HF46" s="316"/>
      <c r="HG46" s="316"/>
      <c r="HH46" s="316"/>
      <c r="HI46" s="316"/>
      <c r="HJ46" s="316"/>
      <c r="HK46" s="316"/>
      <c r="HL46" s="316"/>
      <c r="HM46" s="316"/>
      <c r="HN46" s="316"/>
      <c r="HO46" s="316"/>
      <c r="HP46" s="316"/>
      <c r="HQ46" s="316"/>
      <c r="HR46" s="316"/>
      <c r="HS46" s="316"/>
      <c r="HT46" s="316"/>
      <c r="HU46" s="316"/>
      <c r="HV46" s="316"/>
      <c r="HW46" s="316"/>
      <c r="HX46" s="316"/>
      <c r="HY46" s="316"/>
      <c r="HZ46" s="316"/>
      <c r="IA46" s="316"/>
      <c r="IB46" s="316"/>
      <c r="IC46" s="316"/>
      <c r="ID46" s="316"/>
      <c r="IE46" s="316"/>
      <c r="IF46" s="316"/>
      <c r="IG46" s="316"/>
      <c r="IH46" s="316"/>
      <c r="II46" s="316"/>
      <c r="IJ46" s="316"/>
      <c r="IK46" s="316"/>
      <c r="IL46" s="316"/>
      <c r="IM46" s="316"/>
      <c r="IN46" s="316"/>
      <c r="IO46" s="316"/>
      <c r="IP46" s="316"/>
      <c r="IQ46" s="316"/>
      <c r="IR46" s="316"/>
      <c r="IS46" s="316"/>
      <c r="IT46" s="316"/>
      <c r="IU46" s="316"/>
      <c r="IV46" s="316"/>
      <c r="IW46" s="316"/>
    </row>
    <row r="47" customFormat="false" ht="12.75" hidden="false" customHeight="false" outlineLevel="0" collapsed="false">
      <c r="A47" s="254"/>
      <c r="B47" s="172"/>
      <c r="C47" s="172"/>
      <c r="D47" s="172"/>
      <c r="E47" s="172"/>
      <c r="F47" s="172"/>
      <c r="G47" s="172"/>
      <c r="H47" s="172"/>
      <c r="I47" s="172"/>
      <c r="J47" s="172"/>
      <c r="K47" s="172"/>
      <c r="L47" s="172"/>
      <c r="M47" s="172"/>
      <c r="N47" s="172"/>
      <c r="O47" s="172"/>
      <c r="P47" s="172"/>
      <c r="Q47" s="172"/>
      <c r="R47" s="172"/>
      <c r="S47" s="172"/>
      <c r="T47" s="172"/>
      <c r="U47" s="172"/>
      <c r="W47" s="266"/>
    </row>
    <row r="48" customFormat="false" ht="12.75" hidden="false" customHeight="false" outlineLevel="0" collapsed="false">
      <c r="A48" s="258" t="s">
        <v>115</v>
      </c>
      <c r="B48" s="259" t="n">
        <f aca="false">B25</f>
        <v>39903.1577286019</v>
      </c>
      <c r="C48" s="259" t="n">
        <f aca="false">C25</f>
        <v>41942.9080820382</v>
      </c>
      <c r="D48" s="259" t="n">
        <f aca="false">D25</f>
        <v>43975.7736078166</v>
      </c>
      <c r="E48" s="259" t="n">
        <f aca="false">E25</f>
        <v>46105.5463628686</v>
      </c>
      <c r="F48" s="259" t="n">
        <f aca="false">F25</f>
        <v>48336.8169704711</v>
      </c>
      <c r="G48" s="259" t="n">
        <f aca="false">G25</f>
        <v>49289.2624079271</v>
      </c>
      <c r="H48" s="259" t="n">
        <f aca="false">H25</f>
        <v>50272.9352372186</v>
      </c>
      <c r="I48" s="259" t="n">
        <f aca="false">I25</f>
        <v>51275.6334596702</v>
      </c>
      <c r="J48" s="259" t="n">
        <f aca="false">J25</f>
        <v>52297.7164906229</v>
      </c>
      <c r="K48" s="259" t="n">
        <f aca="false">K25</f>
        <v>53339.5502676765</v>
      </c>
      <c r="L48" s="259" t="n">
        <f aca="false">L25</f>
        <v>54373.2334726263</v>
      </c>
      <c r="M48" s="259" t="n">
        <f aca="false">M25</f>
        <v>55426.2934150184</v>
      </c>
      <c r="N48" s="259" t="n">
        <f aca="false">N25</f>
        <v>56499.0826370289</v>
      </c>
      <c r="O48" s="259" t="n">
        <f aca="false">O25</f>
        <v>57591.9597588872</v>
      </c>
      <c r="P48" s="259" t="n">
        <f aca="false">P25</f>
        <v>58705.2895727674</v>
      </c>
      <c r="Q48" s="259" t="n">
        <f aca="false">Q25</f>
        <v>59569.4558086848</v>
      </c>
      <c r="R48" s="259" t="n">
        <f aca="false">R25</f>
        <v>60445.3608083787</v>
      </c>
      <c r="S48" s="259" t="n">
        <f aca="false">S25</f>
        <v>61333.1384918378</v>
      </c>
      <c r="T48" s="259" t="n">
        <f aca="false">T25</f>
        <v>62232.9234391697</v>
      </c>
      <c r="U48" s="259" t="n">
        <f aca="false">U25</f>
        <v>63144.8508587522</v>
      </c>
      <c r="W48" s="170" t="n">
        <f aca="false">SUM(B48:U48)</f>
        <v>1066060.88887806</v>
      </c>
    </row>
    <row r="49" customFormat="false" ht="12.75" hidden="false" customHeight="false" outlineLevel="0" collapsed="false">
      <c r="A49" s="258" t="s">
        <v>149</v>
      </c>
      <c r="B49" s="259" t="n">
        <f aca="false">B20</f>
        <v>572</v>
      </c>
      <c r="C49" s="259" t="n">
        <f aca="false">C20</f>
        <v>583.4</v>
      </c>
      <c r="D49" s="259" t="n">
        <f aca="false">D20</f>
        <v>595.1</v>
      </c>
      <c r="E49" s="259" t="n">
        <f aca="false">E20</f>
        <v>607</v>
      </c>
      <c r="F49" s="259" t="n">
        <f aca="false">F20</f>
        <v>619.1</v>
      </c>
      <c r="G49" s="259" t="n">
        <f aca="false">G20</f>
        <v>631.5</v>
      </c>
      <c r="H49" s="259" t="n">
        <f aca="false">H20</f>
        <v>631.5</v>
      </c>
      <c r="I49" s="259" t="n">
        <f aca="false">I20</f>
        <v>631.5</v>
      </c>
      <c r="J49" s="259" t="n">
        <f aca="false">J20</f>
        <v>631.5</v>
      </c>
      <c r="K49" s="259" t="n">
        <f aca="false">K20</f>
        <v>631.5</v>
      </c>
      <c r="L49" s="259" t="n">
        <f aca="false">L20</f>
        <v>631.5</v>
      </c>
      <c r="M49" s="259" t="n">
        <f aca="false">M20</f>
        <v>631.5</v>
      </c>
      <c r="N49" s="259" t="n">
        <f aca="false">N20</f>
        <v>631.5</v>
      </c>
      <c r="O49" s="259" t="n">
        <f aca="false">O20</f>
        <v>631.5</v>
      </c>
      <c r="P49" s="259" t="n">
        <f aca="false">P20</f>
        <v>631.5</v>
      </c>
      <c r="Q49" s="259" t="n">
        <f aca="false">Q20</f>
        <v>631.5</v>
      </c>
      <c r="R49" s="259" t="n">
        <f aca="false">R20</f>
        <v>631.5</v>
      </c>
      <c r="S49" s="259" t="n">
        <f aca="false">S20</f>
        <v>631.5</v>
      </c>
      <c r="T49" s="259" t="n">
        <f aca="false">T20</f>
        <v>631.5</v>
      </c>
      <c r="U49" s="259" t="n">
        <f aca="false">U20</f>
        <v>631.5</v>
      </c>
      <c r="W49" s="170" t="n">
        <f aca="false">SUM(B49:U49)</f>
        <v>12449.1</v>
      </c>
    </row>
    <row r="50" customFormat="false" ht="12.75" hidden="false" customHeight="false" outlineLevel="0" collapsed="false">
      <c r="A50" s="258" t="s">
        <v>150</v>
      </c>
      <c r="B50" s="327" t="n">
        <v>-333.7</v>
      </c>
      <c r="C50" s="259" t="n">
        <f aca="false">-B49</f>
        <v>-572</v>
      </c>
      <c r="D50" s="259" t="n">
        <f aca="false">-C49</f>
        <v>-583.4</v>
      </c>
      <c r="E50" s="259" t="n">
        <f aca="false">-D49</f>
        <v>-595.1</v>
      </c>
      <c r="F50" s="259" t="n">
        <f aca="false">-E49</f>
        <v>-607</v>
      </c>
      <c r="G50" s="259" t="n">
        <f aca="false">-F49</f>
        <v>-619.1</v>
      </c>
      <c r="H50" s="259" t="n">
        <f aca="false">-G49</f>
        <v>-631.5</v>
      </c>
      <c r="I50" s="259" t="n">
        <f aca="false">-H49</f>
        <v>-631.5</v>
      </c>
      <c r="J50" s="259" t="n">
        <f aca="false">-I49</f>
        <v>-631.5</v>
      </c>
      <c r="K50" s="259" t="n">
        <f aca="false">-J49</f>
        <v>-631.5</v>
      </c>
      <c r="L50" s="259" t="n">
        <f aca="false">-K49</f>
        <v>-631.5</v>
      </c>
      <c r="M50" s="259" t="n">
        <f aca="false">-L49</f>
        <v>-631.5</v>
      </c>
      <c r="N50" s="259" t="n">
        <f aca="false">-M49</f>
        <v>-631.5</v>
      </c>
      <c r="O50" s="259" t="n">
        <f aca="false">-N49</f>
        <v>-631.5</v>
      </c>
      <c r="P50" s="259" t="n">
        <f aca="false">-O49</f>
        <v>-631.5</v>
      </c>
      <c r="Q50" s="259" t="n">
        <f aca="false">-P49</f>
        <v>-631.5</v>
      </c>
      <c r="R50" s="259" t="n">
        <f aca="false">-Q49</f>
        <v>-631.5</v>
      </c>
      <c r="S50" s="259" t="n">
        <f aca="false">-R49</f>
        <v>-631.5</v>
      </c>
      <c r="T50" s="259" t="n">
        <f aca="false">-S49</f>
        <v>-631.5</v>
      </c>
      <c r="U50" s="259" t="n">
        <f aca="false">-T49</f>
        <v>-631.5</v>
      </c>
      <c r="W50" s="170" t="n">
        <f aca="false">SUM(B50:U50)</f>
        <v>-12151.3</v>
      </c>
    </row>
    <row r="51" customFormat="false" ht="12.75" hidden="false" customHeight="false" outlineLevel="0" collapsed="false">
      <c r="A51" s="258" t="s">
        <v>198</v>
      </c>
      <c r="B51" s="328" t="n">
        <f aca="false">-Debt!B77*Allocation!$E$8</f>
        <v>-15297.9100687005</v>
      </c>
      <c r="C51" s="328" t="n">
        <f aca="false">-Debt!C77*Allocation!$E$8</f>
        <v>-15339.9372941639</v>
      </c>
      <c r="D51" s="328" t="n">
        <f aca="false">-Debt!D77*Allocation!$E$8</f>
        <v>-15339.9372941639</v>
      </c>
      <c r="E51" s="328" t="n">
        <f aca="false">-Debt!E77*Allocation!$E$8</f>
        <v>-17161.8475895237</v>
      </c>
      <c r="F51" s="328" t="n">
        <f aca="false">-Debt!F77*Allocation!$E$8</f>
        <v>-17588.6654113852</v>
      </c>
      <c r="G51" s="328" t="n">
        <f aca="false">-Debt!G77*Allocation!$E$8</f>
        <v>-17646.7170040515</v>
      </c>
      <c r="H51" s="328" t="n">
        <f aca="false">-Debt!H77*Allocation!$E$8</f>
        <v>-17583.1310726778</v>
      </c>
      <c r="I51" s="328" t="n">
        <f aca="false">-Debt!I77*Allocation!$E$8</f>
        <v>-17697.5687461457</v>
      </c>
      <c r="J51" s="328" t="n">
        <f aca="false">-Debt!J77*Allocation!$E$8</f>
        <v>-17603.0714377331</v>
      </c>
      <c r="K51" s="328" t="n">
        <f aca="false">-Debt!K77*Allocation!$E$8</f>
        <v>-18727.1952994184</v>
      </c>
      <c r="L51" s="328" t="n">
        <f aca="false">-Debt!L77*Allocation!$E$8</f>
        <v>-24041.5352791023</v>
      </c>
      <c r="M51" s="328" t="n">
        <f aca="false">-Debt!M77*Allocation!$E$8</f>
        <v>-22775.7350266768</v>
      </c>
      <c r="N51" s="328" t="n">
        <f aca="false">-Debt!N77*Allocation!$E$8</f>
        <v>-21447.0268296552</v>
      </c>
      <c r="O51" s="328" t="n">
        <f aca="false">-Debt!O77*Allocation!$E$8</f>
        <v>-20149.7726049317</v>
      </c>
      <c r="P51" s="328" t="n">
        <f aca="false">-Debt!P77*Allocation!$E$8</f>
        <v>-19415.6974384869</v>
      </c>
      <c r="Q51" s="328" t="n">
        <f aca="false">-Debt!Q77*Allocation!$E$8</f>
        <v>-18633.8193423913</v>
      </c>
      <c r="R51" s="328" t="n">
        <f aca="false">-Debt!R77*Allocation!$E$8</f>
        <v>-17189.77991361</v>
      </c>
      <c r="S51" s="328" t="n">
        <f aca="false">-Debt!S77*Allocation!$E$8</f>
        <v>-13510.0840332991</v>
      </c>
      <c r="T51" s="328" t="n">
        <f aca="false">-Debt!T77*Allocation!$E$8</f>
        <v>-12342.5552310479</v>
      </c>
      <c r="U51" s="328" t="n">
        <f aca="false">-Debt!U77*Allocation!$E$8</f>
        <v>-10018.8136944647</v>
      </c>
      <c r="W51" s="170" t="n">
        <f aca="false">SUM(B51:U51)</f>
        <v>-349510.80061163</v>
      </c>
    </row>
    <row r="52" customFormat="false" ht="12.75" hidden="false" customHeight="false" outlineLevel="0" collapsed="false">
      <c r="A52" s="258"/>
      <c r="B52" s="329"/>
      <c r="C52" s="329"/>
      <c r="D52" s="329"/>
      <c r="E52" s="329"/>
      <c r="F52" s="329"/>
      <c r="G52" s="329"/>
      <c r="H52" s="329"/>
      <c r="I52" s="329"/>
      <c r="J52" s="329"/>
      <c r="K52" s="329"/>
      <c r="L52" s="329"/>
      <c r="M52" s="329"/>
      <c r="N52" s="329"/>
      <c r="O52" s="329"/>
      <c r="P52" s="329"/>
      <c r="Q52" s="329"/>
      <c r="R52" s="329"/>
      <c r="S52" s="329"/>
      <c r="T52" s="329"/>
      <c r="U52" s="329"/>
      <c r="W52" s="251"/>
    </row>
    <row r="53" customFormat="false" ht="12.75" hidden="false" customHeight="false" outlineLevel="0" collapsed="false">
      <c r="A53" s="254" t="s">
        <v>199</v>
      </c>
      <c r="B53" s="330" t="n">
        <f aca="false">SUM(B48:B51)</f>
        <v>24843.5476599015</v>
      </c>
      <c r="C53" s="330" t="n">
        <f aca="false">SUM(C48:C51)</f>
        <v>26614.3707878742</v>
      </c>
      <c r="D53" s="330" t="n">
        <f aca="false">SUM(D48:D51)</f>
        <v>28647.5363136527</v>
      </c>
      <c r="E53" s="330" t="n">
        <f aca="false">SUM(E48:E51)</f>
        <v>28955.5987733449</v>
      </c>
      <c r="F53" s="330" t="n">
        <f aca="false">SUM(F48:F51)</f>
        <v>30760.2515590858</v>
      </c>
      <c r="G53" s="330" t="n">
        <f aca="false">SUM(G48:G51)</f>
        <v>31654.9454038756</v>
      </c>
      <c r="H53" s="330" t="n">
        <f aca="false">SUM(H48:H51)</f>
        <v>32689.8041645409</v>
      </c>
      <c r="I53" s="330" t="n">
        <f aca="false">SUM(I48:I51)</f>
        <v>33578.0647135245</v>
      </c>
      <c r="J53" s="330" t="n">
        <f aca="false">SUM(J48:J51)</f>
        <v>34694.6450528899</v>
      </c>
      <c r="K53" s="330" t="n">
        <f aca="false">SUM(K48:K51)</f>
        <v>34612.3549682581</v>
      </c>
      <c r="L53" s="330" t="n">
        <f aca="false">SUM(L48:L51)</f>
        <v>30331.6981935241</v>
      </c>
      <c r="M53" s="330" t="n">
        <f aca="false">SUM(M48:M51)</f>
        <v>32650.5583883416</v>
      </c>
      <c r="N53" s="330" t="n">
        <f aca="false">SUM(N48:N51)</f>
        <v>35052.0558073737</v>
      </c>
      <c r="O53" s="330" t="n">
        <f aca="false">SUM(O48:O51)</f>
        <v>37442.1871539556</v>
      </c>
      <c r="P53" s="330" t="n">
        <f aca="false">SUM(P48:P51)</f>
        <v>39289.5921342805</v>
      </c>
      <c r="Q53" s="330" t="n">
        <f aca="false">SUM(Q48:Q51)</f>
        <v>40935.6364662935</v>
      </c>
      <c r="R53" s="330" t="n">
        <f aca="false">SUM(R48:R51)</f>
        <v>43255.5808947686</v>
      </c>
      <c r="S53" s="330" t="n">
        <f aca="false">SUM(S48:S51)</f>
        <v>47823.0544585387</v>
      </c>
      <c r="T53" s="330" t="n">
        <f aca="false">SUM(T48:T51)</f>
        <v>49890.3682081218</v>
      </c>
      <c r="U53" s="330" t="n">
        <f aca="false">SUM(U48:U51)</f>
        <v>53126.0371642875</v>
      </c>
      <c r="V53" s="293"/>
      <c r="W53" s="170" t="n">
        <f aca="false">SUM(B53:U53)</f>
        <v>716847.888266434</v>
      </c>
    </row>
    <row r="54" customFormat="false" ht="12.75" hidden="false" customHeight="false" outlineLevel="0" collapsed="false">
      <c r="A54" s="254"/>
      <c r="B54" s="259"/>
      <c r="C54" s="259"/>
      <c r="D54" s="259"/>
      <c r="E54" s="259"/>
      <c r="F54" s="259"/>
      <c r="G54" s="259"/>
      <c r="H54" s="259"/>
      <c r="I54" s="259"/>
      <c r="J54" s="259"/>
      <c r="K54" s="259"/>
      <c r="L54" s="259"/>
      <c r="M54" s="259"/>
      <c r="N54" s="259"/>
      <c r="O54" s="259"/>
      <c r="P54" s="259"/>
      <c r="Q54" s="259"/>
      <c r="R54" s="259"/>
      <c r="S54" s="259"/>
      <c r="T54" s="259"/>
      <c r="U54" s="259"/>
      <c r="W54" s="251"/>
    </row>
    <row r="55" customFormat="false" ht="15" hidden="false" customHeight="false" outlineLevel="0" collapsed="false">
      <c r="A55" s="258" t="s">
        <v>200</v>
      </c>
      <c r="B55" s="329" t="n">
        <f aca="false">-B91</f>
        <v>-514.601048719753</v>
      </c>
      <c r="C55" s="329" t="n">
        <f aca="false">-C91</f>
        <v>-0</v>
      </c>
      <c r="D55" s="329" t="n">
        <f aca="false">-D91</f>
        <v>-0</v>
      </c>
      <c r="E55" s="329" t="n">
        <f aca="false">-E91</f>
        <v>-0</v>
      </c>
      <c r="F55" s="329" t="n">
        <f aca="false">-F91</f>
        <v>-380.941916982846</v>
      </c>
      <c r="G55" s="329" t="n">
        <f aca="false">-G91</f>
        <v>-917.534104048023</v>
      </c>
      <c r="H55" s="329" t="n">
        <f aca="false">-H91</f>
        <v>-1093.91882200277</v>
      </c>
      <c r="I55" s="329" t="n">
        <f aca="false">-I91</f>
        <v>-1186.11825219285</v>
      </c>
      <c r="J55" s="329" t="n">
        <f aca="false">-J91</f>
        <v>-1293.53397941747</v>
      </c>
      <c r="K55" s="329" t="n">
        <f aca="false">-K91</f>
        <v>-1399.12752245755</v>
      </c>
      <c r="L55" s="329" t="n">
        <f aca="false">-L91</f>
        <v>-1532.59239549361</v>
      </c>
      <c r="M55" s="329" t="n">
        <f aca="false">-M91</f>
        <v>-1696.58244601498</v>
      </c>
      <c r="N55" s="329" t="n">
        <f aca="false">-N91</f>
        <v>-1871.51407216801</v>
      </c>
      <c r="O55" s="329" t="n">
        <f aca="false">-O91</f>
        <v>-2040.62139138606</v>
      </c>
      <c r="P55" s="329" t="n">
        <f aca="false">-P91</f>
        <v>-2217.37929196225</v>
      </c>
      <c r="Q55" s="329" t="n">
        <f aca="false">-Q91</f>
        <v>-3115.88826914722</v>
      </c>
      <c r="R55" s="329" t="n">
        <f aca="false">-R91</f>
        <v>-4021.17316173583</v>
      </c>
      <c r="S55" s="329" t="n">
        <f aca="false">-S91</f>
        <v>-4182.67731752517</v>
      </c>
      <c r="T55" s="329" t="n">
        <f aca="false">-T91</f>
        <v>-4331.11044474523</v>
      </c>
      <c r="U55" s="329" t="n">
        <f aca="false">-U91</f>
        <v>-4480.21125275326</v>
      </c>
      <c r="W55" s="170" t="n">
        <f aca="false">SUM(B55:U55)</f>
        <v>-36275.5256887529</v>
      </c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</row>
    <row r="56" customFormat="false" ht="12.75" hidden="false" customHeight="false" outlineLevel="0" collapsed="false">
      <c r="A56" s="258" t="s">
        <v>201</v>
      </c>
      <c r="B56" s="331" t="n">
        <f aca="false">-Allocation!$E$8*Tax!B24</f>
        <v>-2957.22165085164</v>
      </c>
      <c r="C56" s="331" t="n">
        <f aca="false">-Allocation!$E$8*Tax!C24</f>
        <v>-0</v>
      </c>
      <c r="D56" s="331" t="n">
        <f aca="false">-Allocation!$E$8*Tax!D24</f>
        <v>-0</v>
      </c>
      <c r="E56" s="331" t="n">
        <f aca="false">-Allocation!$E$8*Tax!E24</f>
        <v>-1753.52910030074</v>
      </c>
      <c r="F56" s="331" t="n">
        <f aca="false">-Allocation!$E$8*Tax!F24</f>
        <v>-3921.93945269549</v>
      </c>
      <c r="G56" s="331" t="n">
        <f aca="false">-Allocation!$E$8*Tax!G24</f>
        <v>-4952.83377092158</v>
      </c>
      <c r="H56" s="331" t="n">
        <f aca="false">-Allocation!$E$8*Tax!H24</f>
        <v>-5662.10339772062</v>
      </c>
      <c r="I56" s="331" t="n">
        <f aca="false">-Allocation!$E$8*Tax!I24</f>
        <v>-6031.17319072059</v>
      </c>
      <c r="J56" s="331" t="n">
        <f aca="false">-Allocation!$E$8*Tax!J24</f>
        <v>-6478.65664917344</v>
      </c>
      <c r="K56" s="331" t="n">
        <f aca="false">-Allocation!$E$8*Tax!K24</f>
        <v>-6928.59741561475</v>
      </c>
      <c r="L56" s="331" t="n">
        <f aca="false">-Allocation!$E$8*Tax!L24</f>
        <v>-7471.19478564926</v>
      </c>
      <c r="M56" s="331" t="n">
        <f aca="false">-Allocation!$E$8*Tax!M24</f>
        <v>-8172.53493014292</v>
      </c>
      <c r="N56" s="331" t="n">
        <f aca="false">-Allocation!$E$8*Tax!N24</f>
        <v>-8874.3916178223</v>
      </c>
      <c r="O56" s="331" t="n">
        <f aca="false">-Allocation!$E$8*Tax!O24</f>
        <v>-9595.87838972405</v>
      </c>
      <c r="P56" s="331" t="n">
        <f aca="false">-Allocation!$E$8*Tax!P24</f>
        <v>-10291.5165727492</v>
      </c>
      <c r="Q56" s="331" t="n">
        <f aca="false">-Allocation!$E$8*Tax!Q24</f>
        <v>-14123.5002477679</v>
      </c>
      <c r="R56" s="331" t="n">
        <f aca="false">-Allocation!$E$8*Tax!R24</f>
        <v>-17910.2475807582</v>
      </c>
      <c r="S56" s="331" t="n">
        <f aca="false">-Allocation!$E$8*Tax!S24</f>
        <v>-18628.4388276197</v>
      </c>
      <c r="T56" s="331" t="n">
        <f aca="false">-Allocation!$E$8*Tax!T24</f>
        <v>-19286.9710047063</v>
      </c>
      <c r="U56" s="331" t="n">
        <f aca="false">-Allocation!$E$8*Tax!U24</f>
        <v>-19948.0946757729</v>
      </c>
      <c r="W56" s="170" t="n">
        <f aca="false">SUM(B56:U56)</f>
        <v>-172988.823260712</v>
      </c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</row>
    <row r="57" customFormat="false" ht="12.75" hidden="false" customHeight="false" outlineLevel="0" collapsed="false">
      <c r="A57" s="258"/>
      <c r="B57" s="322"/>
      <c r="C57" s="322"/>
      <c r="D57" s="322"/>
      <c r="E57" s="322"/>
      <c r="F57" s="322"/>
      <c r="G57" s="322"/>
      <c r="H57" s="322"/>
      <c r="I57" s="322"/>
      <c r="J57" s="322"/>
      <c r="K57" s="322"/>
      <c r="L57" s="322"/>
      <c r="M57" s="322"/>
      <c r="N57" s="322"/>
      <c r="O57" s="322"/>
      <c r="P57" s="322"/>
      <c r="Q57" s="322"/>
      <c r="R57" s="322"/>
      <c r="S57" s="322"/>
      <c r="T57" s="322"/>
      <c r="U57" s="322"/>
      <c r="W57" s="251"/>
    </row>
    <row r="58" customFormat="false" ht="15.75" hidden="false" customHeight="false" outlineLevel="0" collapsed="false">
      <c r="A58" s="332" t="s">
        <v>202</v>
      </c>
      <c r="B58" s="333" t="n">
        <f aca="false">B53+B56+B55</f>
        <v>21371.7249603301</v>
      </c>
      <c r="C58" s="333" t="n">
        <f aca="false">C53+C56+C55</f>
        <v>26614.3707878742</v>
      </c>
      <c r="D58" s="333" t="n">
        <f aca="false">D53+D56+D55</f>
        <v>28647.5363136527</v>
      </c>
      <c r="E58" s="333" t="n">
        <f aca="false">E53+E56+E55</f>
        <v>27202.0696730441</v>
      </c>
      <c r="F58" s="333" t="n">
        <f aca="false">F53+F56+F55</f>
        <v>26457.3701894075</v>
      </c>
      <c r="G58" s="333" t="n">
        <f aca="false">G53+G56+G55</f>
        <v>25784.577528906</v>
      </c>
      <c r="H58" s="333" t="n">
        <f aca="false">H53+H56+H55</f>
        <v>25933.7819448175</v>
      </c>
      <c r="I58" s="333" t="n">
        <f aca="false">I53+I56+I55</f>
        <v>26360.7732706111</v>
      </c>
      <c r="J58" s="333" t="n">
        <f aca="false">J53+J56+J55</f>
        <v>26922.4544242989</v>
      </c>
      <c r="K58" s="333" t="n">
        <f aca="false">K53+K56+K55</f>
        <v>26284.6300301858</v>
      </c>
      <c r="L58" s="333" t="n">
        <f aca="false">L53+L56+L55</f>
        <v>21327.9110123812</v>
      </c>
      <c r="M58" s="333" t="n">
        <f aca="false">M53+M56+M55</f>
        <v>22781.4410121837</v>
      </c>
      <c r="N58" s="333" t="n">
        <f aca="false">N53+N56+N55</f>
        <v>24306.1501173834</v>
      </c>
      <c r="O58" s="333" t="n">
        <f aca="false">O53+O56+O55</f>
        <v>25805.6873728454</v>
      </c>
      <c r="P58" s="333" t="n">
        <f aca="false">P53+P56+P55</f>
        <v>26780.696269569</v>
      </c>
      <c r="Q58" s="333" t="n">
        <f aca="false">Q53+Q56+Q55</f>
        <v>23696.2479493783</v>
      </c>
      <c r="R58" s="333" t="n">
        <f aca="false">R53+R56+R55</f>
        <v>21324.1601522746</v>
      </c>
      <c r="S58" s="333" t="n">
        <f aca="false">S53+S56+S55</f>
        <v>25011.9383133938</v>
      </c>
      <c r="T58" s="333" t="n">
        <f aca="false">T53+T56+T55</f>
        <v>26272.2867586703</v>
      </c>
      <c r="U58" s="333" t="n">
        <f aca="false">U53+U56+U55</f>
        <v>28697.7312357614</v>
      </c>
      <c r="V58" s="324"/>
      <c r="W58" s="170" t="n">
        <f aca="false">SUM(B58:U58)</f>
        <v>507583.539316969</v>
      </c>
    </row>
    <row r="59" customFormat="false" ht="12.75" hidden="false" customHeight="false" outlineLevel="0" collapsed="false">
      <c r="A59" s="334"/>
      <c r="B59" s="172"/>
      <c r="C59" s="172"/>
      <c r="D59" s="172"/>
      <c r="E59" s="172"/>
      <c r="F59" s="172"/>
      <c r="G59" s="172"/>
      <c r="H59" s="172"/>
      <c r="I59" s="172"/>
      <c r="J59" s="172"/>
      <c r="K59" s="172"/>
      <c r="L59" s="172"/>
      <c r="M59" s="172"/>
      <c r="N59" s="172"/>
      <c r="O59" s="172"/>
      <c r="P59" s="172"/>
      <c r="Q59" s="172"/>
      <c r="R59" s="172"/>
      <c r="S59" s="172"/>
      <c r="T59" s="172"/>
      <c r="U59" s="172"/>
      <c r="X59" s="293"/>
      <c r="Y59" s="293"/>
      <c r="Z59" s="293"/>
      <c r="AA59" s="293"/>
      <c r="AB59" s="293"/>
      <c r="AC59" s="293"/>
      <c r="AD59" s="293"/>
      <c r="AE59" s="293"/>
      <c r="AF59" s="293"/>
      <c r="AG59" s="293"/>
      <c r="AH59" s="293"/>
      <c r="AI59" s="293"/>
      <c r="AJ59" s="293"/>
      <c r="AK59" s="293"/>
      <c r="AL59" s="293"/>
      <c r="AM59" s="293"/>
      <c r="AN59" s="293"/>
      <c r="AO59" s="293"/>
      <c r="AP59" s="293"/>
      <c r="AQ59" s="293"/>
      <c r="AR59" s="293"/>
      <c r="AS59" s="293"/>
      <c r="AT59" s="293"/>
      <c r="AU59" s="293"/>
      <c r="AV59" s="293"/>
      <c r="AW59" s="293"/>
      <c r="AX59" s="293"/>
      <c r="AY59" s="293"/>
      <c r="AZ59" s="293"/>
      <c r="BA59" s="293"/>
      <c r="BB59" s="293"/>
      <c r="BC59" s="293"/>
      <c r="BD59" s="293"/>
      <c r="BE59" s="293"/>
      <c r="BF59" s="293"/>
      <c r="BG59" s="293"/>
      <c r="BH59" s="293"/>
      <c r="BI59" s="293"/>
      <c r="BJ59" s="293"/>
      <c r="BK59" s="293"/>
      <c r="BL59" s="293"/>
      <c r="BM59" s="293"/>
      <c r="BN59" s="293"/>
      <c r="BO59" s="293"/>
      <c r="BP59" s="293"/>
      <c r="BQ59" s="293"/>
      <c r="BR59" s="293"/>
      <c r="BS59" s="293"/>
      <c r="BT59" s="293"/>
      <c r="BU59" s="293"/>
      <c r="BV59" s="293"/>
      <c r="BW59" s="293"/>
      <c r="BX59" s="293"/>
      <c r="BY59" s="293"/>
      <c r="BZ59" s="293"/>
      <c r="CA59" s="293"/>
      <c r="CB59" s="293"/>
      <c r="CC59" s="293"/>
      <c r="CD59" s="293"/>
      <c r="CE59" s="293"/>
      <c r="CF59" s="293"/>
      <c r="CG59" s="293"/>
      <c r="CH59" s="293"/>
      <c r="CI59" s="293"/>
      <c r="CJ59" s="293"/>
      <c r="CK59" s="293"/>
      <c r="CL59" s="293"/>
      <c r="CM59" s="293"/>
      <c r="CN59" s="293"/>
      <c r="CO59" s="293"/>
      <c r="CP59" s="293"/>
      <c r="CQ59" s="293"/>
      <c r="CR59" s="293"/>
      <c r="CS59" s="293"/>
      <c r="CT59" s="293"/>
      <c r="CU59" s="293"/>
      <c r="CV59" s="293"/>
      <c r="CW59" s="293"/>
      <c r="CX59" s="293"/>
      <c r="CY59" s="293"/>
      <c r="CZ59" s="293"/>
      <c r="DA59" s="293"/>
      <c r="DB59" s="293"/>
      <c r="DC59" s="293"/>
      <c r="DD59" s="293"/>
      <c r="DE59" s="293"/>
      <c r="DF59" s="293"/>
      <c r="DG59" s="293"/>
      <c r="DH59" s="293"/>
      <c r="DI59" s="293"/>
      <c r="DJ59" s="293"/>
      <c r="DK59" s="293"/>
      <c r="DL59" s="293"/>
      <c r="DM59" s="293"/>
      <c r="DN59" s="293"/>
      <c r="DO59" s="293"/>
      <c r="DP59" s="293"/>
      <c r="DQ59" s="293"/>
      <c r="DR59" s="293"/>
      <c r="DS59" s="293"/>
      <c r="DT59" s="293"/>
      <c r="DU59" s="293"/>
      <c r="DV59" s="293"/>
      <c r="DW59" s="293"/>
      <c r="DX59" s="293"/>
      <c r="DY59" s="293"/>
      <c r="DZ59" s="293"/>
      <c r="EA59" s="293"/>
      <c r="EB59" s="293"/>
      <c r="EC59" s="293"/>
      <c r="ED59" s="293"/>
      <c r="EE59" s="293"/>
      <c r="EF59" s="293"/>
      <c r="EG59" s="293"/>
      <c r="EH59" s="293"/>
      <c r="EI59" s="293"/>
      <c r="EJ59" s="293"/>
      <c r="EK59" s="293"/>
      <c r="EL59" s="293"/>
      <c r="EM59" s="293"/>
      <c r="EN59" s="293"/>
      <c r="EO59" s="293"/>
      <c r="EP59" s="293"/>
      <c r="EQ59" s="293"/>
      <c r="ER59" s="293"/>
      <c r="ES59" s="293"/>
      <c r="ET59" s="293"/>
      <c r="EU59" s="293"/>
      <c r="EV59" s="293"/>
      <c r="EW59" s="293"/>
      <c r="EX59" s="293"/>
      <c r="EY59" s="293"/>
      <c r="EZ59" s="293"/>
      <c r="FA59" s="293"/>
      <c r="FB59" s="293"/>
      <c r="FC59" s="293"/>
      <c r="FD59" s="293"/>
      <c r="FE59" s="293"/>
      <c r="FF59" s="293"/>
      <c r="FG59" s="293"/>
      <c r="FH59" s="293"/>
      <c r="FI59" s="293"/>
      <c r="FJ59" s="293"/>
      <c r="FK59" s="293"/>
      <c r="FL59" s="293"/>
      <c r="FM59" s="293"/>
      <c r="FN59" s="293"/>
      <c r="FO59" s="293"/>
      <c r="FP59" s="293"/>
      <c r="FQ59" s="293"/>
      <c r="FR59" s="293"/>
      <c r="FS59" s="293"/>
      <c r="FT59" s="293"/>
      <c r="FU59" s="293"/>
      <c r="FV59" s="293"/>
      <c r="FW59" s="293"/>
      <c r="FX59" s="293"/>
      <c r="FY59" s="293"/>
      <c r="FZ59" s="293"/>
      <c r="GA59" s="293"/>
      <c r="GB59" s="293"/>
      <c r="GC59" s="293"/>
      <c r="GD59" s="293"/>
      <c r="GE59" s="293"/>
      <c r="GF59" s="293"/>
      <c r="GG59" s="293"/>
      <c r="GH59" s="293"/>
      <c r="GI59" s="293"/>
      <c r="GJ59" s="293"/>
      <c r="GK59" s="293"/>
      <c r="GL59" s="293"/>
      <c r="GM59" s="293"/>
      <c r="GN59" s="293"/>
      <c r="GO59" s="293"/>
      <c r="GP59" s="293"/>
      <c r="GQ59" s="293"/>
      <c r="GR59" s="293"/>
      <c r="GS59" s="293"/>
      <c r="GT59" s="293"/>
      <c r="GU59" s="293"/>
      <c r="GV59" s="293"/>
      <c r="GW59" s="293"/>
      <c r="GX59" s="293"/>
      <c r="GY59" s="293"/>
      <c r="GZ59" s="293"/>
      <c r="HA59" s="293"/>
      <c r="HB59" s="293"/>
      <c r="HC59" s="293"/>
      <c r="HD59" s="293"/>
      <c r="HE59" s="293"/>
      <c r="HF59" s="293"/>
      <c r="HG59" s="293"/>
      <c r="HH59" s="293"/>
      <c r="HI59" s="293"/>
      <c r="HJ59" s="293"/>
      <c r="HK59" s="293"/>
      <c r="HL59" s="293"/>
      <c r="HM59" s="293"/>
      <c r="HN59" s="293"/>
      <c r="HO59" s="293"/>
      <c r="HP59" s="293"/>
      <c r="HQ59" s="293"/>
      <c r="HR59" s="293"/>
      <c r="HS59" s="293"/>
      <c r="HT59" s="293"/>
      <c r="HU59" s="293"/>
      <c r="HV59" s="293"/>
      <c r="HW59" s="293"/>
      <c r="HX59" s="293"/>
      <c r="HY59" s="293"/>
      <c r="HZ59" s="293"/>
      <c r="IA59" s="293"/>
      <c r="IB59" s="293"/>
      <c r="IC59" s="293"/>
      <c r="ID59" s="293"/>
      <c r="IE59" s="293"/>
      <c r="IF59" s="293"/>
      <c r="IG59" s="293"/>
      <c r="IH59" s="293"/>
      <c r="II59" s="293"/>
      <c r="IJ59" s="293"/>
      <c r="IK59" s="293"/>
      <c r="IL59" s="293"/>
      <c r="IM59" s="293"/>
      <c r="IN59" s="293"/>
      <c r="IO59" s="293"/>
      <c r="IP59" s="293"/>
      <c r="IQ59" s="293"/>
      <c r="IR59" s="293"/>
      <c r="IS59" s="293"/>
      <c r="IT59" s="293"/>
      <c r="IU59" s="293"/>
      <c r="IV59" s="293"/>
      <c r="IW59" s="293"/>
    </row>
    <row r="60" customFormat="false" ht="12.75" hidden="false" customHeight="false" outlineLevel="0" collapsed="false">
      <c r="A60" s="241"/>
      <c r="B60" s="172"/>
      <c r="C60" s="172"/>
      <c r="D60" s="172"/>
      <c r="E60" s="172"/>
      <c r="F60" s="172"/>
      <c r="G60" s="172"/>
      <c r="H60" s="172"/>
      <c r="I60" s="172"/>
      <c r="J60" s="172"/>
      <c r="K60" s="172"/>
      <c r="L60" s="172"/>
      <c r="M60" s="172"/>
      <c r="N60" s="172"/>
      <c r="O60" s="172"/>
      <c r="P60" s="172"/>
      <c r="Q60" s="172"/>
      <c r="R60" s="172"/>
      <c r="S60" s="172"/>
      <c r="T60" s="172"/>
      <c r="U60" s="172"/>
    </row>
    <row r="61" customFormat="false" ht="12.75" hidden="false" customHeight="false" outlineLevel="0" collapsed="false">
      <c r="A61" s="365"/>
      <c r="B61" s="366"/>
      <c r="C61" s="366"/>
      <c r="D61" s="366"/>
      <c r="E61" s="366"/>
      <c r="F61" s="366"/>
      <c r="G61" s="366"/>
      <c r="H61" s="366"/>
      <c r="I61" s="366"/>
      <c r="J61" s="366"/>
      <c r="K61" s="366"/>
      <c r="L61" s="172"/>
      <c r="M61" s="172"/>
      <c r="N61" s="172"/>
      <c r="O61" s="172"/>
      <c r="P61" s="172"/>
      <c r="Q61" s="172"/>
      <c r="R61" s="172"/>
      <c r="S61" s="172"/>
      <c r="T61" s="172"/>
      <c r="U61" s="172"/>
    </row>
    <row r="62" customFormat="false" ht="18" hidden="false" customHeight="false" outlineLevel="0" collapsed="false">
      <c r="A62" s="326" t="s">
        <v>233</v>
      </c>
      <c r="B62" s="272"/>
      <c r="C62" s="272"/>
      <c r="D62" s="272"/>
      <c r="E62" s="272"/>
      <c r="F62" s="272"/>
      <c r="G62" s="272"/>
      <c r="H62" s="272"/>
      <c r="I62" s="272"/>
      <c r="J62" s="272"/>
      <c r="K62" s="272"/>
      <c r="L62" s="272"/>
      <c r="M62" s="272"/>
      <c r="N62" s="272"/>
      <c r="O62" s="272"/>
      <c r="P62" s="272"/>
      <c r="Q62" s="272"/>
      <c r="R62" s="272"/>
      <c r="S62" s="272"/>
      <c r="T62" s="272"/>
      <c r="U62" s="272"/>
    </row>
    <row r="63" customFormat="false" ht="12.75" hidden="false" customHeight="false" outlineLevel="0" collapsed="false">
      <c r="A63" s="293"/>
      <c r="B63" s="294"/>
      <c r="C63" s="294"/>
      <c r="D63" s="294"/>
      <c r="E63" s="294"/>
      <c r="F63" s="294"/>
      <c r="G63" s="295"/>
      <c r="H63" s="294"/>
      <c r="I63" s="294"/>
      <c r="J63" s="294"/>
      <c r="K63" s="294"/>
      <c r="L63" s="294"/>
      <c r="M63" s="295"/>
      <c r="N63" s="294"/>
      <c r="O63" s="294"/>
      <c r="P63" s="294"/>
      <c r="Q63" s="294"/>
      <c r="R63" s="294"/>
      <c r="S63" s="295"/>
      <c r="T63" s="294"/>
      <c r="U63" s="294"/>
    </row>
    <row r="64" customFormat="false" ht="15.75" hidden="false" customHeight="false" outlineLevel="0" collapsed="false">
      <c r="A64" s="248"/>
      <c r="B64" s="297" t="n">
        <v>3</v>
      </c>
      <c r="C64" s="297" t="n">
        <v>4</v>
      </c>
      <c r="D64" s="297" t="n">
        <v>5</v>
      </c>
      <c r="E64" s="298" t="n">
        <v>6</v>
      </c>
      <c r="F64" s="297" t="n">
        <v>7</v>
      </c>
      <c r="G64" s="297" t="n">
        <v>8</v>
      </c>
      <c r="H64" s="297" t="n">
        <v>9</v>
      </c>
      <c r="I64" s="297" t="n">
        <v>10</v>
      </c>
      <c r="J64" s="297" t="n">
        <v>11</v>
      </c>
      <c r="K64" s="298" t="n">
        <v>12</v>
      </c>
      <c r="L64" s="297" t="n">
        <v>13</v>
      </c>
      <c r="M64" s="297" t="n">
        <v>14</v>
      </c>
      <c r="N64" s="297" t="n">
        <v>15</v>
      </c>
      <c r="O64" s="297" t="n">
        <v>16</v>
      </c>
      <c r="P64" s="297" t="n">
        <v>17</v>
      </c>
      <c r="Q64" s="298" t="n">
        <v>18</v>
      </c>
      <c r="R64" s="297" t="n">
        <v>19</v>
      </c>
      <c r="S64" s="297" t="n">
        <v>20</v>
      </c>
      <c r="T64" s="297" t="n">
        <v>21</v>
      </c>
      <c r="U64" s="297" t="n">
        <v>22</v>
      </c>
      <c r="X64" s="324"/>
      <c r="Y64" s="324"/>
      <c r="Z64" s="324"/>
      <c r="AA64" s="324"/>
      <c r="AB64" s="324"/>
      <c r="AC64" s="324"/>
      <c r="AD64" s="324"/>
      <c r="AE64" s="324"/>
      <c r="AF64" s="324"/>
      <c r="AG64" s="324"/>
      <c r="AH64" s="324"/>
      <c r="AI64" s="324"/>
      <c r="AJ64" s="324"/>
      <c r="AK64" s="324"/>
      <c r="AL64" s="324"/>
      <c r="AM64" s="324"/>
      <c r="AN64" s="324"/>
      <c r="AO64" s="324"/>
      <c r="AP64" s="324"/>
      <c r="AQ64" s="324"/>
      <c r="AR64" s="324"/>
      <c r="AS64" s="324"/>
      <c r="AT64" s="324"/>
      <c r="AU64" s="324"/>
      <c r="AV64" s="324"/>
      <c r="AW64" s="324"/>
      <c r="AX64" s="324"/>
      <c r="AY64" s="324"/>
      <c r="AZ64" s="324"/>
      <c r="BA64" s="324"/>
      <c r="BB64" s="324"/>
      <c r="BC64" s="324"/>
      <c r="BD64" s="324"/>
      <c r="BE64" s="324"/>
      <c r="BF64" s="324"/>
      <c r="BG64" s="324"/>
      <c r="BH64" s="324"/>
      <c r="BI64" s="324"/>
      <c r="BJ64" s="324"/>
      <c r="BK64" s="324"/>
      <c r="BL64" s="324"/>
      <c r="BM64" s="324"/>
      <c r="BN64" s="324"/>
      <c r="BO64" s="324"/>
      <c r="BP64" s="324"/>
      <c r="BQ64" s="324"/>
      <c r="BR64" s="324"/>
      <c r="BS64" s="324"/>
      <c r="BT64" s="324"/>
      <c r="BU64" s="324"/>
      <c r="BV64" s="324"/>
      <c r="BW64" s="324"/>
      <c r="BX64" s="324"/>
      <c r="BY64" s="324"/>
      <c r="BZ64" s="324"/>
      <c r="CA64" s="324"/>
      <c r="CB64" s="324"/>
      <c r="CC64" s="324"/>
      <c r="CD64" s="324"/>
      <c r="CE64" s="324"/>
      <c r="CF64" s="324"/>
      <c r="CG64" s="324"/>
      <c r="CH64" s="324"/>
      <c r="CI64" s="324"/>
      <c r="CJ64" s="324"/>
      <c r="CK64" s="324"/>
      <c r="CL64" s="324"/>
      <c r="CM64" s="324"/>
      <c r="CN64" s="324"/>
      <c r="CO64" s="324"/>
      <c r="CP64" s="324"/>
      <c r="CQ64" s="324"/>
      <c r="CR64" s="324"/>
      <c r="CS64" s="324"/>
      <c r="CT64" s="324"/>
      <c r="CU64" s="324"/>
      <c r="CV64" s="324"/>
      <c r="CW64" s="324"/>
      <c r="CX64" s="324"/>
      <c r="CY64" s="324"/>
      <c r="CZ64" s="324"/>
      <c r="DA64" s="324"/>
      <c r="DB64" s="324"/>
      <c r="DC64" s="324"/>
      <c r="DD64" s="324"/>
      <c r="DE64" s="324"/>
      <c r="DF64" s="324"/>
      <c r="DG64" s="324"/>
      <c r="DH64" s="324"/>
      <c r="DI64" s="324"/>
      <c r="DJ64" s="324"/>
      <c r="DK64" s="324"/>
      <c r="DL64" s="324"/>
      <c r="DM64" s="324"/>
      <c r="DN64" s="324"/>
      <c r="DO64" s="324"/>
      <c r="DP64" s="324"/>
      <c r="DQ64" s="324"/>
      <c r="DR64" s="324"/>
      <c r="DS64" s="324"/>
      <c r="DT64" s="324"/>
      <c r="DU64" s="324"/>
      <c r="DV64" s="324"/>
      <c r="DW64" s="324"/>
      <c r="DX64" s="324"/>
      <c r="DY64" s="324"/>
      <c r="DZ64" s="324"/>
      <c r="EA64" s="324"/>
      <c r="EB64" s="324"/>
      <c r="EC64" s="324"/>
      <c r="ED64" s="324"/>
      <c r="EE64" s="324"/>
      <c r="EF64" s="324"/>
      <c r="EG64" s="324"/>
      <c r="EH64" s="324"/>
      <c r="EI64" s="324"/>
      <c r="EJ64" s="324"/>
      <c r="EK64" s="324"/>
      <c r="EL64" s="324"/>
      <c r="EM64" s="324"/>
      <c r="EN64" s="324"/>
      <c r="EO64" s="324"/>
      <c r="EP64" s="324"/>
      <c r="EQ64" s="324"/>
      <c r="ER64" s="324"/>
      <c r="ES64" s="324"/>
      <c r="ET64" s="324"/>
      <c r="EU64" s="324"/>
      <c r="EV64" s="324"/>
      <c r="EW64" s="324"/>
      <c r="EX64" s="324"/>
      <c r="EY64" s="324"/>
      <c r="EZ64" s="324"/>
      <c r="FA64" s="324"/>
      <c r="FB64" s="324"/>
      <c r="FC64" s="324"/>
      <c r="FD64" s="324"/>
      <c r="FE64" s="324"/>
      <c r="FF64" s="324"/>
      <c r="FG64" s="324"/>
      <c r="FH64" s="324"/>
      <c r="FI64" s="324"/>
      <c r="FJ64" s="324"/>
      <c r="FK64" s="324"/>
      <c r="FL64" s="324"/>
      <c r="FM64" s="324"/>
      <c r="FN64" s="324"/>
      <c r="FO64" s="324"/>
      <c r="FP64" s="324"/>
      <c r="FQ64" s="324"/>
      <c r="FR64" s="324"/>
      <c r="FS64" s="324"/>
      <c r="FT64" s="324"/>
      <c r="FU64" s="324"/>
      <c r="FV64" s="324"/>
      <c r="FW64" s="324"/>
      <c r="FX64" s="324"/>
      <c r="FY64" s="324"/>
      <c r="FZ64" s="324"/>
      <c r="GA64" s="324"/>
      <c r="GB64" s="324"/>
      <c r="GC64" s="324"/>
      <c r="GD64" s="324"/>
      <c r="GE64" s="324"/>
      <c r="GF64" s="324"/>
      <c r="GG64" s="324"/>
      <c r="GH64" s="324"/>
      <c r="GI64" s="324"/>
      <c r="GJ64" s="324"/>
      <c r="GK64" s="324"/>
      <c r="GL64" s="324"/>
      <c r="GM64" s="324"/>
      <c r="GN64" s="324"/>
      <c r="GO64" s="324"/>
      <c r="GP64" s="324"/>
      <c r="GQ64" s="324"/>
      <c r="GR64" s="324"/>
      <c r="GS64" s="324"/>
      <c r="GT64" s="324"/>
      <c r="GU64" s="324"/>
      <c r="GV64" s="324"/>
      <c r="GW64" s="324"/>
      <c r="GX64" s="324"/>
      <c r="GY64" s="324"/>
      <c r="GZ64" s="324"/>
      <c r="HA64" s="324"/>
      <c r="HB64" s="324"/>
      <c r="HC64" s="324"/>
      <c r="HD64" s="324"/>
      <c r="HE64" s="324"/>
      <c r="HF64" s="324"/>
      <c r="HG64" s="324"/>
      <c r="HH64" s="324"/>
      <c r="HI64" s="324"/>
      <c r="HJ64" s="324"/>
      <c r="HK64" s="324"/>
      <c r="HL64" s="324"/>
      <c r="HM64" s="324"/>
      <c r="HN64" s="324"/>
      <c r="HO64" s="324"/>
      <c r="HP64" s="324"/>
      <c r="HQ64" s="324"/>
      <c r="HR64" s="324"/>
      <c r="HS64" s="324"/>
      <c r="HT64" s="324"/>
      <c r="HU64" s="324"/>
      <c r="HV64" s="324"/>
      <c r="HW64" s="324"/>
      <c r="HX64" s="324"/>
      <c r="HY64" s="324"/>
      <c r="HZ64" s="324"/>
      <c r="IA64" s="324"/>
      <c r="IB64" s="324"/>
      <c r="IC64" s="324"/>
      <c r="ID64" s="324"/>
      <c r="IE64" s="324"/>
      <c r="IF64" s="324"/>
      <c r="IG64" s="324"/>
      <c r="IH64" s="324"/>
      <c r="II64" s="324"/>
      <c r="IJ64" s="324"/>
      <c r="IK64" s="324"/>
      <c r="IL64" s="324"/>
      <c r="IM64" s="324"/>
      <c r="IN64" s="324"/>
      <c r="IO64" s="324"/>
      <c r="IP64" s="324"/>
      <c r="IQ64" s="324"/>
      <c r="IR64" s="324"/>
      <c r="IS64" s="324"/>
      <c r="IT64" s="324"/>
      <c r="IU64" s="324"/>
      <c r="IV64" s="324"/>
      <c r="IW64" s="324"/>
    </row>
    <row r="65" customFormat="false" ht="13.5" hidden="false" customHeight="false" outlineLevel="0" collapsed="false">
      <c r="A65" s="154" t="s">
        <v>103</v>
      </c>
      <c r="B65" s="155" t="n">
        <v>2001</v>
      </c>
      <c r="C65" s="155" t="n">
        <v>2002</v>
      </c>
      <c r="D65" s="155" t="n">
        <v>2003</v>
      </c>
      <c r="E65" s="155" t="n">
        <v>2004</v>
      </c>
      <c r="F65" s="155" t="n">
        <v>2005</v>
      </c>
      <c r="G65" s="155" t="n">
        <v>2006</v>
      </c>
      <c r="H65" s="155" t="n">
        <v>2007</v>
      </c>
      <c r="I65" s="155" t="n">
        <v>2008</v>
      </c>
      <c r="J65" s="155" t="n">
        <v>2009</v>
      </c>
      <c r="K65" s="155" t="n">
        <v>2010</v>
      </c>
      <c r="L65" s="155" t="n">
        <v>2011</v>
      </c>
      <c r="M65" s="155" t="n">
        <v>2012</v>
      </c>
      <c r="N65" s="155" t="n">
        <v>2013</v>
      </c>
      <c r="O65" s="155" t="n">
        <v>2014</v>
      </c>
      <c r="P65" s="155" t="n">
        <v>2015</v>
      </c>
      <c r="Q65" s="155" t="n">
        <v>2016</v>
      </c>
      <c r="R65" s="155" t="n">
        <v>2017</v>
      </c>
      <c r="S65" s="155" t="n">
        <v>2018</v>
      </c>
      <c r="T65" s="155" t="n">
        <v>2019</v>
      </c>
      <c r="U65" s="155" t="n">
        <v>2020</v>
      </c>
    </row>
    <row r="66" customFormat="false" ht="12.75" hidden="false" customHeight="false" outlineLevel="0" collapsed="false">
      <c r="A66" s="248"/>
      <c r="B66" s="300"/>
      <c r="C66" s="156"/>
      <c r="D66" s="156"/>
      <c r="E66" s="156"/>
      <c r="F66" s="156"/>
      <c r="G66" s="156"/>
      <c r="H66" s="156"/>
      <c r="I66" s="156"/>
      <c r="J66" s="156"/>
      <c r="K66" s="156"/>
      <c r="L66" s="156"/>
      <c r="M66" s="156"/>
      <c r="N66" s="156"/>
      <c r="O66" s="156"/>
      <c r="P66" s="156"/>
      <c r="Q66" s="156"/>
      <c r="R66" s="156"/>
      <c r="S66" s="156"/>
      <c r="T66" s="156"/>
      <c r="U66" s="156"/>
    </row>
    <row r="67" customFormat="false" ht="12.75" hidden="false" customHeight="false" outlineLevel="0" collapsed="false"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</row>
    <row r="68" customFormat="false" ht="12.75" hidden="false" customHeight="false" outlineLevel="0" collapsed="false">
      <c r="A68" s="301" t="s">
        <v>204</v>
      </c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</row>
    <row r="69" customFormat="false" ht="12.75" hidden="false" customHeight="false" outlineLevel="0" collapsed="false">
      <c r="A69" s="367"/>
      <c r="B69" s="351"/>
      <c r="C69" s="351"/>
      <c r="D69" s="352"/>
      <c r="E69" s="352"/>
      <c r="F69" s="352"/>
      <c r="G69" s="352"/>
      <c r="H69" s="352"/>
      <c r="I69" s="352"/>
      <c r="J69" s="352"/>
      <c r="K69" s="352"/>
      <c r="L69" s="352"/>
      <c r="M69" s="352"/>
      <c r="N69" s="352"/>
      <c r="O69" s="352"/>
      <c r="P69" s="352"/>
      <c r="Q69" s="352"/>
      <c r="R69" s="352"/>
      <c r="S69" s="352"/>
      <c r="T69" s="352"/>
      <c r="U69" s="352"/>
      <c r="V69" s="352"/>
      <c r="W69" s="352"/>
    </row>
    <row r="70" customFormat="false" ht="12.75" hidden="false" customHeight="false" outlineLevel="0" collapsed="false">
      <c r="A70" s="24" t="s">
        <v>206</v>
      </c>
      <c r="B70" s="353" t="n">
        <f aca="false">Allocation!$C$8*'Summary Output'!$C$7</f>
        <v>196161.652593982</v>
      </c>
      <c r="C70" s="353" t="n">
        <f aca="false">Allocation!$C$8*'Summary Output'!$C$7</f>
        <v>196161.652593982</v>
      </c>
      <c r="D70" s="353" t="n">
        <f aca="false">Allocation!$C$8*'Summary Output'!$C$7</f>
        <v>196161.652593982</v>
      </c>
      <c r="E70" s="353" t="n">
        <f aca="false">Allocation!$C$8*'Summary Output'!$C$7</f>
        <v>196161.652593982</v>
      </c>
      <c r="F70" s="353" t="n">
        <f aca="false">Allocation!$C$8*'Summary Output'!$C$7</f>
        <v>196161.652593982</v>
      </c>
      <c r="G70" s="353" t="n">
        <f aca="false">Allocation!$C$8*'Summary Output'!$C$7</f>
        <v>196161.652593982</v>
      </c>
      <c r="H70" s="353" t="n">
        <f aca="false">Allocation!$C$8*'Summary Output'!$C$7</f>
        <v>196161.652593982</v>
      </c>
      <c r="I70" s="353" t="n">
        <f aca="false">Allocation!$C$8*'Summary Output'!$C$7</f>
        <v>196161.652593982</v>
      </c>
      <c r="J70" s="353" t="n">
        <f aca="false">Allocation!$C$8*'Summary Output'!$C$7</f>
        <v>196161.652593982</v>
      </c>
      <c r="K70" s="353" t="n">
        <f aca="false">Allocation!$C$8*'Summary Output'!$C$7</f>
        <v>196161.652593982</v>
      </c>
      <c r="L70" s="353" t="n">
        <f aca="false">Allocation!$C$8*'Summary Output'!$C$7</f>
        <v>196161.652593982</v>
      </c>
      <c r="M70" s="353" t="n">
        <f aca="false">Allocation!$C$8*'Summary Output'!$C$7</f>
        <v>196161.652593982</v>
      </c>
      <c r="N70" s="353" t="n">
        <f aca="false">Allocation!$C$8*'Summary Output'!$C$7</f>
        <v>196161.652593982</v>
      </c>
      <c r="O70" s="353" t="n">
        <f aca="false">Allocation!$C$8*'Summary Output'!$C$7</f>
        <v>196161.652593982</v>
      </c>
      <c r="P70" s="353" t="n">
        <f aca="false">Allocation!$C$8*'Summary Output'!$C$7</f>
        <v>196161.652593982</v>
      </c>
      <c r="Q70" s="353" t="n">
        <f aca="false">Allocation!$C$8*'Summary Output'!$C$7</f>
        <v>196161.652593982</v>
      </c>
      <c r="R70" s="353" t="n">
        <f aca="false">Allocation!$C$8*'Summary Output'!$C$7</f>
        <v>196161.652593982</v>
      </c>
      <c r="S70" s="353" t="n">
        <f aca="false">Allocation!$C$8*'Summary Output'!$C$7</f>
        <v>196161.652593982</v>
      </c>
      <c r="T70" s="353" t="n">
        <f aca="false">Allocation!$C$8*'Summary Output'!$C$7</f>
        <v>196161.652593982</v>
      </c>
      <c r="U70" s="353" t="n">
        <f aca="false">Allocation!$C$8*'Summary Output'!$C$7</f>
        <v>196161.652593982</v>
      </c>
      <c r="V70" s="353"/>
      <c r="W70" s="353"/>
    </row>
    <row r="71" customFormat="false" ht="12.75" hidden="false" customHeight="false" outlineLevel="0" collapsed="false">
      <c r="A71" s="24" t="s">
        <v>211</v>
      </c>
      <c r="B71" s="354" t="n">
        <f aca="false">Assumptions!E41</f>
        <v>0.0015</v>
      </c>
      <c r="C71" s="354" t="n">
        <f aca="false">Assumptions!$E$42</f>
        <v>0.001</v>
      </c>
      <c r="D71" s="354" t="n">
        <f aca="false">Assumptions!$E$42</f>
        <v>0.001</v>
      </c>
      <c r="E71" s="354" t="n">
        <f aca="false">Assumptions!$E$42</f>
        <v>0.001</v>
      </c>
      <c r="F71" s="354" t="n">
        <f aca="false">Assumptions!$E$42</f>
        <v>0.001</v>
      </c>
      <c r="G71" s="354" t="n">
        <f aca="false">Assumptions!$E$42</f>
        <v>0.001</v>
      </c>
      <c r="H71" s="354" t="n">
        <f aca="false">Assumptions!$E$42</f>
        <v>0.001</v>
      </c>
      <c r="I71" s="354" t="n">
        <f aca="false">Assumptions!$E$42</f>
        <v>0.001</v>
      </c>
      <c r="J71" s="354" t="n">
        <f aca="false">Assumptions!$E$42</f>
        <v>0.001</v>
      </c>
      <c r="K71" s="354" t="n">
        <f aca="false">Assumptions!$E$42</f>
        <v>0.001</v>
      </c>
      <c r="L71" s="354" t="n">
        <f aca="false">Assumptions!$E$42</f>
        <v>0.001</v>
      </c>
      <c r="M71" s="354" t="n">
        <f aca="false">Assumptions!$E$42</f>
        <v>0.001</v>
      </c>
      <c r="N71" s="354" t="n">
        <f aca="false">Assumptions!$E$42</f>
        <v>0.001</v>
      </c>
      <c r="O71" s="354" t="n">
        <f aca="false">Assumptions!$E$42</f>
        <v>0.001</v>
      </c>
      <c r="P71" s="354" t="n">
        <f aca="false">Assumptions!$E$42</f>
        <v>0.001</v>
      </c>
      <c r="Q71" s="354" t="n">
        <f aca="false">Assumptions!$E$42</f>
        <v>0.001</v>
      </c>
      <c r="R71" s="354" t="n">
        <f aca="false">Assumptions!$E$42</f>
        <v>0.001</v>
      </c>
      <c r="S71" s="354" t="n">
        <f aca="false">Assumptions!$E$42</f>
        <v>0.001</v>
      </c>
      <c r="T71" s="354" t="n">
        <f aca="false">Assumptions!$E$42</f>
        <v>0.001</v>
      </c>
      <c r="U71" s="354" t="n">
        <f aca="false">Assumptions!$E$42</f>
        <v>0.001</v>
      </c>
      <c r="V71" s="354"/>
      <c r="W71" s="354"/>
    </row>
    <row r="72" customFormat="false" ht="12.75" hidden="false" customHeight="false" outlineLevel="0" collapsed="false">
      <c r="A72" s="40" t="s">
        <v>212</v>
      </c>
      <c r="B72" s="355" t="n">
        <f aca="false">B70*B71</f>
        <v>294.242478890973</v>
      </c>
      <c r="C72" s="355" t="n">
        <f aca="false">C70*C71</f>
        <v>196.161652593982</v>
      </c>
      <c r="D72" s="355" t="n">
        <f aca="false">D70*D71</f>
        <v>196.161652593982</v>
      </c>
      <c r="E72" s="355" t="n">
        <f aca="false">E70*E71</f>
        <v>196.161652593982</v>
      </c>
      <c r="F72" s="355" t="n">
        <f aca="false">F70*F71</f>
        <v>196.161652593982</v>
      </c>
      <c r="G72" s="355" t="n">
        <f aca="false">G70*G71</f>
        <v>196.161652593982</v>
      </c>
      <c r="H72" s="355" t="n">
        <f aca="false">H70*H71</f>
        <v>196.161652593982</v>
      </c>
      <c r="I72" s="355" t="n">
        <f aca="false">I70*I71</f>
        <v>196.161652593982</v>
      </c>
      <c r="J72" s="355" t="n">
        <f aca="false">J70*J71</f>
        <v>196.161652593982</v>
      </c>
      <c r="K72" s="355" t="n">
        <f aca="false">K70*K71</f>
        <v>196.161652593982</v>
      </c>
      <c r="L72" s="355" t="n">
        <f aca="false">L70*L71</f>
        <v>196.161652593982</v>
      </c>
      <c r="M72" s="355" t="n">
        <f aca="false">M70*M71</f>
        <v>196.161652593982</v>
      </c>
      <c r="N72" s="355" t="n">
        <f aca="false">N70*N71</f>
        <v>196.161652593982</v>
      </c>
      <c r="O72" s="355" t="n">
        <f aca="false">O70*O71</f>
        <v>196.161652593982</v>
      </c>
      <c r="P72" s="355" t="n">
        <f aca="false">P70*P71</f>
        <v>196.161652593982</v>
      </c>
      <c r="Q72" s="355" t="n">
        <f aca="false">Q70*Q71</f>
        <v>196.161652593982</v>
      </c>
      <c r="R72" s="355" t="n">
        <f aca="false">R70*R71</f>
        <v>196.161652593982</v>
      </c>
      <c r="S72" s="355" t="n">
        <f aca="false">S70*S71</f>
        <v>196.161652593982</v>
      </c>
      <c r="T72" s="355" t="n">
        <f aca="false">T70*T71</f>
        <v>196.161652593982</v>
      </c>
      <c r="U72" s="355" t="n">
        <f aca="false">U70*U71</f>
        <v>196.161652593982</v>
      </c>
      <c r="V72" s="355"/>
      <c r="W72" s="355"/>
    </row>
    <row r="73" customFormat="false" ht="12.75" hidden="false" customHeight="false" outlineLevel="0" collapsed="false">
      <c r="A73" s="368"/>
      <c r="B73" s="368"/>
      <c r="C73" s="368"/>
      <c r="D73" s="369"/>
      <c r="E73" s="369"/>
      <c r="F73" s="369"/>
      <c r="G73" s="369"/>
      <c r="H73" s="369"/>
      <c r="I73" s="369"/>
      <c r="J73" s="369"/>
      <c r="K73" s="369"/>
      <c r="L73" s="369"/>
      <c r="M73" s="369"/>
      <c r="N73" s="369"/>
      <c r="O73" s="369"/>
      <c r="P73" s="369"/>
      <c r="Q73" s="369"/>
      <c r="R73" s="369"/>
      <c r="S73" s="369"/>
      <c r="T73" s="369"/>
      <c r="U73" s="369"/>
      <c r="V73" s="369"/>
      <c r="W73" s="369"/>
    </row>
    <row r="74" customFormat="false" ht="12.75" hidden="false" customHeight="false" outlineLevel="0" collapsed="false">
      <c r="A74" s="368"/>
      <c r="B74" s="368"/>
      <c r="C74" s="368"/>
      <c r="D74" s="369"/>
      <c r="E74" s="369"/>
      <c r="F74" s="369"/>
      <c r="G74" s="369"/>
      <c r="H74" s="369"/>
      <c r="I74" s="369"/>
      <c r="J74" s="369"/>
      <c r="K74" s="369"/>
      <c r="L74" s="369"/>
      <c r="M74" s="369"/>
      <c r="N74" s="369"/>
      <c r="O74" s="369"/>
      <c r="P74" s="369"/>
      <c r="Q74" s="369"/>
      <c r="R74" s="369"/>
      <c r="S74" s="369"/>
      <c r="T74" s="369"/>
      <c r="U74" s="369"/>
      <c r="V74" s="369"/>
      <c r="W74" s="369"/>
    </row>
    <row r="75" customFormat="false" ht="12.75" hidden="false" customHeight="false" outlineLevel="0" collapsed="false">
      <c r="A75" s="301" t="s">
        <v>180</v>
      </c>
      <c r="B75" s="368"/>
      <c r="C75" s="368"/>
      <c r="D75" s="369"/>
      <c r="E75" s="369"/>
      <c r="F75" s="369"/>
      <c r="G75" s="369"/>
      <c r="H75" s="369"/>
      <c r="I75" s="369"/>
      <c r="J75" s="369"/>
      <c r="K75" s="369"/>
      <c r="L75" s="369"/>
      <c r="M75" s="369"/>
      <c r="N75" s="369"/>
      <c r="O75" s="369"/>
      <c r="P75" s="369"/>
      <c r="Q75" s="369"/>
      <c r="R75" s="369"/>
      <c r="S75" s="369"/>
      <c r="T75" s="369"/>
      <c r="U75" s="369"/>
      <c r="V75" s="369"/>
      <c r="W75" s="369"/>
      <c r="X75" s="352"/>
      <c r="Y75" s="352"/>
      <c r="Z75" s="351"/>
      <c r="AA75" s="358"/>
      <c r="AB75" s="358"/>
      <c r="AC75" s="358"/>
      <c r="AD75" s="358"/>
      <c r="AE75" s="358"/>
      <c r="AF75" s="358"/>
      <c r="AG75" s="358"/>
      <c r="AH75" s="358"/>
      <c r="AI75" s="358"/>
      <c r="AJ75" s="358"/>
      <c r="AK75" s="358"/>
      <c r="AL75" s="358"/>
      <c r="AM75" s="358"/>
      <c r="AN75" s="358"/>
      <c r="AO75" s="358"/>
      <c r="AP75" s="358"/>
      <c r="AQ75" s="358"/>
      <c r="AR75" s="358"/>
      <c r="AS75" s="358"/>
      <c r="AT75" s="305"/>
      <c r="AU75" s="305"/>
      <c r="AV75" s="305"/>
      <c r="AW75" s="305"/>
      <c r="AX75" s="305"/>
      <c r="AY75" s="305"/>
      <c r="AZ75" s="305"/>
      <c r="BA75" s="305"/>
      <c r="BB75" s="305"/>
      <c r="BC75" s="305"/>
      <c r="BD75" s="305"/>
      <c r="BE75" s="305"/>
      <c r="BF75" s="305"/>
      <c r="BG75" s="305"/>
      <c r="BH75" s="305"/>
      <c r="BI75" s="305"/>
      <c r="BJ75" s="305"/>
      <c r="BK75" s="305"/>
      <c r="BL75" s="305"/>
      <c r="BM75" s="305"/>
      <c r="BN75" s="305"/>
      <c r="BO75" s="305"/>
      <c r="BP75" s="305"/>
      <c r="BQ75" s="305"/>
      <c r="BR75" s="305"/>
      <c r="BS75" s="305"/>
      <c r="BT75" s="305"/>
      <c r="BU75" s="305"/>
      <c r="BV75" s="305"/>
      <c r="BW75" s="305"/>
      <c r="BX75" s="305"/>
      <c r="BY75" s="305"/>
      <c r="BZ75" s="305"/>
      <c r="CA75" s="305"/>
      <c r="CB75" s="305"/>
      <c r="CC75" s="305"/>
      <c r="CD75" s="305"/>
      <c r="CE75" s="305"/>
      <c r="CF75" s="305"/>
      <c r="CG75" s="305"/>
      <c r="CH75" s="305"/>
      <c r="CI75" s="305"/>
      <c r="CJ75" s="305"/>
      <c r="CK75" s="305"/>
      <c r="CL75" s="305"/>
      <c r="CM75" s="305"/>
      <c r="CN75" s="305"/>
      <c r="CO75" s="305"/>
      <c r="CP75" s="305"/>
      <c r="CQ75" s="305"/>
      <c r="CR75" s="305"/>
      <c r="CS75" s="305"/>
      <c r="CT75" s="305"/>
      <c r="CU75" s="305"/>
      <c r="CV75" s="305"/>
      <c r="CW75" s="305"/>
      <c r="CX75" s="305"/>
      <c r="CY75" s="305"/>
      <c r="CZ75" s="305"/>
      <c r="DA75" s="305"/>
      <c r="DB75" s="305"/>
      <c r="DC75" s="305"/>
      <c r="DD75" s="305"/>
      <c r="DE75" s="305"/>
      <c r="DF75" s="305"/>
      <c r="DG75" s="305"/>
      <c r="DH75" s="305"/>
      <c r="DI75" s="305"/>
      <c r="DJ75" s="305"/>
      <c r="DK75" s="305"/>
      <c r="DL75" s="305"/>
      <c r="DM75" s="305"/>
      <c r="DN75" s="305"/>
      <c r="DO75" s="305"/>
      <c r="DP75" s="305"/>
      <c r="DQ75" s="305"/>
      <c r="DR75" s="305"/>
      <c r="DS75" s="305"/>
      <c r="DT75" s="305"/>
      <c r="DU75" s="305"/>
      <c r="DV75" s="305"/>
      <c r="DW75" s="305"/>
      <c r="DX75" s="305"/>
      <c r="DY75" s="305"/>
      <c r="DZ75" s="305"/>
      <c r="EA75" s="305"/>
      <c r="EB75" s="305"/>
      <c r="EC75" s="305"/>
      <c r="ED75" s="305"/>
      <c r="EE75" s="305"/>
      <c r="EF75" s="305"/>
      <c r="EG75" s="305"/>
      <c r="EH75" s="305"/>
      <c r="EI75" s="305"/>
      <c r="EJ75" s="305"/>
      <c r="EK75" s="305"/>
      <c r="EL75" s="305"/>
      <c r="EM75" s="305"/>
      <c r="EN75" s="305"/>
      <c r="EO75" s="305"/>
      <c r="EP75" s="305"/>
      <c r="EQ75" s="305"/>
      <c r="ER75" s="305"/>
      <c r="ES75" s="305"/>
      <c r="ET75" s="305"/>
      <c r="EU75" s="305"/>
      <c r="EV75" s="305"/>
      <c r="EW75" s="305"/>
      <c r="EX75" s="305"/>
      <c r="EY75" s="305"/>
      <c r="EZ75" s="305"/>
      <c r="FA75" s="305"/>
      <c r="FB75" s="305"/>
      <c r="FC75" s="305"/>
      <c r="FD75" s="305"/>
      <c r="FE75" s="305"/>
      <c r="FF75" s="305"/>
      <c r="FG75" s="305"/>
      <c r="FH75" s="305"/>
      <c r="FI75" s="305"/>
      <c r="FJ75" s="305"/>
      <c r="FK75" s="305"/>
      <c r="FL75" s="305"/>
      <c r="FM75" s="305"/>
      <c r="FN75" s="305"/>
      <c r="FO75" s="305"/>
      <c r="FP75" s="305"/>
      <c r="FQ75" s="305"/>
      <c r="FR75" s="305"/>
      <c r="FS75" s="305"/>
      <c r="FT75" s="305"/>
      <c r="FU75" s="305"/>
      <c r="FV75" s="305"/>
      <c r="FW75" s="305"/>
      <c r="FX75" s="305"/>
      <c r="FY75" s="305"/>
      <c r="FZ75" s="305"/>
      <c r="GA75" s="305"/>
      <c r="GB75" s="305"/>
      <c r="GC75" s="305"/>
      <c r="GD75" s="305"/>
      <c r="GE75" s="305"/>
      <c r="GF75" s="305"/>
      <c r="GG75" s="305"/>
      <c r="GH75" s="305"/>
      <c r="GI75" s="305"/>
      <c r="GJ75" s="305"/>
      <c r="GK75" s="305"/>
      <c r="GL75" s="305"/>
      <c r="GM75" s="305"/>
      <c r="GN75" s="305"/>
      <c r="GO75" s="305"/>
      <c r="GP75" s="305"/>
      <c r="GQ75" s="305"/>
      <c r="GR75" s="305"/>
      <c r="GS75" s="305"/>
      <c r="GT75" s="305"/>
      <c r="GU75" s="305"/>
      <c r="GV75" s="305"/>
      <c r="GW75" s="305"/>
      <c r="GX75" s="305"/>
      <c r="GY75" s="305"/>
      <c r="GZ75" s="305"/>
      <c r="HA75" s="305"/>
      <c r="HB75" s="305"/>
      <c r="HC75" s="305"/>
      <c r="HD75" s="305"/>
      <c r="HE75" s="305"/>
      <c r="HF75" s="305"/>
      <c r="HG75" s="305"/>
      <c r="HH75" s="305"/>
      <c r="HI75" s="305"/>
      <c r="HJ75" s="305"/>
      <c r="HK75" s="305"/>
      <c r="HL75" s="305"/>
      <c r="HM75" s="305"/>
      <c r="HN75" s="305"/>
      <c r="HO75" s="305"/>
      <c r="HP75" s="305"/>
      <c r="HQ75" s="305"/>
      <c r="HR75" s="305"/>
      <c r="HS75" s="305"/>
      <c r="HT75" s="305"/>
      <c r="HU75" s="305"/>
      <c r="HV75" s="305"/>
      <c r="HW75" s="305"/>
      <c r="HX75" s="305"/>
      <c r="HY75" s="305"/>
      <c r="HZ75" s="305"/>
      <c r="IA75" s="305"/>
      <c r="IB75" s="305"/>
      <c r="IC75" s="305"/>
      <c r="ID75" s="305"/>
      <c r="IE75" s="305"/>
      <c r="IF75" s="305"/>
      <c r="IG75" s="305"/>
      <c r="IH75" s="305"/>
      <c r="II75" s="305"/>
      <c r="IJ75" s="305"/>
      <c r="IK75" s="305"/>
      <c r="IL75" s="305"/>
      <c r="IM75" s="305"/>
      <c r="IN75" s="305"/>
      <c r="IO75" s="305"/>
      <c r="IP75" s="305"/>
      <c r="IQ75" s="305"/>
      <c r="IR75" s="305"/>
      <c r="IS75" s="305"/>
      <c r="IT75" s="305"/>
      <c r="IU75" s="305"/>
      <c r="IV75" s="305"/>
      <c r="IW75" s="305"/>
    </row>
    <row r="76" customFormat="false" ht="12.75" hidden="false" customHeight="false" outlineLevel="0" collapsed="false">
      <c r="A76" s="301"/>
      <c r="B76" s="368"/>
      <c r="C76" s="368"/>
      <c r="D76" s="369"/>
      <c r="E76" s="369"/>
      <c r="F76" s="369"/>
      <c r="G76" s="369"/>
      <c r="H76" s="369"/>
      <c r="I76" s="369"/>
      <c r="J76" s="369"/>
      <c r="K76" s="369"/>
      <c r="L76" s="369"/>
      <c r="M76" s="369"/>
      <c r="N76" s="369"/>
      <c r="O76" s="369"/>
      <c r="P76" s="369"/>
      <c r="Q76" s="369"/>
      <c r="R76" s="369"/>
      <c r="S76" s="369"/>
      <c r="T76" s="369"/>
      <c r="U76" s="369"/>
      <c r="V76" s="369"/>
      <c r="W76" s="369"/>
      <c r="X76" s="353"/>
      <c r="Y76" s="353"/>
      <c r="Z76" s="351"/>
      <c r="AA76" s="358"/>
      <c r="AB76" s="358"/>
      <c r="AC76" s="358"/>
      <c r="AD76" s="358"/>
      <c r="AE76" s="358"/>
      <c r="AF76" s="358"/>
      <c r="AG76" s="358"/>
      <c r="AH76" s="358"/>
      <c r="AI76" s="358"/>
      <c r="AJ76" s="358"/>
      <c r="AK76" s="358"/>
      <c r="AL76" s="358"/>
      <c r="AM76" s="358"/>
      <c r="AN76" s="358"/>
      <c r="AO76" s="358"/>
      <c r="AP76" s="358"/>
      <c r="AQ76" s="358"/>
      <c r="AR76" s="358"/>
      <c r="AS76" s="358"/>
      <c r="AT76" s="305"/>
      <c r="AU76" s="305"/>
      <c r="AV76" s="305"/>
      <c r="AW76" s="305"/>
      <c r="AX76" s="305"/>
      <c r="AY76" s="305"/>
      <c r="AZ76" s="305"/>
      <c r="BA76" s="305"/>
      <c r="BB76" s="305"/>
      <c r="BC76" s="305"/>
      <c r="BD76" s="305"/>
      <c r="BE76" s="305"/>
      <c r="BF76" s="305"/>
      <c r="BG76" s="305"/>
      <c r="BH76" s="305"/>
      <c r="BI76" s="305"/>
      <c r="BJ76" s="305"/>
      <c r="BK76" s="305"/>
      <c r="BL76" s="305"/>
      <c r="BM76" s="305"/>
      <c r="BN76" s="305"/>
      <c r="BO76" s="305"/>
      <c r="BP76" s="305"/>
      <c r="BQ76" s="305"/>
      <c r="BR76" s="305"/>
      <c r="BS76" s="305"/>
      <c r="BT76" s="305"/>
      <c r="BU76" s="305"/>
      <c r="BV76" s="305"/>
      <c r="BW76" s="305"/>
      <c r="BX76" s="305"/>
      <c r="BY76" s="305"/>
      <c r="BZ76" s="305"/>
      <c r="CA76" s="305"/>
      <c r="CB76" s="305"/>
      <c r="CC76" s="305"/>
      <c r="CD76" s="305"/>
      <c r="CE76" s="305"/>
      <c r="CF76" s="305"/>
      <c r="CG76" s="305"/>
      <c r="CH76" s="305"/>
      <c r="CI76" s="305"/>
      <c r="CJ76" s="305"/>
      <c r="CK76" s="305"/>
      <c r="CL76" s="305"/>
      <c r="CM76" s="305"/>
      <c r="CN76" s="305"/>
      <c r="CO76" s="305"/>
      <c r="CP76" s="305"/>
      <c r="CQ76" s="305"/>
      <c r="CR76" s="305"/>
      <c r="CS76" s="305"/>
      <c r="CT76" s="305"/>
      <c r="CU76" s="305"/>
      <c r="CV76" s="305"/>
      <c r="CW76" s="305"/>
      <c r="CX76" s="305"/>
      <c r="CY76" s="305"/>
      <c r="CZ76" s="305"/>
      <c r="DA76" s="305"/>
      <c r="DB76" s="305"/>
      <c r="DC76" s="305"/>
      <c r="DD76" s="305"/>
      <c r="DE76" s="305"/>
      <c r="DF76" s="305"/>
      <c r="DG76" s="305"/>
      <c r="DH76" s="305"/>
      <c r="DI76" s="305"/>
      <c r="DJ76" s="305"/>
      <c r="DK76" s="305"/>
      <c r="DL76" s="305"/>
      <c r="DM76" s="305"/>
      <c r="DN76" s="305"/>
      <c r="DO76" s="305"/>
      <c r="DP76" s="305"/>
      <c r="DQ76" s="305"/>
      <c r="DR76" s="305"/>
      <c r="DS76" s="305"/>
      <c r="DT76" s="305"/>
      <c r="DU76" s="305"/>
      <c r="DV76" s="305"/>
      <c r="DW76" s="305"/>
      <c r="DX76" s="305"/>
      <c r="DY76" s="305"/>
      <c r="DZ76" s="305"/>
      <c r="EA76" s="305"/>
      <c r="EB76" s="305"/>
      <c r="EC76" s="305"/>
      <c r="ED76" s="305"/>
      <c r="EE76" s="305"/>
      <c r="EF76" s="305"/>
      <c r="EG76" s="305"/>
      <c r="EH76" s="305"/>
      <c r="EI76" s="305"/>
      <c r="EJ76" s="305"/>
      <c r="EK76" s="305"/>
      <c r="EL76" s="305"/>
      <c r="EM76" s="305"/>
      <c r="EN76" s="305"/>
      <c r="EO76" s="305"/>
      <c r="EP76" s="305"/>
      <c r="EQ76" s="305"/>
      <c r="ER76" s="305"/>
      <c r="ES76" s="305"/>
      <c r="ET76" s="305"/>
      <c r="EU76" s="305"/>
      <c r="EV76" s="305"/>
      <c r="EW76" s="305"/>
      <c r="EX76" s="305"/>
      <c r="EY76" s="305"/>
      <c r="EZ76" s="305"/>
      <c r="FA76" s="305"/>
      <c r="FB76" s="305"/>
      <c r="FC76" s="305"/>
      <c r="FD76" s="305"/>
      <c r="FE76" s="305"/>
      <c r="FF76" s="305"/>
      <c r="FG76" s="305"/>
      <c r="FH76" s="305"/>
      <c r="FI76" s="305"/>
      <c r="FJ76" s="305"/>
      <c r="FK76" s="305"/>
      <c r="FL76" s="305"/>
      <c r="FM76" s="305"/>
      <c r="FN76" s="305"/>
      <c r="FO76" s="305"/>
      <c r="FP76" s="305"/>
      <c r="FQ76" s="305"/>
      <c r="FR76" s="305"/>
      <c r="FS76" s="305"/>
      <c r="FT76" s="305"/>
      <c r="FU76" s="305"/>
      <c r="FV76" s="305"/>
      <c r="FW76" s="305"/>
      <c r="FX76" s="305"/>
      <c r="FY76" s="305"/>
      <c r="FZ76" s="305"/>
      <c r="GA76" s="305"/>
      <c r="GB76" s="305"/>
      <c r="GC76" s="305"/>
      <c r="GD76" s="305"/>
      <c r="GE76" s="305"/>
      <c r="GF76" s="305"/>
      <c r="GG76" s="305"/>
      <c r="GH76" s="305"/>
      <c r="GI76" s="305"/>
      <c r="GJ76" s="305"/>
      <c r="GK76" s="305"/>
      <c r="GL76" s="305"/>
      <c r="GM76" s="305"/>
      <c r="GN76" s="305"/>
      <c r="GO76" s="305"/>
      <c r="GP76" s="305"/>
      <c r="GQ76" s="305"/>
      <c r="GR76" s="305"/>
      <c r="GS76" s="305"/>
      <c r="GT76" s="305"/>
      <c r="GU76" s="305"/>
      <c r="GV76" s="305"/>
      <c r="GW76" s="305"/>
      <c r="GX76" s="305"/>
      <c r="GY76" s="305"/>
      <c r="GZ76" s="305"/>
      <c r="HA76" s="305"/>
      <c r="HB76" s="305"/>
      <c r="HC76" s="305"/>
      <c r="HD76" s="305"/>
      <c r="HE76" s="305"/>
      <c r="HF76" s="305"/>
      <c r="HG76" s="305"/>
      <c r="HH76" s="305"/>
      <c r="HI76" s="305"/>
      <c r="HJ76" s="305"/>
      <c r="HK76" s="305"/>
      <c r="HL76" s="305"/>
      <c r="HM76" s="305"/>
      <c r="HN76" s="305"/>
      <c r="HO76" s="305"/>
      <c r="HP76" s="305"/>
      <c r="HQ76" s="305"/>
      <c r="HR76" s="305"/>
      <c r="HS76" s="305"/>
      <c r="HT76" s="305"/>
      <c r="HU76" s="305"/>
      <c r="HV76" s="305"/>
      <c r="HW76" s="305"/>
      <c r="HX76" s="305"/>
      <c r="HY76" s="305"/>
      <c r="HZ76" s="305"/>
      <c r="IA76" s="305"/>
      <c r="IB76" s="305"/>
      <c r="IC76" s="305"/>
      <c r="ID76" s="305"/>
      <c r="IE76" s="305"/>
      <c r="IF76" s="305"/>
      <c r="IG76" s="305"/>
      <c r="IH76" s="305"/>
      <c r="II76" s="305"/>
      <c r="IJ76" s="305"/>
      <c r="IK76" s="305"/>
      <c r="IL76" s="305"/>
      <c r="IM76" s="305"/>
      <c r="IN76" s="305"/>
      <c r="IO76" s="305"/>
      <c r="IP76" s="305"/>
      <c r="IQ76" s="305"/>
      <c r="IR76" s="305"/>
      <c r="IS76" s="305"/>
      <c r="IT76" s="305"/>
      <c r="IU76" s="305"/>
      <c r="IV76" s="305"/>
      <c r="IW76" s="305"/>
    </row>
    <row r="77" customFormat="false" ht="12.75" hidden="false" customHeight="false" outlineLevel="0" collapsed="false">
      <c r="A77" s="24" t="s">
        <v>183</v>
      </c>
      <c r="B77" s="172" t="n">
        <f aca="false">B33</f>
        <v>14142.3863791674</v>
      </c>
      <c r="C77" s="172" t="n">
        <f aca="false">C33</f>
        <v>16140.1095071402</v>
      </c>
      <c r="D77" s="172" t="n">
        <f aca="false">D33</f>
        <v>18172.9750329187</v>
      </c>
      <c r="E77" s="172" t="n">
        <f aca="false">E33</f>
        <v>20311.4411906359</v>
      </c>
      <c r="F77" s="172" t="n">
        <f aca="false">F33</f>
        <v>22805.062427398</v>
      </c>
      <c r="G77" s="172" t="n">
        <f aca="false">G33</f>
        <v>24044.0404976983</v>
      </c>
      <c r="H77" s="172" t="n">
        <f aca="false">H33</f>
        <v>25349.7374274966</v>
      </c>
      <c r="I77" s="172" t="n">
        <f aca="false">I33</f>
        <v>26668.7282583685</v>
      </c>
      <c r="J77" s="172" t="n">
        <f aca="false">J33</f>
        <v>28129.8928232444</v>
      </c>
      <c r="K77" s="172" t="n">
        <f aca="false">K33</f>
        <v>29635.4311868461</v>
      </c>
      <c r="L77" s="172" t="n">
        <f aca="false">L33</f>
        <v>31459.397225419</v>
      </c>
      <c r="M77" s="172" t="n">
        <f aca="false">M33</f>
        <v>33778.2574202365</v>
      </c>
      <c r="N77" s="172" t="n">
        <f aca="false">N33</f>
        <v>36179.7548392686</v>
      </c>
      <c r="O77" s="172" t="n">
        <f aca="false">O33</f>
        <v>38569.8861858505</v>
      </c>
      <c r="P77" s="172" t="n">
        <f aca="false">P33</f>
        <v>40996.8191818069</v>
      </c>
      <c r="Q77" s="172" t="n">
        <f aca="false">Q33</f>
        <v>43222.3915294513</v>
      </c>
      <c r="R77" s="172" t="n">
        <f aca="false">R33</f>
        <v>45542.3359579265</v>
      </c>
      <c r="S77" s="172" t="n">
        <f aca="false">S33</f>
        <v>47791.6974591708</v>
      </c>
      <c r="T77" s="172" t="n">
        <f aca="false">T33</f>
        <v>49859.0112087539</v>
      </c>
      <c r="U77" s="172" t="n">
        <f aca="false">U33</f>
        <v>51935.6241336567</v>
      </c>
      <c r="W77" s="335" t="n">
        <f aca="false">SUM(B77:U77)</f>
        <v>644734.979872455</v>
      </c>
      <c r="X77" s="354"/>
      <c r="Y77" s="354"/>
      <c r="Z77" s="358"/>
      <c r="AA77" s="358"/>
      <c r="AB77" s="358"/>
      <c r="AC77" s="358"/>
      <c r="AD77" s="358"/>
      <c r="AE77" s="358"/>
      <c r="AF77" s="358"/>
      <c r="AG77" s="358"/>
      <c r="AH77" s="358"/>
      <c r="AI77" s="358"/>
      <c r="AJ77" s="358"/>
      <c r="AK77" s="358"/>
      <c r="AL77" s="358"/>
      <c r="AM77" s="358"/>
      <c r="AN77" s="358"/>
      <c r="AO77" s="358"/>
      <c r="AP77" s="358"/>
      <c r="AQ77" s="358"/>
      <c r="AR77" s="358"/>
      <c r="AS77" s="358"/>
      <c r="AT77" s="351"/>
      <c r="AU77" s="351"/>
      <c r="AV77" s="351"/>
      <c r="AW77" s="351"/>
      <c r="AX77" s="351"/>
      <c r="AY77" s="351"/>
      <c r="AZ77" s="351"/>
      <c r="BA77" s="351"/>
      <c r="BB77" s="351"/>
      <c r="BC77" s="351"/>
      <c r="BD77" s="351"/>
      <c r="BE77" s="351"/>
      <c r="BF77" s="351"/>
      <c r="BG77" s="351"/>
      <c r="BH77" s="351"/>
      <c r="BI77" s="351"/>
      <c r="BJ77" s="351"/>
      <c r="BK77" s="351"/>
      <c r="BL77" s="351"/>
      <c r="BM77" s="351"/>
      <c r="BN77" s="351"/>
      <c r="BO77" s="351"/>
      <c r="BP77" s="351"/>
      <c r="BQ77" s="351"/>
      <c r="BR77" s="351"/>
      <c r="BS77" s="351"/>
      <c r="BT77" s="351"/>
      <c r="BU77" s="351"/>
      <c r="BV77" s="351"/>
      <c r="BW77" s="351"/>
      <c r="BX77" s="351"/>
      <c r="BY77" s="351"/>
      <c r="BZ77" s="351"/>
      <c r="CA77" s="351"/>
      <c r="CB77" s="351"/>
      <c r="CC77" s="351"/>
      <c r="CD77" s="351"/>
      <c r="CE77" s="351"/>
      <c r="CF77" s="351"/>
      <c r="CG77" s="351"/>
      <c r="CH77" s="351"/>
      <c r="CI77" s="351"/>
      <c r="CJ77" s="351"/>
      <c r="CK77" s="351"/>
      <c r="CL77" s="351"/>
      <c r="CM77" s="351"/>
      <c r="CN77" s="351"/>
      <c r="CO77" s="351"/>
      <c r="CP77" s="351"/>
      <c r="CQ77" s="351"/>
      <c r="CR77" s="351"/>
      <c r="CS77" s="351"/>
      <c r="CT77" s="351"/>
      <c r="CU77" s="351"/>
      <c r="CV77" s="351"/>
      <c r="CW77" s="351"/>
      <c r="CX77" s="351"/>
      <c r="CY77" s="351"/>
      <c r="CZ77" s="351"/>
      <c r="DA77" s="351"/>
      <c r="DB77" s="351"/>
      <c r="DC77" s="351"/>
      <c r="DD77" s="351"/>
      <c r="DE77" s="351"/>
      <c r="DF77" s="351"/>
      <c r="DG77" s="351"/>
      <c r="DH77" s="351"/>
      <c r="DI77" s="351"/>
      <c r="DJ77" s="351"/>
      <c r="DK77" s="351"/>
      <c r="DL77" s="351"/>
      <c r="DM77" s="351"/>
      <c r="DN77" s="351"/>
      <c r="DO77" s="351"/>
      <c r="DP77" s="351"/>
      <c r="DQ77" s="351"/>
      <c r="DR77" s="351"/>
      <c r="DS77" s="351"/>
      <c r="DT77" s="351"/>
      <c r="DU77" s="351"/>
      <c r="DV77" s="351"/>
      <c r="DW77" s="351"/>
      <c r="DX77" s="351"/>
      <c r="DY77" s="351"/>
      <c r="DZ77" s="351"/>
      <c r="EA77" s="351"/>
      <c r="EB77" s="351"/>
      <c r="EC77" s="351"/>
      <c r="ED77" s="351"/>
      <c r="EE77" s="351"/>
      <c r="EF77" s="351"/>
      <c r="EG77" s="351"/>
      <c r="EH77" s="351"/>
      <c r="EI77" s="351"/>
      <c r="EJ77" s="351"/>
      <c r="EK77" s="351"/>
      <c r="EL77" s="351"/>
      <c r="EM77" s="351"/>
      <c r="EN77" s="351"/>
      <c r="EO77" s="351"/>
      <c r="EP77" s="351"/>
      <c r="EQ77" s="351"/>
      <c r="ER77" s="351"/>
      <c r="ES77" s="351"/>
      <c r="ET77" s="351"/>
      <c r="EU77" s="351"/>
      <c r="EV77" s="351"/>
      <c r="EW77" s="351"/>
      <c r="EX77" s="351"/>
      <c r="EY77" s="351"/>
      <c r="EZ77" s="351"/>
      <c r="FA77" s="351"/>
      <c r="FB77" s="351"/>
      <c r="FC77" s="351"/>
      <c r="FD77" s="351"/>
      <c r="FE77" s="351"/>
      <c r="FF77" s="351"/>
      <c r="FG77" s="351"/>
      <c r="FH77" s="351"/>
      <c r="FI77" s="351"/>
      <c r="FJ77" s="351"/>
      <c r="FK77" s="351"/>
      <c r="FL77" s="351"/>
      <c r="FM77" s="351"/>
      <c r="FN77" s="351"/>
      <c r="FO77" s="351"/>
      <c r="FP77" s="351"/>
      <c r="FQ77" s="351"/>
      <c r="FR77" s="351"/>
      <c r="FS77" s="351"/>
      <c r="FT77" s="351"/>
      <c r="FU77" s="351"/>
      <c r="FV77" s="351"/>
      <c r="FW77" s="351"/>
      <c r="FX77" s="351"/>
      <c r="FY77" s="351"/>
      <c r="FZ77" s="351"/>
      <c r="GA77" s="351"/>
      <c r="GB77" s="351"/>
      <c r="GC77" s="351"/>
      <c r="GD77" s="351"/>
      <c r="GE77" s="351"/>
      <c r="GF77" s="351"/>
      <c r="GG77" s="351"/>
      <c r="GH77" s="351"/>
      <c r="GI77" s="351"/>
      <c r="GJ77" s="351"/>
      <c r="GK77" s="351"/>
      <c r="GL77" s="351"/>
      <c r="GM77" s="351"/>
      <c r="GN77" s="351"/>
      <c r="GO77" s="351"/>
      <c r="GP77" s="351"/>
      <c r="GQ77" s="351"/>
      <c r="GR77" s="351"/>
      <c r="GS77" s="351"/>
      <c r="GT77" s="351"/>
      <c r="GU77" s="351"/>
      <c r="GV77" s="351"/>
      <c r="GW77" s="351"/>
      <c r="GX77" s="351"/>
      <c r="GY77" s="351"/>
      <c r="GZ77" s="351"/>
      <c r="HA77" s="351"/>
      <c r="HB77" s="351"/>
      <c r="HC77" s="351"/>
      <c r="HD77" s="351"/>
      <c r="HE77" s="351"/>
      <c r="HF77" s="351"/>
      <c r="HG77" s="351"/>
      <c r="HH77" s="351"/>
      <c r="HI77" s="351"/>
      <c r="HJ77" s="351"/>
      <c r="HK77" s="351"/>
      <c r="HL77" s="351"/>
      <c r="HM77" s="351"/>
      <c r="HN77" s="351"/>
      <c r="HO77" s="351"/>
      <c r="HP77" s="351"/>
      <c r="HQ77" s="351"/>
      <c r="HR77" s="351"/>
      <c r="HS77" s="351"/>
      <c r="HT77" s="351"/>
      <c r="HU77" s="351"/>
      <c r="HV77" s="351"/>
      <c r="HW77" s="351"/>
      <c r="HX77" s="351"/>
      <c r="HY77" s="351"/>
      <c r="HZ77" s="351"/>
      <c r="IA77" s="351"/>
      <c r="IB77" s="351"/>
      <c r="IC77" s="351"/>
      <c r="ID77" s="351"/>
      <c r="IE77" s="351"/>
      <c r="IF77" s="351"/>
      <c r="IG77" s="351"/>
      <c r="IH77" s="351"/>
      <c r="II77" s="351"/>
      <c r="IJ77" s="351"/>
      <c r="IK77" s="351"/>
      <c r="IL77" s="351"/>
      <c r="IM77" s="351"/>
      <c r="IN77" s="351"/>
      <c r="IO77" s="351"/>
      <c r="IP77" s="351"/>
      <c r="IQ77" s="351"/>
      <c r="IR77" s="351"/>
      <c r="IS77" s="351"/>
      <c r="IT77" s="351"/>
      <c r="IU77" s="351"/>
      <c r="IV77" s="351"/>
      <c r="IW77" s="351"/>
    </row>
    <row r="78" customFormat="false" ht="12.75" hidden="false" customHeight="false" outlineLevel="0" collapsed="false">
      <c r="A78" s="24" t="s">
        <v>184</v>
      </c>
      <c r="B78" s="172" t="n">
        <f aca="false">B27</f>
        <v>10462.861280734</v>
      </c>
      <c r="C78" s="172" t="n">
        <f aca="false">C27</f>
        <v>10462.861280734</v>
      </c>
      <c r="D78" s="172" t="n">
        <f aca="false">D27</f>
        <v>10462.861280734</v>
      </c>
      <c r="E78" s="172" t="n">
        <f aca="false">E27</f>
        <v>10462.861280734</v>
      </c>
      <c r="F78" s="172" t="n">
        <f aca="false">F27</f>
        <v>10462.861280734</v>
      </c>
      <c r="G78" s="172" t="n">
        <f aca="false">G27</f>
        <v>10462.861280734</v>
      </c>
      <c r="H78" s="172" t="n">
        <f aca="false">H27</f>
        <v>10462.861280734</v>
      </c>
      <c r="I78" s="172" t="n">
        <f aca="false">I27</f>
        <v>10462.861280734</v>
      </c>
      <c r="J78" s="172" t="n">
        <f aca="false">J27</f>
        <v>10462.861280734</v>
      </c>
      <c r="K78" s="172" t="n">
        <f aca="false">K27</f>
        <v>10462.861280734</v>
      </c>
      <c r="L78" s="172" t="n">
        <f aca="false">L27</f>
        <v>10462.861280734</v>
      </c>
      <c r="M78" s="172" t="n">
        <f aca="false">M27</f>
        <v>10462.861280734</v>
      </c>
      <c r="N78" s="172" t="n">
        <f aca="false">N27</f>
        <v>10462.861280734</v>
      </c>
      <c r="O78" s="172" t="n">
        <f aca="false">O27</f>
        <v>10462.861280734</v>
      </c>
      <c r="P78" s="172" t="n">
        <f aca="false">P27</f>
        <v>10462.861280734</v>
      </c>
      <c r="Q78" s="172" t="n">
        <f aca="false">Q27</f>
        <v>10462.861280734</v>
      </c>
      <c r="R78" s="172" t="n">
        <f aca="false">R27</f>
        <v>10462.861280734</v>
      </c>
      <c r="S78" s="172" t="n">
        <f aca="false">S27</f>
        <v>10462.861280734</v>
      </c>
      <c r="T78" s="172" t="n">
        <f aca="false">T27</f>
        <v>10462.861280734</v>
      </c>
      <c r="U78" s="172" t="n">
        <f aca="false">U27</f>
        <v>10462.861280734</v>
      </c>
      <c r="W78" s="335" t="n">
        <f aca="false">SUM(B78:U78)</f>
        <v>209257.225614681</v>
      </c>
      <c r="X78" s="355"/>
      <c r="Y78" s="355"/>
      <c r="Z78" s="358"/>
      <c r="AA78" s="358"/>
      <c r="AB78" s="358"/>
      <c r="AC78" s="358"/>
      <c r="AD78" s="358"/>
      <c r="AE78" s="358"/>
      <c r="AF78" s="358"/>
      <c r="AG78" s="358"/>
      <c r="AH78" s="358"/>
      <c r="AI78" s="358"/>
      <c r="AJ78" s="358"/>
      <c r="AK78" s="358"/>
      <c r="AL78" s="358"/>
      <c r="AM78" s="358"/>
      <c r="AN78" s="358"/>
      <c r="AO78" s="358"/>
      <c r="AP78" s="358"/>
      <c r="AQ78" s="358"/>
      <c r="AR78" s="358"/>
      <c r="AS78" s="358"/>
      <c r="AT78" s="351"/>
      <c r="AU78" s="351"/>
      <c r="AV78" s="351"/>
      <c r="AW78" s="351"/>
      <c r="AX78" s="351"/>
      <c r="AY78" s="351"/>
      <c r="AZ78" s="351"/>
      <c r="BA78" s="351"/>
      <c r="BB78" s="351"/>
      <c r="BC78" s="351"/>
      <c r="BD78" s="351"/>
      <c r="BE78" s="351"/>
      <c r="BF78" s="351"/>
      <c r="BG78" s="351"/>
      <c r="BH78" s="351"/>
      <c r="BI78" s="351"/>
      <c r="BJ78" s="351"/>
      <c r="BK78" s="351"/>
      <c r="BL78" s="351"/>
      <c r="BM78" s="351"/>
      <c r="BN78" s="351"/>
      <c r="BO78" s="351"/>
      <c r="BP78" s="351"/>
      <c r="BQ78" s="351"/>
      <c r="BR78" s="351"/>
      <c r="BS78" s="351"/>
      <c r="BT78" s="351"/>
      <c r="BU78" s="351"/>
      <c r="BV78" s="351"/>
      <c r="BW78" s="351"/>
      <c r="BX78" s="351"/>
      <c r="BY78" s="351"/>
      <c r="BZ78" s="351"/>
      <c r="CA78" s="351"/>
      <c r="CB78" s="351"/>
      <c r="CC78" s="351"/>
      <c r="CD78" s="351"/>
      <c r="CE78" s="351"/>
      <c r="CF78" s="351"/>
      <c r="CG78" s="351"/>
      <c r="CH78" s="351"/>
      <c r="CI78" s="351"/>
      <c r="CJ78" s="351"/>
      <c r="CK78" s="351"/>
      <c r="CL78" s="351"/>
      <c r="CM78" s="351"/>
      <c r="CN78" s="351"/>
      <c r="CO78" s="351"/>
      <c r="CP78" s="351"/>
      <c r="CQ78" s="351"/>
      <c r="CR78" s="351"/>
      <c r="CS78" s="351"/>
      <c r="CT78" s="351"/>
      <c r="CU78" s="351"/>
      <c r="CV78" s="351"/>
      <c r="CW78" s="351"/>
      <c r="CX78" s="351"/>
      <c r="CY78" s="351"/>
      <c r="CZ78" s="351"/>
      <c r="DA78" s="351"/>
      <c r="DB78" s="351"/>
      <c r="DC78" s="351"/>
      <c r="DD78" s="351"/>
      <c r="DE78" s="351"/>
      <c r="DF78" s="351"/>
      <c r="DG78" s="351"/>
      <c r="DH78" s="351"/>
      <c r="DI78" s="351"/>
      <c r="DJ78" s="351"/>
      <c r="DK78" s="351"/>
      <c r="DL78" s="351"/>
      <c r="DM78" s="351"/>
      <c r="DN78" s="351"/>
      <c r="DO78" s="351"/>
      <c r="DP78" s="351"/>
      <c r="DQ78" s="351"/>
      <c r="DR78" s="351"/>
      <c r="DS78" s="351"/>
      <c r="DT78" s="351"/>
      <c r="DU78" s="351"/>
      <c r="DV78" s="351"/>
      <c r="DW78" s="351"/>
      <c r="DX78" s="351"/>
      <c r="DY78" s="351"/>
      <c r="DZ78" s="351"/>
      <c r="EA78" s="351"/>
      <c r="EB78" s="351"/>
      <c r="EC78" s="351"/>
      <c r="ED78" s="351"/>
      <c r="EE78" s="351"/>
      <c r="EF78" s="351"/>
      <c r="EG78" s="351"/>
      <c r="EH78" s="351"/>
      <c r="EI78" s="351"/>
      <c r="EJ78" s="351"/>
      <c r="EK78" s="351"/>
      <c r="EL78" s="351"/>
      <c r="EM78" s="351"/>
      <c r="EN78" s="351"/>
      <c r="EO78" s="351"/>
      <c r="EP78" s="351"/>
      <c r="EQ78" s="351"/>
      <c r="ER78" s="351"/>
      <c r="ES78" s="351"/>
      <c r="ET78" s="351"/>
      <c r="EU78" s="351"/>
      <c r="EV78" s="351"/>
      <c r="EW78" s="351"/>
      <c r="EX78" s="351"/>
      <c r="EY78" s="351"/>
      <c r="EZ78" s="351"/>
      <c r="FA78" s="351"/>
      <c r="FB78" s="351"/>
      <c r="FC78" s="351"/>
      <c r="FD78" s="351"/>
      <c r="FE78" s="351"/>
      <c r="FF78" s="351"/>
      <c r="FG78" s="351"/>
      <c r="FH78" s="351"/>
      <c r="FI78" s="351"/>
      <c r="FJ78" s="351"/>
      <c r="FK78" s="351"/>
      <c r="FL78" s="351"/>
      <c r="FM78" s="351"/>
      <c r="FN78" s="351"/>
      <c r="FO78" s="351"/>
      <c r="FP78" s="351"/>
      <c r="FQ78" s="351"/>
      <c r="FR78" s="351"/>
      <c r="FS78" s="351"/>
      <c r="FT78" s="351"/>
      <c r="FU78" s="351"/>
      <c r="FV78" s="351"/>
      <c r="FW78" s="351"/>
      <c r="FX78" s="351"/>
      <c r="FY78" s="351"/>
      <c r="FZ78" s="351"/>
      <c r="GA78" s="351"/>
      <c r="GB78" s="351"/>
      <c r="GC78" s="351"/>
      <c r="GD78" s="351"/>
      <c r="GE78" s="351"/>
      <c r="GF78" s="351"/>
      <c r="GG78" s="351"/>
      <c r="GH78" s="351"/>
      <c r="GI78" s="351"/>
      <c r="GJ78" s="351"/>
      <c r="GK78" s="351"/>
      <c r="GL78" s="351"/>
      <c r="GM78" s="351"/>
      <c r="GN78" s="351"/>
      <c r="GO78" s="351"/>
      <c r="GP78" s="351"/>
      <c r="GQ78" s="351"/>
      <c r="GR78" s="351"/>
      <c r="GS78" s="351"/>
      <c r="GT78" s="351"/>
      <c r="GU78" s="351"/>
      <c r="GV78" s="351"/>
      <c r="GW78" s="351"/>
      <c r="GX78" s="351"/>
      <c r="GY78" s="351"/>
      <c r="GZ78" s="351"/>
      <c r="HA78" s="351"/>
      <c r="HB78" s="351"/>
      <c r="HC78" s="351"/>
      <c r="HD78" s="351"/>
      <c r="HE78" s="351"/>
      <c r="HF78" s="351"/>
      <c r="HG78" s="351"/>
      <c r="HH78" s="351"/>
      <c r="HI78" s="351"/>
      <c r="HJ78" s="351"/>
      <c r="HK78" s="351"/>
      <c r="HL78" s="351"/>
      <c r="HM78" s="351"/>
      <c r="HN78" s="351"/>
      <c r="HO78" s="351"/>
      <c r="HP78" s="351"/>
      <c r="HQ78" s="351"/>
      <c r="HR78" s="351"/>
      <c r="HS78" s="351"/>
      <c r="HT78" s="351"/>
      <c r="HU78" s="351"/>
      <c r="HV78" s="351"/>
      <c r="HW78" s="351"/>
      <c r="HX78" s="351"/>
      <c r="HY78" s="351"/>
      <c r="HZ78" s="351"/>
      <c r="IA78" s="351"/>
      <c r="IB78" s="351"/>
      <c r="IC78" s="351"/>
      <c r="ID78" s="351"/>
      <c r="IE78" s="351"/>
      <c r="IF78" s="351"/>
      <c r="IG78" s="351"/>
      <c r="IH78" s="351"/>
      <c r="II78" s="351"/>
      <c r="IJ78" s="351"/>
      <c r="IK78" s="351"/>
      <c r="IL78" s="351"/>
      <c r="IM78" s="351"/>
      <c r="IN78" s="351"/>
      <c r="IO78" s="351"/>
      <c r="IP78" s="351"/>
      <c r="IQ78" s="351"/>
      <c r="IR78" s="351"/>
      <c r="IS78" s="351"/>
      <c r="IT78" s="351"/>
      <c r="IU78" s="351"/>
      <c r="IV78" s="351"/>
      <c r="IW78" s="351"/>
    </row>
    <row r="79" customFormat="false" ht="15" hidden="false" customHeight="false" outlineLevel="0" collapsed="false">
      <c r="A79" s="24" t="s">
        <v>213</v>
      </c>
      <c r="B79" s="197" t="n">
        <f aca="false">-Depreciation!C57</f>
        <v>-17438.1021345567</v>
      </c>
      <c r="C79" s="197" t="n">
        <f aca="false">-Depreciation!D57</f>
        <v>-33132.3940556578</v>
      </c>
      <c r="D79" s="197" t="n">
        <f aca="false">-Depreciation!E57</f>
        <v>-29819.154650092</v>
      </c>
      <c r="E79" s="197" t="n">
        <f aca="false">-Depreciation!F57</f>
        <v>-26854.6772872174</v>
      </c>
      <c r="F79" s="197" t="n">
        <f aca="false">-Depreciation!G57</f>
        <v>-24169.2095584956</v>
      </c>
      <c r="G79" s="197" t="n">
        <f aca="false">-Depreciation!H57</f>
        <v>-21727.8752596577</v>
      </c>
      <c r="H79" s="197" t="n">
        <f aca="false">-Depreciation!I57</f>
        <v>-20576.9605187769</v>
      </c>
      <c r="I79" s="197" t="n">
        <f aca="false">-Depreciation!J57</f>
        <v>-20611.8367230461</v>
      </c>
      <c r="J79" s="197" t="n">
        <f aca="false">-Depreciation!K57</f>
        <v>-20576.9605187769</v>
      </c>
      <c r="K79" s="197" t="n">
        <f aca="false">-Depreciation!L57</f>
        <v>-20611.8367230461</v>
      </c>
      <c r="L79" s="197" t="n">
        <f aca="false">-Depreciation!M57</f>
        <v>-20576.9605187769</v>
      </c>
      <c r="M79" s="197" t="n">
        <f aca="false">-Depreciation!N57</f>
        <v>-20611.8367230461</v>
      </c>
      <c r="N79" s="197" t="n">
        <f aca="false">-Depreciation!O57</f>
        <v>-20576.9605187769</v>
      </c>
      <c r="O79" s="197" t="n">
        <f aca="false">-Depreciation!P57</f>
        <v>-20611.8367230461</v>
      </c>
      <c r="P79" s="197" t="n">
        <f aca="false">-Depreciation!Q57</f>
        <v>-20576.9605187769</v>
      </c>
      <c r="Q79" s="197" t="n">
        <f aca="false">-Depreciation!R57</f>
        <v>-10288.4802593885</v>
      </c>
      <c r="R79" s="197" t="n">
        <f aca="false">-Depreciation!S57</f>
        <v>-0</v>
      </c>
      <c r="S79" s="197" t="n">
        <f aca="false">-Depreciation!T57</f>
        <v>-0</v>
      </c>
      <c r="T79" s="197" t="n">
        <f aca="false">-Depreciation!U57</f>
        <v>-0</v>
      </c>
      <c r="U79" s="197" t="n">
        <f aca="false">-Depreciation!V57</f>
        <v>-0</v>
      </c>
      <c r="W79" s="343" t="n">
        <f aca="false">SUM(B79:U79)</f>
        <v>-348762.042691135</v>
      </c>
      <c r="X79" s="369"/>
      <c r="Y79" s="369"/>
      <c r="Z79" s="358"/>
      <c r="AA79" s="358"/>
      <c r="AB79" s="358"/>
      <c r="AC79" s="358"/>
      <c r="AD79" s="358"/>
      <c r="AE79" s="358"/>
      <c r="AF79" s="358"/>
      <c r="AG79" s="358"/>
      <c r="AH79" s="358"/>
      <c r="AI79" s="358"/>
      <c r="AJ79" s="358"/>
      <c r="AK79" s="358"/>
      <c r="AL79" s="358"/>
      <c r="AM79" s="358"/>
      <c r="AN79" s="358"/>
      <c r="AO79" s="358"/>
      <c r="AP79" s="358"/>
      <c r="AQ79" s="358"/>
      <c r="AR79" s="358"/>
      <c r="AS79" s="358"/>
      <c r="AT79" s="351"/>
      <c r="AU79" s="351"/>
      <c r="AV79" s="351"/>
      <c r="AW79" s="351"/>
      <c r="AX79" s="351"/>
      <c r="AY79" s="351"/>
      <c r="AZ79" s="351"/>
      <c r="BA79" s="351"/>
      <c r="BB79" s="351"/>
      <c r="BC79" s="351"/>
      <c r="BD79" s="351"/>
      <c r="BE79" s="351"/>
      <c r="BF79" s="351"/>
      <c r="BG79" s="351"/>
      <c r="BH79" s="351"/>
      <c r="BI79" s="351"/>
      <c r="BJ79" s="351"/>
      <c r="BK79" s="351"/>
      <c r="BL79" s="351"/>
      <c r="BM79" s="351"/>
      <c r="BN79" s="351"/>
      <c r="BO79" s="351"/>
      <c r="BP79" s="351"/>
      <c r="BQ79" s="351"/>
      <c r="BR79" s="351"/>
      <c r="BS79" s="351"/>
      <c r="BT79" s="351"/>
      <c r="BU79" s="351"/>
      <c r="BV79" s="351"/>
      <c r="BW79" s="351"/>
      <c r="BX79" s="351"/>
      <c r="BY79" s="351"/>
      <c r="BZ79" s="351"/>
      <c r="CA79" s="351"/>
      <c r="CB79" s="351"/>
      <c r="CC79" s="351"/>
      <c r="CD79" s="351"/>
      <c r="CE79" s="351"/>
      <c r="CF79" s="351"/>
      <c r="CG79" s="351"/>
      <c r="CH79" s="351"/>
      <c r="CI79" s="351"/>
      <c r="CJ79" s="351"/>
      <c r="CK79" s="351"/>
      <c r="CL79" s="351"/>
      <c r="CM79" s="351"/>
      <c r="CN79" s="351"/>
      <c r="CO79" s="351"/>
      <c r="CP79" s="351"/>
      <c r="CQ79" s="351"/>
      <c r="CR79" s="351"/>
      <c r="CS79" s="351"/>
      <c r="CT79" s="351"/>
      <c r="CU79" s="351"/>
      <c r="CV79" s="351"/>
      <c r="CW79" s="351"/>
      <c r="CX79" s="351"/>
      <c r="CY79" s="351"/>
      <c r="CZ79" s="351"/>
      <c r="DA79" s="351"/>
      <c r="DB79" s="351"/>
      <c r="DC79" s="351"/>
      <c r="DD79" s="351"/>
      <c r="DE79" s="351"/>
      <c r="DF79" s="351"/>
      <c r="DG79" s="351"/>
      <c r="DH79" s="351"/>
      <c r="DI79" s="351"/>
      <c r="DJ79" s="351"/>
      <c r="DK79" s="351"/>
      <c r="DL79" s="351"/>
      <c r="DM79" s="351"/>
      <c r="DN79" s="351"/>
      <c r="DO79" s="351"/>
      <c r="DP79" s="351"/>
      <c r="DQ79" s="351"/>
      <c r="DR79" s="351"/>
      <c r="DS79" s="351"/>
      <c r="DT79" s="351"/>
      <c r="DU79" s="351"/>
      <c r="DV79" s="351"/>
      <c r="DW79" s="351"/>
      <c r="DX79" s="351"/>
      <c r="DY79" s="351"/>
      <c r="DZ79" s="351"/>
      <c r="EA79" s="351"/>
      <c r="EB79" s="351"/>
      <c r="EC79" s="351"/>
      <c r="ED79" s="351"/>
      <c r="EE79" s="351"/>
      <c r="EF79" s="351"/>
      <c r="EG79" s="351"/>
      <c r="EH79" s="351"/>
      <c r="EI79" s="351"/>
      <c r="EJ79" s="351"/>
      <c r="EK79" s="351"/>
      <c r="EL79" s="351"/>
      <c r="EM79" s="351"/>
      <c r="EN79" s="351"/>
      <c r="EO79" s="351"/>
      <c r="EP79" s="351"/>
      <c r="EQ79" s="351"/>
      <c r="ER79" s="351"/>
      <c r="ES79" s="351"/>
      <c r="ET79" s="351"/>
      <c r="EU79" s="351"/>
      <c r="EV79" s="351"/>
      <c r="EW79" s="351"/>
      <c r="EX79" s="351"/>
      <c r="EY79" s="351"/>
      <c r="EZ79" s="351"/>
      <c r="FA79" s="351"/>
      <c r="FB79" s="351"/>
      <c r="FC79" s="351"/>
      <c r="FD79" s="351"/>
      <c r="FE79" s="351"/>
      <c r="FF79" s="351"/>
      <c r="FG79" s="351"/>
      <c r="FH79" s="351"/>
      <c r="FI79" s="351"/>
      <c r="FJ79" s="351"/>
      <c r="FK79" s="351"/>
      <c r="FL79" s="351"/>
      <c r="FM79" s="351"/>
      <c r="FN79" s="351"/>
      <c r="FO79" s="351"/>
      <c r="FP79" s="351"/>
      <c r="FQ79" s="351"/>
      <c r="FR79" s="351"/>
      <c r="FS79" s="351"/>
      <c r="FT79" s="351"/>
      <c r="FU79" s="351"/>
      <c r="FV79" s="351"/>
      <c r="FW79" s="351"/>
      <c r="FX79" s="351"/>
      <c r="FY79" s="351"/>
      <c r="FZ79" s="351"/>
      <c r="GA79" s="351"/>
      <c r="GB79" s="351"/>
      <c r="GC79" s="351"/>
      <c r="GD79" s="351"/>
      <c r="GE79" s="351"/>
      <c r="GF79" s="351"/>
      <c r="GG79" s="351"/>
      <c r="GH79" s="351"/>
      <c r="GI79" s="351"/>
      <c r="GJ79" s="351"/>
      <c r="GK79" s="351"/>
      <c r="GL79" s="351"/>
      <c r="GM79" s="351"/>
      <c r="GN79" s="351"/>
      <c r="GO79" s="351"/>
      <c r="GP79" s="351"/>
      <c r="GQ79" s="351"/>
      <c r="GR79" s="351"/>
      <c r="GS79" s="351"/>
      <c r="GT79" s="351"/>
      <c r="GU79" s="351"/>
      <c r="GV79" s="351"/>
      <c r="GW79" s="351"/>
      <c r="GX79" s="351"/>
      <c r="GY79" s="351"/>
      <c r="GZ79" s="351"/>
      <c r="HA79" s="351"/>
      <c r="HB79" s="351"/>
      <c r="HC79" s="351"/>
      <c r="HD79" s="351"/>
      <c r="HE79" s="351"/>
      <c r="HF79" s="351"/>
      <c r="HG79" s="351"/>
      <c r="HH79" s="351"/>
      <c r="HI79" s="351"/>
      <c r="HJ79" s="351"/>
      <c r="HK79" s="351"/>
      <c r="HL79" s="351"/>
      <c r="HM79" s="351"/>
      <c r="HN79" s="351"/>
      <c r="HO79" s="351"/>
      <c r="HP79" s="351"/>
      <c r="HQ79" s="351"/>
      <c r="HR79" s="351"/>
      <c r="HS79" s="351"/>
      <c r="HT79" s="351"/>
      <c r="HU79" s="351"/>
      <c r="HV79" s="351"/>
      <c r="HW79" s="351"/>
      <c r="HX79" s="351"/>
      <c r="HY79" s="351"/>
      <c r="HZ79" s="351"/>
      <c r="IA79" s="351"/>
      <c r="IB79" s="351"/>
      <c r="IC79" s="351"/>
      <c r="ID79" s="351"/>
      <c r="IE79" s="351"/>
      <c r="IF79" s="351"/>
      <c r="IG79" s="351"/>
      <c r="IH79" s="351"/>
      <c r="II79" s="351"/>
      <c r="IJ79" s="351"/>
      <c r="IK79" s="351"/>
      <c r="IL79" s="351"/>
      <c r="IM79" s="351"/>
      <c r="IN79" s="351"/>
      <c r="IO79" s="351"/>
      <c r="IP79" s="351"/>
      <c r="IQ79" s="351"/>
      <c r="IR79" s="351"/>
      <c r="IS79" s="351"/>
      <c r="IT79" s="351"/>
      <c r="IU79" s="351"/>
      <c r="IV79" s="351"/>
      <c r="IW79" s="351"/>
    </row>
    <row r="80" customFormat="false" ht="12.75" hidden="false" customHeight="false" outlineLevel="0" collapsed="false">
      <c r="A80" s="307" t="s">
        <v>214</v>
      </c>
      <c r="B80" s="172" t="n">
        <f aca="false">SUM(B77:B79)</f>
        <v>7167.14552534475</v>
      </c>
      <c r="C80" s="172" t="n">
        <f aca="false">SUM(C77:C79)</f>
        <v>-6529.42326778355</v>
      </c>
      <c r="D80" s="172" t="n">
        <f aca="false">SUM(D77:D79)</f>
        <v>-1183.31833643931</v>
      </c>
      <c r="E80" s="172" t="n">
        <f aca="false">SUM(E77:E79)</f>
        <v>3919.62518415254</v>
      </c>
      <c r="F80" s="172" t="n">
        <f aca="false">SUM(F77:F79)</f>
        <v>9098.71414963642</v>
      </c>
      <c r="G80" s="172" t="n">
        <f aca="false">SUM(G77:G79)</f>
        <v>12779.0265187747</v>
      </c>
      <c r="H80" s="172" t="n">
        <f aca="false">SUM(H77:H79)</f>
        <v>15235.6381894537</v>
      </c>
      <c r="I80" s="172" t="n">
        <f aca="false">SUM(I77:I79)</f>
        <v>16519.7528160564</v>
      </c>
      <c r="J80" s="172" t="n">
        <f aca="false">SUM(J77:J79)</f>
        <v>18015.7935852015</v>
      </c>
      <c r="K80" s="172" t="n">
        <f aca="false">SUM(K77:K79)</f>
        <v>19486.4557445341</v>
      </c>
      <c r="L80" s="172" t="n">
        <f aca="false">SUM(L77:L79)</f>
        <v>21345.2979873761</v>
      </c>
      <c r="M80" s="172" t="n">
        <f aca="false">SUM(M77:M79)</f>
        <v>23629.2819779245</v>
      </c>
      <c r="N80" s="172" t="n">
        <f aca="false">SUM(N77:N79)</f>
        <v>26065.6556012257</v>
      </c>
      <c r="O80" s="172" t="n">
        <f aca="false">SUM(O77:O79)</f>
        <v>28420.9107435385</v>
      </c>
      <c r="P80" s="172" t="n">
        <f aca="false">SUM(P77:P79)</f>
        <v>30882.719943764</v>
      </c>
      <c r="Q80" s="172" t="n">
        <f aca="false">SUM(Q77:Q79)</f>
        <v>43396.7725507969</v>
      </c>
      <c r="R80" s="172" t="n">
        <f aca="false">SUM(R77:R79)</f>
        <v>56005.1972386605</v>
      </c>
      <c r="S80" s="172" t="n">
        <f aca="false">SUM(S77:S79)</f>
        <v>58254.5587399048</v>
      </c>
      <c r="T80" s="172" t="n">
        <f aca="false">SUM(T77:T79)</f>
        <v>60321.8724894879</v>
      </c>
      <c r="U80" s="172" t="n">
        <f aca="false">SUM(U77:U79)</f>
        <v>62398.4854143907</v>
      </c>
      <c r="W80" s="335" t="n">
        <f aca="false">SUM(B80:U80)</f>
        <v>505230.162796001</v>
      </c>
      <c r="X80" s="369"/>
      <c r="Y80" s="369"/>
      <c r="Z80" s="358"/>
      <c r="AA80" s="358"/>
      <c r="AB80" s="358"/>
      <c r="AC80" s="358"/>
      <c r="AD80" s="358"/>
      <c r="AE80" s="358"/>
      <c r="AF80" s="358"/>
      <c r="AG80" s="358"/>
      <c r="AH80" s="358"/>
      <c r="AI80" s="358"/>
      <c r="AJ80" s="358"/>
      <c r="AK80" s="358"/>
      <c r="AL80" s="358"/>
      <c r="AM80" s="358"/>
      <c r="AN80" s="358"/>
      <c r="AO80" s="358"/>
      <c r="AP80" s="358"/>
      <c r="AQ80" s="358"/>
      <c r="AR80" s="358"/>
      <c r="AS80" s="358"/>
      <c r="AT80" s="351"/>
      <c r="AU80" s="351"/>
      <c r="AV80" s="351"/>
      <c r="AW80" s="351"/>
      <c r="AX80" s="351"/>
      <c r="AY80" s="351"/>
      <c r="AZ80" s="351"/>
      <c r="BA80" s="351"/>
      <c r="BB80" s="351"/>
      <c r="BC80" s="351"/>
      <c r="BD80" s="351"/>
      <c r="BE80" s="351"/>
      <c r="BF80" s="351"/>
      <c r="BG80" s="351"/>
      <c r="BH80" s="351"/>
      <c r="BI80" s="351"/>
      <c r="BJ80" s="351"/>
      <c r="BK80" s="351"/>
      <c r="BL80" s="351"/>
      <c r="BM80" s="351"/>
      <c r="BN80" s="351"/>
      <c r="BO80" s="351"/>
      <c r="BP80" s="351"/>
      <c r="BQ80" s="351"/>
      <c r="BR80" s="351"/>
      <c r="BS80" s="351"/>
      <c r="BT80" s="351"/>
      <c r="BU80" s="351"/>
      <c r="BV80" s="351"/>
      <c r="BW80" s="351"/>
      <c r="BX80" s="351"/>
      <c r="BY80" s="351"/>
      <c r="BZ80" s="351"/>
      <c r="CA80" s="351"/>
      <c r="CB80" s="351"/>
      <c r="CC80" s="351"/>
      <c r="CD80" s="351"/>
      <c r="CE80" s="351"/>
      <c r="CF80" s="351"/>
      <c r="CG80" s="351"/>
      <c r="CH80" s="351"/>
      <c r="CI80" s="351"/>
      <c r="CJ80" s="351"/>
      <c r="CK80" s="351"/>
      <c r="CL80" s="351"/>
      <c r="CM80" s="351"/>
      <c r="CN80" s="351"/>
      <c r="CO80" s="351"/>
      <c r="CP80" s="351"/>
      <c r="CQ80" s="351"/>
      <c r="CR80" s="351"/>
      <c r="CS80" s="351"/>
      <c r="CT80" s="351"/>
      <c r="CU80" s="351"/>
      <c r="CV80" s="351"/>
      <c r="CW80" s="351"/>
      <c r="CX80" s="351"/>
      <c r="CY80" s="351"/>
      <c r="CZ80" s="351"/>
      <c r="DA80" s="351"/>
      <c r="DB80" s="351"/>
      <c r="DC80" s="351"/>
      <c r="DD80" s="351"/>
      <c r="DE80" s="351"/>
      <c r="DF80" s="351"/>
      <c r="DG80" s="351"/>
      <c r="DH80" s="351"/>
      <c r="DI80" s="351"/>
      <c r="DJ80" s="351"/>
      <c r="DK80" s="351"/>
      <c r="DL80" s="351"/>
      <c r="DM80" s="351"/>
      <c r="DN80" s="351"/>
      <c r="DO80" s="351"/>
      <c r="DP80" s="351"/>
      <c r="DQ80" s="351"/>
      <c r="DR80" s="351"/>
      <c r="DS80" s="351"/>
      <c r="DT80" s="351"/>
      <c r="DU80" s="351"/>
      <c r="DV80" s="351"/>
      <c r="DW80" s="351"/>
      <c r="DX80" s="351"/>
      <c r="DY80" s="351"/>
      <c r="DZ80" s="351"/>
      <c r="EA80" s="351"/>
      <c r="EB80" s="351"/>
      <c r="EC80" s="351"/>
      <c r="ED80" s="351"/>
      <c r="EE80" s="351"/>
      <c r="EF80" s="351"/>
      <c r="EG80" s="351"/>
      <c r="EH80" s="351"/>
      <c r="EI80" s="351"/>
      <c r="EJ80" s="351"/>
      <c r="EK80" s="351"/>
      <c r="EL80" s="351"/>
      <c r="EM80" s="351"/>
      <c r="EN80" s="351"/>
      <c r="EO80" s="351"/>
      <c r="EP80" s="351"/>
      <c r="EQ80" s="351"/>
      <c r="ER80" s="351"/>
      <c r="ES80" s="351"/>
      <c r="ET80" s="351"/>
      <c r="EU80" s="351"/>
      <c r="EV80" s="351"/>
      <c r="EW80" s="351"/>
      <c r="EX80" s="351"/>
      <c r="EY80" s="351"/>
      <c r="EZ80" s="351"/>
      <c r="FA80" s="351"/>
      <c r="FB80" s="351"/>
      <c r="FC80" s="351"/>
      <c r="FD80" s="351"/>
      <c r="FE80" s="351"/>
      <c r="FF80" s="351"/>
      <c r="FG80" s="351"/>
      <c r="FH80" s="351"/>
      <c r="FI80" s="351"/>
      <c r="FJ80" s="351"/>
      <c r="FK80" s="351"/>
      <c r="FL80" s="351"/>
      <c r="FM80" s="351"/>
      <c r="FN80" s="351"/>
      <c r="FO80" s="351"/>
      <c r="FP80" s="351"/>
      <c r="FQ80" s="351"/>
      <c r="FR80" s="351"/>
      <c r="FS80" s="351"/>
      <c r="FT80" s="351"/>
      <c r="FU80" s="351"/>
      <c r="FV80" s="351"/>
      <c r="FW80" s="351"/>
      <c r="FX80" s="351"/>
      <c r="FY80" s="351"/>
      <c r="FZ80" s="351"/>
      <c r="GA80" s="351"/>
      <c r="GB80" s="351"/>
      <c r="GC80" s="351"/>
      <c r="GD80" s="351"/>
      <c r="GE80" s="351"/>
      <c r="GF80" s="351"/>
      <c r="GG80" s="351"/>
      <c r="GH80" s="351"/>
      <c r="GI80" s="351"/>
      <c r="GJ80" s="351"/>
      <c r="GK80" s="351"/>
      <c r="GL80" s="351"/>
      <c r="GM80" s="351"/>
      <c r="GN80" s="351"/>
      <c r="GO80" s="351"/>
      <c r="GP80" s="351"/>
      <c r="GQ80" s="351"/>
      <c r="GR80" s="351"/>
      <c r="GS80" s="351"/>
      <c r="GT80" s="351"/>
      <c r="GU80" s="351"/>
      <c r="GV80" s="351"/>
      <c r="GW80" s="351"/>
      <c r="GX80" s="351"/>
      <c r="GY80" s="351"/>
      <c r="GZ80" s="351"/>
      <c r="HA80" s="351"/>
      <c r="HB80" s="351"/>
      <c r="HC80" s="351"/>
      <c r="HD80" s="351"/>
      <c r="HE80" s="351"/>
      <c r="HF80" s="351"/>
      <c r="HG80" s="351"/>
      <c r="HH80" s="351"/>
      <c r="HI80" s="351"/>
      <c r="HJ80" s="351"/>
      <c r="HK80" s="351"/>
      <c r="HL80" s="351"/>
      <c r="HM80" s="351"/>
      <c r="HN80" s="351"/>
      <c r="HO80" s="351"/>
      <c r="HP80" s="351"/>
      <c r="HQ80" s="351"/>
      <c r="HR80" s="351"/>
      <c r="HS80" s="351"/>
      <c r="HT80" s="351"/>
      <c r="HU80" s="351"/>
      <c r="HV80" s="351"/>
      <c r="HW80" s="351"/>
      <c r="HX80" s="351"/>
      <c r="HY80" s="351"/>
      <c r="HZ80" s="351"/>
      <c r="IA80" s="351"/>
      <c r="IB80" s="351"/>
      <c r="IC80" s="351"/>
      <c r="ID80" s="351"/>
      <c r="IE80" s="351"/>
      <c r="IF80" s="351"/>
      <c r="IG80" s="351"/>
      <c r="IH80" s="351"/>
      <c r="II80" s="351"/>
      <c r="IJ80" s="351"/>
      <c r="IK80" s="351"/>
      <c r="IL80" s="351"/>
      <c r="IM80" s="351"/>
      <c r="IN80" s="351"/>
      <c r="IO80" s="351"/>
      <c r="IP80" s="351"/>
      <c r="IQ80" s="351"/>
      <c r="IR80" s="351"/>
      <c r="IS80" s="351"/>
      <c r="IT80" s="351"/>
      <c r="IU80" s="351"/>
      <c r="IV80" s="351"/>
      <c r="IW80" s="351"/>
    </row>
    <row r="81" customFormat="false" ht="12.75" hidden="false" customHeight="false" outlineLevel="0" collapsed="false">
      <c r="A81" s="24"/>
      <c r="B81" s="172"/>
      <c r="C81" s="172"/>
      <c r="D81" s="172"/>
      <c r="E81" s="172"/>
      <c r="F81" s="172"/>
      <c r="G81" s="172"/>
      <c r="H81" s="172"/>
      <c r="I81" s="172"/>
      <c r="J81" s="172"/>
      <c r="K81" s="172"/>
      <c r="L81" s="172"/>
      <c r="M81" s="172"/>
      <c r="N81" s="172"/>
      <c r="O81" s="172"/>
      <c r="P81" s="172"/>
      <c r="Q81" s="172"/>
      <c r="R81" s="172"/>
      <c r="S81" s="172"/>
      <c r="T81" s="172"/>
      <c r="U81" s="172"/>
      <c r="X81" s="369"/>
      <c r="Y81" s="369"/>
      <c r="Z81" s="358"/>
      <c r="AA81" s="358"/>
      <c r="AB81" s="358"/>
      <c r="AC81" s="358"/>
      <c r="AD81" s="358"/>
      <c r="AE81" s="358"/>
      <c r="AF81" s="358"/>
      <c r="AG81" s="358"/>
      <c r="AH81" s="358"/>
      <c r="AI81" s="358"/>
      <c r="AJ81" s="358"/>
      <c r="AK81" s="358"/>
      <c r="AL81" s="358"/>
      <c r="AM81" s="358"/>
      <c r="AN81" s="358"/>
      <c r="AO81" s="358"/>
      <c r="AP81" s="358"/>
      <c r="AQ81" s="358"/>
      <c r="AR81" s="358"/>
      <c r="AS81" s="358"/>
      <c r="AT81" s="351"/>
      <c r="AU81" s="351"/>
      <c r="AV81" s="351"/>
      <c r="AW81" s="351"/>
      <c r="AX81" s="351"/>
      <c r="AY81" s="351"/>
      <c r="AZ81" s="351"/>
      <c r="BA81" s="351"/>
      <c r="BB81" s="351"/>
      <c r="BC81" s="351"/>
      <c r="BD81" s="351"/>
      <c r="BE81" s="351"/>
      <c r="BF81" s="351"/>
      <c r="BG81" s="351"/>
      <c r="BH81" s="351"/>
      <c r="BI81" s="351"/>
      <c r="BJ81" s="351"/>
      <c r="BK81" s="351"/>
      <c r="BL81" s="351"/>
      <c r="BM81" s="351"/>
      <c r="BN81" s="351"/>
      <c r="BO81" s="351"/>
      <c r="BP81" s="351"/>
      <c r="BQ81" s="351"/>
      <c r="BR81" s="351"/>
      <c r="BS81" s="351"/>
      <c r="BT81" s="351"/>
      <c r="BU81" s="351"/>
      <c r="BV81" s="351"/>
      <c r="BW81" s="351"/>
      <c r="BX81" s="351"/>
      <c r="BY81" s="351"/>
      <c r="BZ81" s="351"/>
      <c r="CA81" s="351"/>
      <c r="CB81" s="351"/>
      <c r="CC81" s="351"/>
      <c r="CD81" s="351"/>
      <c r="CE81" s="351"/>
      <c r="CF81" s="351"/>
      <c r="CG81" s="351"/>
      <c r="CH81" s="351"/>
      <c r="CI81" s="351"/>
      <c r="CJ81" s="351"/>
      <c r="CK81" s="351"/>
      <c r="CL81" s="351"/>
      <c r="CM81" s="351"/>
      <c r="CN81" s="351"/>
      <c r="CO81" s="351"/>
      <c r="CP81" s="351"/>
      <c r="CQ81" s="351"/>
      <c r="CR81" s="351"/>
      <c r="CS81" s="351"/>
      <c r="CT81" s="351"/>
      <c r="CU81" s="351"/>
      <c r="CV81" s="351"/>
      <c r="CW81" s="351"/>
      <c r="CX81" s="351"/>
      <c r="CY81" s="351"/>
      <c r="CZ81" s="351"/>
      <c r="DA81" s="351"/>
      <c r="DB81" s="351"/>
      <c r="DC81" s="351"/>
      <c r="DD81" s="351"/>
      <c r="DE81" s="351"/>
      <c r="DF81" s="351"/>
      <c r="DG81" s="351"/>
      <c r="DH81" s="351"/>
      <c r="DI81" s="351"/>
      <c r="DJ81" s="351"/>
      <c r="DK81" s="351"/>
      <c r="DL81" s="351"/>
      <c r="DM81" s="351"/>
      <c r="DN81" s="351"/>
      <c r="DO81" s="351"/>
      <c r="DP81" s="351"/>
      <c r="DQ81" s="351"/>
      <c r="DR81" s="351"/>
      <c r="DS81" s="351"/>
      <c r="DT81" s="351"/>
      <c r="DU81" s="351"/>
      <c r="DV81" s="351"/>
      <c r="DW81" s="351"/>
      <c r="DX81" s="351"/>
      <c r="DY81" s="351"/>
      <c r="DZ81" s="351"/>
      <c r="EA81" s="351"/>
      <c r="EB81" s="351"/>
      <c r="EC81" s="351"/>
      <c r="ED81" s="351"/>
      <c r="EE81" s="351"/>
      <c r="EF81" s="351"/>
      <c r="EG81" s="351"/>
      <c r="EH81" s="351"/>
      <c r="EI81" s="351"/>
      <c r="EJ81" s="351"/>
      <c r="EK81" s="351"/>
      <c r="EL81" s="351"/>
      <c r="EM81" s="351"/>
      <c r="EN81" s="351"/>
      <c r="EO81" s="351"/>
      <c r="EP81" s="351"/>
      <c r="EQ81" s="351"/>
      <c r="ER81" s="351"/>
      <c r="ES81" s="351"/>
      <c r="ET81" s="351"/>
      <c r="EU81" s="351"/>
      <c r="EV81" s="351"/>
      <c r="EW81" s="351"/>
      <c r="EX81" s="351"/>
      <c r="EY81" s="351"/>
      <c r="EZ81" s="351"/>
      <c r="FA81" s="351"/>
      <c r="FB81" s="351"/>
      <c r="FC81" s="351"/>
      <c r="FD81" s="351"/>
      <c r="FE81" s="351"/>
      <c r="FF81" s="351"/>
      <c r="FG81" s="351"/>
      <c r="FH81" s="351"/>
      <c r="FI81" s="351"/>
      <c r="FJ81" s="351"/>
      <c r="FK81" s="351"/>
      <c r="FL81" s="351"/>
      <c r="FM81" s="351"/>
      <c r="FN81" s="351"/>
      <c r="FO81" s="351"/>
      <c r="FP81" s="351"/>
      <c r="FQ81" s="351"/>
      <c r="FR81" s="351"/>
      <c r="FS81" s="351"/>
      <c r="FT81" s="351"/>
      <c r="FU81" s="351"/>
      <c r="FV81" s="351"/>
      <c r="FW81" s="351"/>
      <c r="FX81" s="351"/>
      <c r="FY81" s="351"/>
      <c r="FZ81" s="351"/>
      <c r="GA81" s="351"/>
      <c r="GB81" s="351"/>
      <c r="GC81" s="351"/>
      <c r="GD81" s="351"/>
      <c r="GE81" s="351"/>
      <c r="GF81" s="351"/>
      <c r="GG81" s="351"/>
      <c r="GH81" s="351"/>
      <c r="GI81" s="351"/>
      <c r="GJ81" s="351"/>
      <c r="GK81" s="351"/>
      <c r="GL81" s="351"/>
      <c r="GM81" s="351"/>
      <c r="GN81" s="351"/>
      <c r="GO81" s="351"/>
      <c r="GP81" s="351"/>
      <c r="GQ81" s="351"/>
      <c r="GR81" s="351"/>
      <c r="GS81" s="351"/>
      <c r="GT81" s="351"/>
      <c r="GU81" s="351"/>
      <c r="GV81" s="351"/>
      <c r="GW81" s="351"/>
      <c r="GX81" s="351"/>
      <c r="GY81" s="351"/>
      <c r="GZ81" s="351"/>
      <c r="HA81" s="351"/>
      <c r="HB81" s="351"/>
      <c r="HC81" s="351"/>
      <c r="HD81" s="351"/>
      <c r="HE81" s="351"/>
      <c r="HF81" s="351"/>
      <c r="HG81" s="351"/>
      <c r="HH81" s="351"/>
      <c r="HI81" s="351"/>
      <c r="HJ81" s="351"/>
      <c r="HK81" s="351"/>
      <c r="HL81" s="351"/>
      <c r="HM81" s="351"/>
      <c r="HN81" s="351"/>
      <c r="HO81" s="351"/>
      <c r="HP81" s="351"/>
      <c r="HQ81" s="351"/>
      <c r="HR81" s="351"/>
      <c r="HS81" s="351"/>
      <c r="HT81" s="351"/>
      <c r="HU81" s="351"/>
      <c r="HV81" s="351"/>
      <c r="HW81" s="351"/>
      <c r="HX81" s="351"/>
      <c r="HY81" s="351"/>
      <c r="HZ81" s="351"/>
      <c r="IA81" s="351"/>
      <c r="IB81" s="351"/>
      <c r="IC81" s="351"/>
      <c r="ID81" s="351"/>
      <c r="IE81" s="351"/>
      <c r="IF81" s="351"/>
      <c r="IG81" s="351"/>
      <c r="IH81" s="351"/>
      <c r="II81" s="351"/>
      <c r="IJ81" s="351"/>
      <c r="IK81" s="351"/>
      <c r="IL81" s="351"/>
      <c r="IM81" s="351"/>
      <c r="IN81" s="351"/>
      <c r="IO81" s="351"/>
      <c r="IP81" s="351"/>
      <c r="IQ81" s="351"/>
      <c r="IR81" s="351"/>
      <c r="IS81" s="351"/>
      <c r="IT81" s="351"/>
      <c r="IU81" s="351"/>
      <c r="IV81" s="351"/>
      <c r="IW81" s="351"/>
    </row>
    <row r="82" customFormat="false" ht="12.75" hidden="false" customHeight="false" outlineLevel="0" collapsed="false">
      <c r="A82" s="24" t="s">
        <v>80</v>
      </c>
      <c r="B82" s="344" t="n">
        <f aca="false">Assumptions!$E$38</f>
        <v>0.0718</v>
      </c>
      <c r="C82" s="344" t="n">
        <f aca="false">Assumptions!$E$38</f>
        <v>0.0718</v>
      </c>
      <c r="D82" s="344" t="n">
        <f aca="false">Assumptions!$E$38</f>
        <v>0.0718</v>
      </c>
      <c r="E82" s="344" t="n">
        <f aca="false">Assumptions!$E$38</f>
        <v>0.0718</v>
      </c>
      <c r="F82" s="344" t="n">
        <f aca="false">Assumptions!$E$38</f>
        <v>0.0718</v>
      </c>
      <c r="G82" s="344" t="n">
        <f aca="false">Assumptions!$E$38</f>
        <v>0.0718</v>
      </c>
      <c r="H82" s="344" t="n">
        <f aca="false">Assumptions!$E$38</f>
        <v>0.0718</v>
      </c>
      <c r="I82" s="344" t="n">
        <f aca="false">Assumptions!$E$38</f>
        <v>0.0718</v>
      </c>
      <c r="J82" s="344" t="n">
        <f aca="false">Assumptions!$E$38</f>
        <v>0.0718</v>
      </c>
      <c r="K82" s="344" t="n">
        <f aca="false">Assumptions!$E$38</f>
        <v>0.0718</v>
      </c>
      <c r="L82" s="344" t="n">
        <f aca="false">Assumptions!$E$38</f>
        <v>0.0718</v>
      </c>
      <c r="M82" s="344" t="n">
        <f aca="false">Assumptions!$E$38</f>
        <v>0.0718</v>
      </c>
      <c r="N82" s="344" t="n">
        <f aca="false">Assumptions!$E$38</f>
        <v>0.0718</v>
      </c>
      <c r="O82" s="344" t="n">
        <f aca="false">Assumptions!$E$38</f>
        <v>0.0718</v>
      </c>
      <c r="P82" s="344" t="n">
        <f aca="false">Assumptions!$E$38</f>
        <v>0.0718</v>
      </c>
      <c r="Q82" s="344" t="n">
        <f aca="false">Assumptions!$E$38</f>
        <v>0.0718</v>
      </c>
      <c r="R82" s="344" t="n">
        <f aca="false">Assumptions!$E$38</f>
        <v>0.0718</v>
      </c>
      <c r="S82" s="344" t="n">
        <f aca="false">Assumptions!$E$38</f>
        <v>0.0718</v>
      </c>
      <c r="T82" s="344" t="n">
        <f aca="false">Assumptions!$E$38</f>
        <v>0.0718</v>
      </c>
      <c r="U82" s="344" t="n">
        <f aca="false">Assumptions!$E$38</f>
        <v>0.0718</v>
      </c>
      <c r="X82" s="369"/>
      <c r="Y82" s="369"/>
      <c r="Z82" s="358"/>
      <c r="AA82" s="358"/>
      <c r="AB82" s="358"/>
      <c r="AC82" s="358"/>
      <c r="AD82" s="358"/>
      <c r="AE82" s="358"/>
      <c r="AF82" s="358"/>
      <c r="AG82" s="358"/>
      <c r="AH82" s="358"/>
      <c r="AI82" s="358"/>
      <c r="AJ82" s="358"/>
      <c r="AK82" s="358"/>
      <c r="AL82" s="358"/>
      <c r="AM82" s="358"/>
      <c r="AN82" s="358"/>
      <c r="AO82" s="358"/>
      <c r="AP82" s="358"/>
      <c r="AQ82" s="358"/>
      <c r="AR82" s="358"/>
      <c r="AS82" s="358"/>
      <c r="AT82" s="351"/>
      <c r="AU82" s="351"/>
      <c r="AV82" s="351"/>
      <c r="AW82" s="351"/>
      <c r="AX82" s="351"/>
      <c r="AY82" s="351"/>
      <c r="AZ82" s="351"/>
      <c r="BA82" s="351"/>
      <c r="BB82" s="351"/>
      <c r="BC82" s="351"/>
      <c r="BD82" s="351"/>
      <c r="BE82" s="351"/>
      <c r="BF82" s="351"/>
      <c r="BG82" s="351"/>
      <c r="BH82" s="351"/>
      <c r="BI82" s="351"/>
      <c r="BJ82" s="351"/>
      <c r="BK82" s="351"/>
      <c r="BL82" s="351"/>
      <c r="BM82" s="351"/>
      <c r="BN82" s="351"/>
      <c r="BO82" s="351"/>
      <c r="BP82" s="351"/>
      <c r="BQ82" s="351"/>
      <c r="BR82" s="351"/>
      <c r="BS82" s="351"/>
      <c r="BT82" s="351"/>
      <c r="BU82" s="351"/>
      <c r="BV82" s="351"/>
      <c r="BW82" s="351"/>
      <c r="BX82" s="351"/>
      <c r="BY82" s="351"/>
      <c r="BZ82" s="351"/>
      <c r="CA82" s="351"/>
      <c r="CB82" s="351"/>
      <c r="CC82" s="351"/>
      <c r="CD82" s="351"/>
      <c r="CE82" s="351"/>
      <c r="CF82" s="351"/>
      <c r="CG82" s="351"/>
      <c r="CH82" s="351"/>
      <c r="CI82" s="351"/>
      <c r="CJ82" s="351"/>
      <c r="CK82" s="351"/>
      <c r="CL82" s="351"/>
      <c r="CM82" s="351"/>
      <c r="CN82" s="351"/>
      <c r="CO82" s="351"/>
      <c r="CP82" s="351"/>
      <c r="CQ82" s="351"/>
      <c r="CR82" s="351"/>
      <c r="CS82" s="351"/>
      <c r="CT82" s="351"/>
      <c r="CU82" s="351"/>
      <c r="CV82" s="351"/>
      <c r="CW82" s="351"/>
      <c r="CX82" s="351"/>
      <c r="CY82" s="351"/>
      <c r="CZ82" s="351"/>
      <c r="DA82" s="351"/>
      <c r="DB82" s="351"/>
      <c r="DC82" s="351"/>
      <c r="DD82" s="351"/>
      <c r="DE82" s="351"/>
      <c r="DF82" s="351"/>
      <c r="DG82" s="351"/>
      <c r="DH82" s="351"/>
      <c r="DI82" s="351"/>
      <c r="DJ82" s="351"/>
      <c r="DK82" s="351"/>
      <c r="DL82" s="351"/>
      <c r="DM82" s="351"/>
      <c r="DN82" s="351"/>
      <c r="DO82" s="351"/>
      <c r="DP82" s="351"/>
      <c r="DQ82" s="351"/>
      <c r="DR82" s="351"/>
      <c r="DS82" s="351"/>
      <c r="DT82" s="351"/>
      <c r="DU82" s="351"/>
      <c r="DV82" s="351"/>
      <c r="DW82" s="351"/>
      <c r="DX82" s="351"/>
      <c r="DY82" s="351"/>
      <c r="DZ82" s="351"/>
      <c r="EA82" s="351"/>
      <c r="EB82" s="351"/>
      <c r="EC82" s="351"/>
      <c r="ED82" s="351"/>
      <c r="EE82" s="351"/>
      <c r="EF82" s="351"/>
      <c r="EG82" s="351"/>
      <c r="EH82" s="351"/>
      <c r="EI82" s="351"/>
      <c r="EJ82" s="351"/>
      <c r="EK82" s="351"/>
      <c r="EL82" s="351"/>
      <c r="EM82" s="351"/>
      <c r="EN82" s="351"/>
      <c r="EO82" s="351"/>
      <c r="EP82" s="351"/>
      <c r="EQ82" s="351"/>
      <c r="ER82" s="351"/>
      <c r="ES82" s="351"/>
      <c r="ET82" s="351"/>
      <c r="EU82" s="351"/>
      <c r="EV82" s="351"/>
      <c r="EW82" s="351"/>
      <c r="EX82" s="351"/>
      <c r="EY82" s="351"/>
      <c r="EZ82" s="351"/>
      <c r="FA82" s="351"/>
      <c r="FB82" s="351"/>
      <c r="FC82" s="351"/>
      <c r="FD82" s="351"/>
      <c r="FE82" s="351"/>
      <c r="FF82" s="351"/>
      <c r="FG82" s="351"/>
      <c r="FH82" s="351"/>
      <c r="FI82" s="351"/>
      <c r="FJ82" s="351"/>
      <c r="FK82" s="351"/>
      <c r="FL82" s="351"/>
      <c r="FM82" s="351"/>
      <c r="FN82" s="351"/>
      <c r="FO82" s="351"/>
      <c r="FP82" s="351"/>
      <c r="FQ82" s="351"/>
      <c r="FR82" s="351"/>
      <c r="FS82" s="351"/>
      <c r="FT82" s="351"/>
      <c r="FU82" s="351"/>
      <c r="FV82" s="351"/>
      <c r="FW82" s="351"/>
      <c r="FX82" s="351"/>
      <c r="FY82" s="351"/>
      <c r="FZ82" s="351"/>
      <c r="GA82" s="351"/>
      <c r="GB82" s="351"/>
      <c r="GC82" s="351"/>
      <c r="GD82" s="351"/>
      <c r="GE82" s="351"/>
      <c r="GF82" s="351"/>
      <c r="GG82" s="351"/>
      <c r="GH82" s="351"/>
      <c r="GI82" s="351"/>
      <c r="GJ82" s="351"/>
      <c r="GK82" s="351"/>
      <c r="GL82" s="351"/>
      <c r="GM82" s="351"/>
      <c r="GN82" s="351"/>
      <c r="GO82" s="351"/>
      <c r="GP82" s="351"/>
      <c r="GQ82" s="351"/>
      <c r="GR82" s="351"/>
      <c r="GS82" s="351"/>
      <c r="GT82" s="351"/>
      <c r="GU82" s="351"/>
      <c r="GV82" s="351"/>
      <c r="GW82" s="351"/>
      <c r="GX82" s="351"/>
      <c r="GY82" s="351"/>
      <c r="GZ82" s="351"/>
      <c r="HA82" s="351"/>
      <c r="HB82" s="351"/>
      <c r="HC82" s="351"/>
      <c r="HD82" s="351"/>
      <c r="HE82" s="351"/>
      <c r="HF82" s="351"/>
      <c r="HG82" s="351"/>
      <c r="HH82" s="351"/>
      <c r="HI82" s="351"/>
      <c r="HJ82" s="351"/>
      <c r="HK82" s="351"/>
      <c r="HL82" s="351"/>
      <c r="HM82" s="351"/>
      <c r="HN82" s="351"/>
      <c r="HO82" s="351"/>
      <c r="HP82" s="351"/>
      <c r="HQ82" s="351"/>
      <c r="HR82" s="351"/>
      <c r="HS82" s="351"/>
      <c r="HT82" s="351"/>
      <c r="HU82" s="351"/>
      <c r="HV82" s="351"/>
      <c r="HW82" s="351"/>
      <c r="HX82" s="351"/>
      <c r="HY82" s="351"/>
      <c r="HZ82" s="351"/>
      <c r="IA82" s="351"/>
      <c r="IB82" s="351"/>
      <c r="IC82" s="351"/>
      <c r="ID82" s="351"/>
      <c r="IE82" s="351"/>
      <c r="IF82" s="351"/>
      <c r="IG82" s="351"/>
      <c r="IH82" s="351"/>
      <c r="II82" s="351"/>
      <c r="IJ82" s="351"/>
      <c r="IK82" s="351"/>
      <c r="IL82" s="351"/>
      <c r="IM82" s="351"/>
      <c r="IN82" s="351"/>
      <c r="IO82" s="351"/>
      <c r="IP82" s="351"/>
      <c r="IQ82" s="351"/>
      <c r="IR82" s="351"/>
      <c r="IS82" s="351"/>
      <c r="IT82" s="351"/>
      <c r="IU82" s="351"/>
      <c r="IV82" s="351"/>
      <c r="IW82" s="351"/>
    </row>
    <row r="83" customFormat="false" ht="12.75" hidden="false" customHeight="false" outlineLevel="0" collapsed="false">
      <c r="A83" s="24" t="s">
        <v>215</v>
      </c>
      <c r="B83" s="172" t="n">
        <f aca="false">B80*B82</f>
        <v>514.601048719753</v>
      </c>
      <c r="C83" s="172" t="n">
        <f aca="false">C80*C82</f>
        <v>-468.812590626859</v>
      </c>
      <c r="D83" s="172" t="n">
        <f aca="false">D80*D82</f>
        <v>-84.9622565563423</v>
      </c>
      <c r="E83" s="172" t="n">
        <f aca="false">E80*E82</f>
        <v>281.429088222152</v>
      </c>
      <c r="F83" s="172" t="n">
        <f aca="false">F80*F82</f>
        <v>653.287675943895</v>
      </c>
      <c r="G83" s="172" t="n">
        <f aca="false">G80*G82</f>
        <v>917.534104048023</v>
      </c>
      <c r="H83" s="172" t="n">
        <f aca="false">H80*H82</f>
        <v>1093.91882200277</v>
      </c>
      <c r="I83" s="172" t="n">
        <f aca="false">I80*I82</f>
        <v>1186.11825219285</v>
      </c>
      <c r="J83" s="172" t="n">
        <f aca="false">J80*J82</f>
        <v>1293.53397941747</v>
      </c>
      <c r="K83" s="172" t="n">
        <f aca="false">K80*K82</f>
        <v>1399.12752245755</v>
      </c>
      <c r="L83" s="172" t="n">
        <f aca="false">L80*L82</f>
        <v>1532.59239549361</v>
      </c>
      <c r="M83" s="172" t="n">
        <f aca="false">M80*M82</f>
        <v>1696.58244601498</v>
      </c>
      <c r="N83" s="172" t="n">
        <f aca="false">N80*N82</f>
        <v>1871.51407216801</v>
      </c>
      <c r="O83" s="172" t="n">
        <f aca="false">O80*O82</f>
        <v>2040.62139138606</v>
      </c>
      <c r="P83" s="172" t="n">
        <f aca="false">P80*P82</f>
        <v>2217.37929196225</v>
      </c>
      <c r="Q83" s="172" t="n">
        <f aca="false">Q80*Q82</f>
        <v>3115.88826914722</v>
      </c>
      <c r="R83" s="172" t="n">
        <f aca="false">R80*R82</f>
        <v>4021.17316173583</v>
      </c>
      <c r="S83" s="172" t="n">
        <f aca="false">S80*S82</f>
        <v>4182.67731752517</v>
      </c>
      <c r="T83" s="172" t="n">
        <f aca="false">T80*T82</f>
        <v>4331.11044474523</v>
      </c>
      <c r="U83" s="172" t="n">
        <f aca="false">U80*U82</f>
        <v>4480.21125275326</v>
      </c>
    </row>
    <row r="84" customFormat="false" ht="12.75" hidden="false" customHeight="false" outlineLevel="0" collapsed="false">
      <c r="A84" s="24"/>
      <c r="B84" s="172"/>
      <c r="C84" s="172"/>
      <c r="D84" s="172"/>
      <c r="E84" s="172"/>
      <c r="F84" s="172"/>
      <c r="G84" s="172"/>
      <c r="H84" s="172"/>
      <c r="I84" s="172"/>
      <c r="J84" s="172"/>
      <c r="K84" s="172"/>
      <c r="L84" s="172"/>
      <c r="M84" s="172"/>
      <c r="N84" s="172"/>
      <c r="O84" s="172"/>
      <c r="P84" s="172"/>
      <c r="Q84" s="172"/>
      <c r="R84" s="172"/>
      <c r="S84" s="172"/>
      <c r="T84" s="172"/>
      <c r="U84" s="172"/>
    </row>
    <row r="85" customFormat="false" ht="12.75" hidden="false" customHeight="false" outlineLevel="0" collapsed="false">
      <c r="A85" s="24" t="s">
        <v>216</v>
      </c>
      <c r="B85" s="172" t="n">
        <v>0</v>
      </c>
      <c r="C85" s="172" t="n">
        <f aca="false">B89</f>
        <v>0</v>
      </c>
      <c r="D85" s="172" t="n">
        <f aca="false">C89</f>
        <v>468.812590626859</v>
      </c>
      <c r="E85" s="172" t="n">
        <f aca="false">D89</f>
        <v>553.774847183201</v>
      </c>
      <c r="F85" s="172" t="n">
        <f aca="false">E89</f>
        <v>272.345758961049</v>
      </c>
      <c r="G85" s="172" t="n">
        <f aca="false">F89</f>
        <v>0</v>
      </c>
      <c r="H85" s="172" t="n">
        <f aca="false">G89</f>
        <v>0</v>
      </c>
      <c r="I85" s="172" t="n">
        <f aca="false">H89</f>
        <v>0</v>
      </c>
      <c r="J85" s="172" t="n">
        <f aca="false">I89</f>
        <v>0</v>
      </c>
      <c r="K85" s="172" t="n">
        <f aca="false">J89</f>
        <v>0</v>
      </c>
      <c r="L85" s="172" t="n">
        <f aca="false">K89</f>
        <v>0</v>
      </c>
      <c r="M85" s="172" t="n">
        <f aca="false">L89</f>
        <v>0</v>
      </c>
      <c r="N85" s="172" t="n">
        <f aca="false">M89</f>
        <v>0</v>
      </c>
      <c r="O85" s="172" t="n">
        <f aca="false">N89</f>
        <v>0</v>
      </c>
      <c r="P85" s="172" t="n">
        <f aca="false">O89</f>
        <v>0</v>
      </c>
      <c r="Q85" s="172" t="n">
        <f aca="false">P89</f>
        <v>0</v>
      </c>
      <c r="R85" s="172" t="n">
        <v>0</v>
      </c>
      <c r="S85" s="172" t="n">
        <f aca="false">R89</f>
        <v>0</v>
      </c>
      <c r="T85" s="172" t="n">
        <f aca="false">S89</f>
        <v>0</v>
      </c>
      <c r="U85" s="172" t="n">
        <f aca="false">T89</f>
        <v>0</v>
      </c>
    </row>
    <row r="86" customFormat="false" ht="12.75" hidden="false" customHeight="false" outlineLevel="0" collapsed="false">
      <c r="A86" s="24" t="s">
        <v>217</v>
      </c>
      <c r="B86" s="172" t="n">
        <f aca="false">IF(B62&gt;2020,0,IF(B83&lt;0,-B83,0))</f>
        <v>0</v>
      </c>
      <c r="C86" s="172" t="n">
        <f aca="false">IF(C62&gt;2020,0,IF(C83&lt;0,-C83,0))</f>
        <v>468.812590626859</v>
      </c>
      <c r="D86" s="172" t="n">
        <f aca="false">IF(D62&gt;2020,0,IF(D83&lt;0,-D83,0))</f>
        <v>84.9622565563423</v>
      </c>
      <c r="E86" s="172" t="n">
        <f aca="false">IF(E62&gt;2020,0,IF(E83&lt;0,-E83,0))</f>
        <v>0</v>
      </c>
      <c r="F86" s="172" t="n">
        <f aca="false">IF(F62&gt;2020,0,IF(F83&lt;0,-F83,0))</f>
        <v>0</v>
      </c>
      <c r="G86" s="172" t="n">
        <f aca="false">IF(G62&gt;2020,0,IF(G83&lt;0,-G83,0))</f>
        <v>0</v>
      </c>
      <c r="H86" s="172" t="n">
        <f aca="false">IF(H62&gt;2020,0,IF(H83&lt;0,-H83,0))</f>
        <v>0</v>
      </c>
      <c r="I86" s="172" t="n">
        <f aca="false">IF(I62&gt;2020,0,IF(I83&lt;0,-I83,0))</f>
        <v>0</v>
      </c>
      <c r="J86" s="172" t="n">
        <f aca="false">IF(J62&gt;2020,0,IF(J83&lt;0,-J83,0))</f>
        <v>0</v>
      </c>
      <c r="K86" s="172" t="n">
        <f aca="false">IF(K62&gt;2020,0,IF(K83&lt;0,-K83,0))</f>
        <v>0</v>
      </c>
      <c r="L86" s="172" t="n">
        <f aca="false">IF(L62&gt;2020,0,IF(L83&lt;0,-L83,0))</f>
        <v>0</v>
      </c>
      <c r="M86" s="172" t="n">
        <f aca="false">IF(M62&gt;2020,0,IF(M83&lt;0,-M83,0))</f>
        <v>0</v>
      </c>
      <c r="N86" s="172" t="n">
        <f aca="false">IF(N62&gt;2020,0,IF(N83&lt;0,-N83,0))</f>
        <v>0</v>
      </c>
      <c r="O86" s="172" t="n">
        <f aca="false">IF(O62&gt;2020,0,IF(O83&lt;0,-O83,0))</f>
        <v>0</v>
      </c>
      <c r="P86" s="172" t="n">
        <f aca="false">IF(P62&gt;2020,0,IF(P83&lt;0,-P83,0))</f>
        <v>0</v>
      </c>
      <c r="Q86" s="172" t="n">
        <f aca="false">IF(Q62&gt;2020,0,IF(Q83&lt;0,-Q83,0))</f>
        <v>0</v>
      </c>
      <c r="R86" s="172" t="n">
        <f aca="false">IF(R62&gt;2020,0,IF(R83&lt;0,-R83,0))</f>
        <v>0</v>
      </c>
      <c r="S86" s="172" t="n">
        <f aca="false">IF(S62&gt;2020,0,IF(S83&lt;0,-S83,0))</f>
        <v>0</v>
      </c>
      <c r="T86" s="172" t="n">
        <f aca="false">IF(T62&gt;2020,0,IF(T83&lt;0,-T83,0))</f>
        <v>0</v>
      </c>
      <c r="U86" s="172" t="n">
        <f aca="false">IF(U62&gt;2020,0,IF(U83&lt;0,-U83,0))</f>
        <v>0</v>
      </c>
    </row>
    <row r="87" customFormat="false" ht="12.75" hidden="false" customHeight="false" outlineLevel="0" collapsed="false">
      <c r="A87" s="24" t="s">
        <v>218</v>
      </c>
      <c r="B87" s="345" t="n">
        <v>0</v>
      </c>
      <c r="C87" s="345" t="n">
        <v>0</v>
      </c>
      <c r="D87" s="345" t="n">
        <v>0</v>
      </c>
      <c r="E87" s="345" t="n">
        <v>0</v>
      </c>
      <c r="F87" s="345" t="n">
        <v>0</v>
      </c>
      <c r="G87" s="345" t="n">
        <v>0</v>
      </c>
      <c r="H87" s="345" t="n">
        <v>0</v>
      </c>
      <c r="I87" s="345" t="n">
        <v>0</v>
      </c>
      <c r="J87" s="345" t="n">
        <v>0</v>
      </c>
      <c r="K87" s="345" t="n">
        <v>0</v>
      </c>
      <c r="L87" s="345" t="n">
        <v>0</v>
      </c>
      <c r="M87" s="345" t="n">
        <v>0</v>
      </c>
      <c r="N87" s="345" t="n">
        <v>0</v>
      </c>
      <c r="O87" s="345" t="n">
        <v>0</v>
      </c>
      <c r="P87" s="345" t="n">
        <v>0</v>
      </c>
      <c r="Q87" s="345" t="n">
        <v>0</v>
      </c>
      <c r="R87" s="345" t="n">
        <v>0</v>
      </c>
      <c r="S87" s="345" t="n">
        <v>0</v>
      </c>
      <c r="T87" s="172" t="n">
        <f aca="false">IF(L86&gt;(SUM(M88:S88)+SUM(L87:S87))*-1,L86-(SUM(L88:S88)+SUM(L87:S87))*-1,0)</f>
        <v>0</v>
      </c>
      <c r="U87" s="172" t="n">
        <f aca="false">IF(M86&gt;(SUM(N88:T88)+SUM(M87:T87))*-1,M86-(SUM(M88:T88)+SUM(M87:T87))*-1,0)</f>
        <v>0</v>
      </c>
    </row>
    <row r="88" customFormat="false" ht="12.75" hidden="false" customHeight="false" outlineLevel="0" collapsed="false">
      <c r="A88" s="12" t="s">
        <v>191</v>
      </c>
      <c r="B88" s="197" t="n">
        <f aca="false">IF(B83&lt;0,0,IF(B85&gt;B83,-B83,-B85))</f>
        <v>-0</v>
      </c>
      <c r="C88" s="197" t="n">
        <f aca="false">IF(C83&lt;0,0,IF(C85&gt;C83,-C83,-C85))</f>
        <v>0</v>
      </c>
      <c r="D88" s="197" t="n">
        <f aca="false">IF(D83&lt;0,0,IF(D85&gt;D83,-D83,-D85))</f>
        <v>0</v>
      </c>
      <c r="E88" s="197" t="n">
        <f aca="false">IF(E83&lt;0,0,IF(E85&gt;E83,-E83,-E85))</f>
        <v>-281.429088222152</v>
      </c>
      <c r="F88" s="197" t="n">
        <f aca="false">IF(F83&lt;0,0,IF(F85&gt;F83,-F83,-F85))</f>
        <v>-272.345758961049</v>
      </c>
      <c r="G88" s="197" t="n">
        <f aca="false">IF(G83&lt;0,0,IF(G85&gt;G83,-G83,-G85))</f>
        <v>-0</v>
      </c>
      <c r="H88" s="197" t="n">
        <f aca="false">IF(H83&lt;0,0,IF(H85&gt;H83,-H83,-H85))</f>
        <v>-0</v>
      </c>
      <c r="I88" s="197" t="n">
        <f aca="false">IF(I83&lt;0,0,IF(I85&gt;I83,-I83,-I85))</f>
        <v>-0</v>
      </c>
      <c r="J88" s="197" t="n">
        <f aca="false">IF(J83&lt;0,0,IF(J85&gt;J83,-J83,-J85))</f>
        <v>-0</v>
      </c>
      <c r="K88" s="197" t="n">
        <f aca="false">IF(K83&lt;0,0,IF(K85&gt;K83,-K83,-K85))</f>
        <v>-0</v>
      </c>
      <c r="L88" s="197" t="n">
        <f aca="false">IF(L83&lt;0,0,IF(L85&gt;L83,-L83,-L85))</f>
        <v>-0</v>
      </c>
      <c r="M88" s="197" t="n">
        <f aca="false">IF(M83&lt;0,0,IF(M85&gt;M83,-M83,-M85))</f>
        <v>-0</v>
      </c>
      <c r="N88" s="197" t="n">
        <f aca="false">IF(N83&lt;0,0,IF(N85&gt;N83,-N83,-N85))</f>
        <v>-0</v>
      </c>
      <c r="O88" s="197" t="n">
        <f aca="false">IF(O83&lt;0,0,IF(O85&gt;O83,-O83,-O85))</f>
        <v>-0</v>
      </c>
      <c r="P88" s="197" t="n">
        <f aca="false">IF(P83&lt;0,0,IF(P85&gt;P83,-P83,-P85))</f>
        <v>-0</v>
      </c>
      <c r="Q88" s="197" t="n">
        <f aca="false">IF(Q83&lt;0,0,IF(Q85&gt;Q83,-Q83,-Q85))</f>
        <v>-0</v>
      </c>
      <c r="R88" s="197" t="n">
        <f aca="false">IF(R83&lt;0,0,IF(R85&gt;R83,-R83,-R85))</f>
        <v>-0</v>
      </c>
      <c r="S88" s="197" t="n">
        <f aca="false">IF(S83&lt;0,0,IF(S85&gt;S83,-S83,-S85))</f>
        <v>-0</v>
      </c>
      <c r="T88" s="197" t="n">
        <f aca="false">IF(T83&lt;0,0,IF(T85&gt;T83,-T83,-T85))</f>
        <v>-0</v>
      </c>
      <c r="U88" s="197" t="n">
        <f aca="false">IF(U83&lt;0,0,IF(U85&gt;U83,-U83,-U85))</f>
        <v>-0</v>
      </c>
    </row>
    <row r="89" customFormat="false" ht="12.75" hidden="false" customHeight="false" outlineLevel="0" collapsed="false">
      <c r="A89" s="12" t="s">
        <v>219</v>
      </c>
      <c r="B89" s="197" t="n">
        <f aca="false">SUM(B85:B88)</f>
        <v>0</v>
      </c>
      <c r="C89" s="197" t="n">
        <f aca="false">SUM(C85:C88)</f>
        <v>468.812590626859</v>
      </c>
      <c r="D89" s="197" t="n">
        <f aca="false">SUM(D85:D88)</f>
        <v>553.774847183201</v>
      </c>
      <c r="E89" s="197" t="n">
        <f aca="false">SUM(E85:E88)</f>
        <v>272.345758961049</v>
      </c>
      <c r="F89" s="197" t="n">
        <f aca="false">SUM(F85:F88)</f>
        <v>0</v>
      </c>
      <c r="G89" s="197" t="n">
        <f aca="false">SUM(G85:G88)</f>
        <v>0</v>
      </c>
      <c r="H89" s="197" t="n">
        <f aca="false">SUM(H85:H88)</f>
        <v>0</v>
      </c>
      <c r="I89" s="197" t="n">
        <f aca="false">SUM(I85:I88)</f>
        <v>0</v>
      </c>
      <c r="J89" s="197" t="n">
        <f aca="false">SUM(J85:J88)</f>
        <v>0</v>
      </c>
      <c r="K89" s="197" t="n">
        <f aca="false">SUM(K85:K88)</f>
        <v>0</v>
      </c>
      <c r="L89" s="197" t="n">
        <f aca="false">SUM(L85:L88)</f>
        <v>0</v>
      </c>
      <c r="M89" s="197" t="n">
        <f aca="false">SUM(M85:M88)</f>
        <v>0</v>
      </c>
      <c r="N89" s="197" t="n">
        <f aca="false">SUM(N85:N88)</f>
        <v>0</v>
      </c>
      <c r="O89" s="197" t="n">
        <f aca="false">SUM(O85:O88)</f>
        <v>0</v>
      </c>
      <c r="P89" s="197" t="n">
        <f aca="false">SUM(P85:P88)</f>
        <v>0</v>
      </c>
      <c r="Q89" s="197" t="n">
        <f aca="false">SUM(Q85:Q88)</f>
        <v>0</v>
      </c>
      <c r="R89" s="197" t="n">
        <f aca="false">SUM(R85:R88)</f>
        <v>0</v>
      </c>
      <c r="S89" s="197" t="n">
        <f aca="false">SUM(S85:S88)</f>
        <v>0</v>
      </c>
      <c r="T89" s="197" t="n">
        <f aca="false">SUM(T85:T88)</f>
        <v>0</v>
      </c>
      <c r="U89" s="197" t="n">
        <f aca="false">SUM(U85:U88)</f>
        <v>0</v>
      </c>
    </row>
    <row r="90" customFormat="false" ht="12.75" hidden="false" customHeight="false" outlineLevel="0" collapsed="false">
      <c r="A90" s="12"/>
      <c r="B90" s="172"/>
      <c r="C90" s="172"/>
      <c r="D90" s="172"/>
      <c r="E90" s="172"/>
      <c r="F90" s="172"/>
      <c r="G90" s="172"/>
      <c r="H90" s="172"/>
      <c r="I90" s="172"/>
      <c r="J90" s="172"/>
      <c r="K90" s="172"/>
      <c r="L90" s="172"/>
      <c r="M90" s="172"/>
      <c r="N90" s="172"/>
      <c r="O90" s="172"/>
      <c r="P90" s="172"/>
      <c r="Q90" s="172"/>
      <c r="R90" s="172"/>
      <c r="S90" s="172"/>
      <c r="T90" s="172"/>
      <c r="U90" s="172"/>
    </row>
    <row r="91" customFormat="false" ht="13.5" hidden="false" customHeight="false" outlineLevel="0" collapsed="false">
      <c r="A91" s="40" t="s">
        <v>181</v>
      </c>
      <c r="B91" s="303" t="n">
        <f aca="false">IF(B83&lt;0,0,B83+B88)</f>
        <v>514.601048719753</v>
      </c>
      <c r="C91" s="303" t="n">
        <f aca="false">IF(C83&lt;0,0,C83+C88)</f>
        <v>0</v>
      </c>
      <c r="D91" s="303" t="n">
        <f aca="false">IF(D83&lt;0,0,D83+D88)</f>
        <v>0</v>
      </c>
      <c r="E91" s="303" t="n">
        <f aca="false">IF(E83&lt;0,0,E83+E88)</f>
        <v>0</v>
      </c>
      <c r="F91" s="303" t="n">
        <f aca="false">IF(F83&lt;0,0,F83+F88)</f>
        <v>380.941916982846</v>
      </c>
      <c r="G91" s="303" t="n">
        <f aca="false">IF(G83&lt;0,0,G83+G88)</f>
        <v>917.534104048023</v>
      </c>
      <c r="H91" s="303" t="n">
        <f aca="false">IF(H83&lt;0,0,H83+H88)</f>
        <v>1093.91882200277</v>
      </c>
      <c r="I91" s="303" t="n">
        <f aca="false">IF(I83&lt;0,0,I83+I88)</f>
        <v>1186.11825219285</v>
      </c>
      <c r="J91" s="303" t="n">
        <f aca="false">IF(J83&lt;0,0,J83+J88)</f>
        <v>1293.53397941747</v>
      </c>
      <c r="K91" s="303" t="n">
        <f aca="false">IF(K83&lt;0,0,K83+K88)</f>
        <v>1399.12752245755</v>
      </c>
      <c r="L91" s="303" t="n">
        <f aca="false">IF(L83&lt;0,0,L83+L88)</f>
        <v>1532.59239549361</v>
      </c>
      <c r="M91" s="303" t="n">
        <f aca="false">IF(M83&lt;0,0,M83+M88)</f>
        <v>1696.58244601498</v>
      </c>
      <c r="N91" s="303" t="n">
        <f aca="false">IF(N83&lt;0,0,N83+N88)</f>
        <v>1871.51407216801</v>
      </c>
      <c r="O91" s="303" t="n">
        <f aca="false">IF(O83&lt;0,0,O83+O88)</f>
        <v>2040.62139138606</v>
      </c>
      <c r="P91" s="303" t="n">
        <f aca="false">IF(P83&lt;0,0,P83+P88)</f>
        <v>2217.37929196225</v>
      </c>
      <c r="Q91" s="303" t="n">
        <f aca="false">IF(Q83&lt;0,0,Q83+Q88)</f>
        <v>3115.88826914722</v>
      </c>
      <c r="R91" s="303" t="n">
        <f aca="false">IF(R83&lt;0,0,R83+R88)</f>
        <v>4021.17316173583</v>
      </c>
      <c r="S91" s="303" t="n">
        <f aca="false">IF(S83&lt;0,0,S83+S88)</f>
        <v>4182.67731752517</v>
      </c>
      <c r="T91" s="303" t="n">
        <f aca="false">IF(T83&lt;0,0,T83+T88)</f>
        <v>4331.11044474523</v>
      </c>
      <c r="U91" s="303" t="n">
        <f aca="false">IF(U83&lt;0,0,U83+U88)</f>
        <v>4480.21125275326</v>
      </c>
      <c r="W91" s="335" t="n">
        <f aca="false">SUM(B91:U91)</f>
        <v>36275.5256887529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&amp;L&amp;12Enron's Generation&amp;RCONFIDENTIAL</oddHeader>
    <oddFooter>&amp;L&amp;D&amp;C&amp;F&amp;RPage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E11"/>
  <sheetViews>
    <sheetView showFormulas="false" showGridLines="true" showRowColHeaders="true" showZeros="true" rightToLeft="false" tabSelected="tru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1.28"/>
    <col collapsed="false" customWidth="true" hidden="false" outlineLevel="0" max="2" min="2" style="1" width="3.99"/>
    <col collapsed="false" customWidth="true" hidden="false" outlineLevel="0" max="3" min="3" style="1" width="17.28"/>
    <col collapsed="false" customWidth="true" hidden="false" outlineLevel="0" max="4" min="4" style="1" width="3.56"/>
    <col collapsed="false" customWidth="true" hidden="false" outlineLevel="0" max="5" min="5" style="1" width="13.7"/>
    <col collapsed="false" customWidth="false" hidden="false" outlineLevel="0" max="257" min="6" style="1" width="9.14"/>
  </cols>
  <sheetData>
    <row r="2" customFormat="false" ht="18" hidden="false" customHeight="false" outlineLevel="0" collapsed="false">
      <c r="A2" s="370" t="s">
        <v>234</v>
      </c>
    </row>
    <row r="3" customFormat="false" ht="15.75" hidden="false" customHeight="false" outlineLevel="0" collapsed="false">
      <c r="A3" s="371"/>
    </row>
    <row r="4" customFormat="false" ht="12.75" hidden="false" customHeight="false" outlineLevel="0" collapsed="false">
      <c r="A4" s="372" t="s">
        <v>235</v>
      </c>
      <c r="B4" s="234"/>
      <c r="C4" s="372" t="s">
        <v>236</v>
      </c>
      <c r="D4" s="234"/>
      <c r="E4" s="372" t="s">
        <v>237</v>
      </c>
    </row>
    <row r="6" customFormat="false" ht="12.75" hidden="false" customHeight="false" outlineLevel="0" collapsed="false">
      <c r="A6" s="2" t="s">
        <v>56</v>
      </c>
      <c r="C6" s="373" t="n">
        <v>0.29520493370916</v>
      </c>
      <c r="E6" s="373" t="n">
        <v>0.307115093285811</v>
      </c>
    </row>
    <row r="7" customFormat="false" ht="12.75" hidden="false" customHeight="false" outlineLevel="0" collapsed="false">
      <c r="A7" s="2" t="s">
        <v>57</v>
      </c>
      <c r="C7" s="373" t="n">
        <v>0.270036120145105</v>
      </c>
      <c r="E7" s="373" t="n">
        <v>0.301311923179425</v>
      </c>
    </row>
    <row r="8" customFormat="false" ht="12.75" hidden="false" customHeight="false" outlineLevel="0" collapsed="false">
      <c r="A8" s="192" t="s">
        <v>58</v>
      </c>
      <c r="C8" s="374" t="n">
        <v>0.434758946145734</v>
      </c>
      <c r="E8" s="374" t="n">
        <v>0.391572983534764</v>
      </c>
    </row>
    <row r="9" customFormat="false" ht="12.75" hidden="false" customHeight="false" outlineLevel="0" collapsed="false">
      <c r="A9" s="192"/>
      <c r="C9" s="375"/>
      <c r="E9" s="375"/>
    </row>
    <row r="10" customFormat="false" ht="13.5" hidden="false" customHeight="false" outlineLevel="0" collapsed="false">
      <c r="A10" s="376" t="s">
        <v>15</v>
      </c>
      <c r="B10" s="377"/>
      <c r="C10" s="378" t="n">
        <f aca="false">SUM(C6:C8)</f>
        <v>1</v>
      </c>
      <c r="D10" s="377"/>
      <c r="E10" s="378" t="n">
        <f aca="false">SUM(E6:E8)</f>
        <v>1</v>
      </c>
    </row>
    <row r="11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&amp;L&amp;12Enron's Generation&amp;RCONFIDENTIAL</oddHeader>
    <oddFooter>&amp;L&amp;D&amp;C&amp;F&amp;RPage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G42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36.28"/>
    <col collapsed="false" customWidth="true" hidden="false" outlineLevel="0" max="2" min="2" style="1" width="2.7"/>
    <col collapsed="false" customWidth="true" hidden="false" outlineLevel="0" max="3" min="3" style="1" width="9.85"/>
    <col collapsed="false" customWidth="true" hidden="false" outlineLevel="0" max="4" min="4" style="1" width="12.56"/>
    <col collapsed="false" customWidth="true" hidden="false" outlineLevel="0" max="5" min="5" style="1" width="10.41"/>
    <col collapsed="false" customWidth="true" hidden="false" outlineLevel="0" max="6" min="6" style="1" width="2.7"/>
    <col collapsed="false" customWidth="true" hidden="false" outlineLevel="0" max="7" min="7" style="1" width="7.28"/>
    <col collapsed="false" customWidth="false" hidden="false" outlineLevel="0" max="257" min="8" style="1" width="9.14"/>
  </cols>
  <sheetData>
    <row r="2" customFormat="false" ht="12.75" hidden="false" customHeight="false" outlineLevel="0" collapsed="false">
      <c r="A2" s="3" t="s">
        <v>53</v>
      </c>
    </row>
    <row r="4" customFormat="false" ht="13.5" hidden="false" customHeight="false" outlineLevel="0" collapsed="false"/>
    <row r="5" customFormat="false" ht="12.75" hidden="false" customHeight="false" outlineLevel="0" collapsed="false">
      <c r="A5" s="68" t="s">
        <v>54</v>
      </c>
      <c r="B5" s="6"/>
      <c r="C5" s="91" t="s">
        <v>55</v>
      </c>
      <c r="D5" s="91"/>
      <c r="E5" s="91"/>
      <c r="F5" s="69"/>
      <c r="G5" s="92"/>
    </row>
    <row r="6" customFormat="false" ht="12.75" hidden="false" customHeight="false" outlineLevel="0" collapsed="false">
      <c r="A6" s="38"/>
      <c r="B6" s="12"/>
      <c r="C6" s="12"/>
      <c r="D6" s="12"/>
      <c r="E6" s="12"/>
      <c r="F6" s="93"/>
      <c r="G6" s="25"/>
    </row>
    <row r="7" customFormat="false" ht="12.75" hidden="false" customHeight="false" outlineLevel="0" collapsed="false">
      <c r="A7" s="38"/>
      <c r="B7" s="12"/>
      <c r="C7" s="39" t="s">
        <v>56</v>
      </c>
      <c r="D7" s="39" t="s">
        <v>57</v>
      </c>
      <c r="E7" s="39" t="s">
        <v>58</v>
      </c>
      <c r="F7" s="94"/>
      <c r="G7" s="95" t="s">
        <v>15</v>
      </c>
    </row>
    <row r="8" customFormat="false" ht="12.75" hidden="false" customHeight="false" outlineLevel="0" collapsed="false">
      <c r="A8" s="38" t="s">
        <v>59</v>
      </c>
      <c r="B8" s="12"/>
      <c r="C8" s="96" t="n">
        <v>3</v>
      </c>
      <c r="D8" s="96" t="n">
        <v>4</v>
      </c>
      <c r="E8" s="96" t="n">
        <v>8</v>
      </c>
      <c r="F8" s="75"/>
      <c r="G8" s="97" t="n">
        <f aca="false">SUM(C8:E8)</f>
        <v>15</v>
      </c>
    </row>
    <row r="9" customFormat="false" ht="14.25" hidden="false" customHeight="false" outlineLevel="0" collapsed="false">
      <c r="A9" s="38" t="s">
        <v>60</v>
      </c>
      <c r="B9" s="12"/>
      <c r="C9" s="96" t="n">
        <v>510</v>
      </c>
      <c r="D9" s="96" t="n">
        <v>470</v>
      </c>
      <c r="E9" s="96" t="n">
        <v>608</v>
      </c>
      <c r="F9" s="98"/>
      <c r="G9" s="97" t="n">
        <f aca="false">SUM(C9:E9)</f>
        <v>1588</v>
      </c>
    </row>
    <row r="10" customFormat="false" ht="12.75" hidden="false" customHeight="false" outlineLevel="0" collapsed="false">
      <c r="A10" s="38" t="s">
        <v>61</v>
      </c>
      <c r="B10" s="12"/>
      <c r="C10" s="96" t="n">
        <v>10592</v>
      </c>
      <c r="D10" s="96" t="n">
        <v>11734</v>
      </c>
      <c r="E10" s="96" t="n">
        <v>11973</v>
      </c>
      <c r="F10" s="75"/>
      <c r="G10" s="97" t="n">
        <f aca="false">SUMPRODUCT(C10:E10,C9:E9)/G9</f>
        <v>11458.7430730479</v>
      </c>
    </row>
    <row r="11" customFormat="false" ht="13.5" hidden="false" customHeight="false" outlineLevel="0" collapsed="false">
      <c r="A11" s="90" t="s">
        <v>62</v>
      </c>
      <c r="B11" s="29"/>
      <c r="C11" s="99" t="n">
        <v>75</v>
      </c>
      <c r="D11" s="99" t="n">
        <v>75</v>
      </c>
      <c r="E11" s="99" t="n">
        <v>75</v>
      </c>
      <c r="F11" s="29"/>
      <c r="G11" s="100" t="n">
        <f aca="false">SUM(C11:E11)</f>
        <v>225</v>
      </c>
    </row>
    <row r="13" customFormat="false" ht="13.5" hidden="false" customHeight="false" outlineLevel="0" collapsed="false">
      <c r="A13" s="12"/>
      <c r="B13" s="12"/>
      <c r="C13" s="12"/>
      <c r="D13" s="12"/>
      <c r="E13" s="12"/>
      <c r="F13" s="12"/>
      <c r="G13" s="12"/>
    </row>
    <row r="14" customFormat="false" ht="12.75" hidden="false" customHeight="false" outlineLevel="0" collapsed="false">
      <c r="A14" s="68" t="s">
        <v>63</v>
      </c>
      <c r="B14" s="6"/>
      <c r="C14" s="7"/>
      <c r="D14" s="7"/>
      <c r="E14" s="7"/>
      <c r="F14" s="6"/>
      <c r="G14" s="101"/>
    </row>
    <row r="15" customFormat="false" ht="12.75" hidden="false" customHeight="false" outlineLevel="0" collapsed="false">
      <c r="A15" s="38"/>
      <c r="B15" s="12"/>
      <c r="C15" s="12"/>
      <c r="D15" s="12"/>
      <c r="E15" s="12"/>
      <c r="F15" s="93"/>
      <c r="G15" s="102"/>
    </row>
    <row r="16" customFormat="false" ht="12.75" hidden="false" customHeight="false" outlineLevel="0" collapsed="false">
      <c r="A16" s="38" t="s">
        <v>64</v>
      </c>
      <c r="B16" s="12"/>
      <c r="C16" s="103" t="n">
        <v>4</v>
      </c>
      <c r="D16" s="104" t="n">
        <f aca="false">C16</f>
        <v>4</v>
      </c>
      <c r="E16" s="104" t="n">
        <f aca="false">C16</f>
        <v>4</v>
      </c>
      <c r="F16" s="105"/>
      <c r="G16" s="106"/>
    </row>
    <row r="17" customFormat="false" ht="12.75" hidden="false" customHeight="false" outlineLevel="0" collapsed="false">
      <c r="A17" s="38" t="s">
        <v>65</v>
      </c>
      <c r="B17" s="12"/>
      <c r="C17" s="107" t="n">
        <f aca="false">C23</f>
        <v>1.5</v>
      </c>
      <c r="D17" s="107" t="n">
        <f aca="false">D23</f>
        <v>3</v>
      </c>
      <c r="E17" s="107" t="n">
        <f aca="false">E23</f>
        <v>2</v>
      </c>
      <c r="F17" s="12"/>
      <c r="G17" s="25"/>
    </row>
    <row r="18" customFormat="false" ht="12.75" hidden="false" customHeight="false" outlineLevel="0" collapsed="false">
      <c r="A18" s="38" t="s">
        <v>66</v>
      </c>
      <c r="B18" s="12"/>
      <c r="C18" s="75" t="n">
        <f aca="false">C24</f>
        <v>1500</v>
      </c>
      <c r="D18" s="75" t="n">
        <f aca="false">D24</f>
        <v>1500</v>
      </c>
      <c r="E18" s="75" t="n">
        <f aca="false">E24</f>
        <v>1000</v>
      </c>
      <c r="F18" s="12"/>
      <c r="G18" s="97"/>
    </row>
    <row r="19" customFormat="false" ht="13.5" hidden="false" customHeight="false" outlineLevel="0" collapsed="false">
      <c r="A19" s="90" t="s">
        <v>67</v>
      </c>
      <c r="B19" s="29"/>
      <c r="C19" s="108" t="n">
        <v>532991.61978559</v>
      </c>
      <c r="D19" s="108" t="n">
        <v>461312.721856219</v>
      </c>
      <c r="E19" s="108" t="n">
        <v>2002000</v>
      </c>
      <c r="F19" s="29"/>
      <c r="G19" s="100"/>
    </row>
    <row r="20" customFormat="false" ht="12.75" hidden="false" customHeight="false" outlineLevel="0" collapsed="false">
      <c r="A20" s="12"/>
      <c r="B20" s="12"/>
      <c r="C20" s="12"/>
      <c r="D20" s="12"/>
      <c r="E20" s="12"/>
      <c r="F20" s="12"/>
      <c r="G20" s="12"/>
    </row>
    <row r="21" customFormat="false" ht="13.5" hidden="false" customHeight="false" outlineLevel="0" collapsed="false"/>
    <row r="22" customFormat="false" ht="12.75" hidden="false" customHeight="false" outlineLevel="0" collapsed="false">
      <c r="A22" s="5" t="s">
        <v>68</v>
      </c>
      <c r="B22" s="7"/>
      <c r="C22" s="109"/>
      <c r="D22" s="109"/>
      <c r="E22" s="110"/>
      <c r="F22" s="111"/>
      <c r="G22" s="112"/>
    </row>
    <row r="23" customFormat="false" ht="12.75" hidden="false" customHeight="false" outlineLevel="0" collapsed="false">
      <c r="A23" s="113" t="s">
        <v>69</v>
      </c>
      <c r="B23" s="12"/>
      <c r="C23" s="114" t="n">
        <v>1.5</v>
      </c>
      <c r="D23" s="114" t="n">
        <v>3</v>
      </c>
      <c r="E23" s="114" t="n">
        <v>2</v>
      </c>
      <c r="F23" s="115"/>
      <c r="G23" s="116"/>
    </row>
    <row r="24" customFormat="false" ht="12.75" hidden="false" customHeight="false" outlineLevel="0" collapsed="false">
      <c r="A24" s="38" t="s">
        <v>70</v>
      </c>
      <c r="B24" s="12"/>
      <c r="C24" s="96" t="n">
        <v>1500</v>
      </c>
      <c r="D24" s="96" t="n">
        <v>1500</v>
      </c>
      <c r="E24" s="96" t="n">
        <v>1000</v>
      </c>
      <c r="F24" s="117"/>
      <c r="G24" s="118"/>
    </row>
    <row r="25" customFormat="false" ht="12.75" hidden="false" customHeight="false" outlineLevel="0" collapsed="false">
      <c r="A25" s="38" t="s">
        <v>71</v>
      </c>
      <c r="B25" s="12"/>
      <c r="C25" s="60" t="n">
        <v>0.03</v>
      </c>
      <c r="D25" s="117" t="n">
        <f aca="false">C25</f>
        <v>0.03</v>
      </c>
      <c r="E25" s="117" t="n">
        <f aca="false">C25</f>
        <v>0.03</v>
      </c>
      <c r="F25" s="79"/>
      <c r="G25" s="119"/>
    </row>
    <row r="26" customFormat="false" ht="12.75" hidden="false" customHeight="false" outlineLevel="0" collapsed="false">
      <c r="A26" s="38"/>
      <c r="B26" s="12"/>
      <c r="C26" s="78"/>
      <c r="D26" s="78"/>
      <c r="E26" s="78"/>
      <c r="F26" s="120"/>
      <c r="G26" s="121"/>
    </row>
    <row r="27" customFormat="false" ht="12.75" hidden="false" customHeight="false" outlineLevel="0" collapsed="false">
      <c r="A27" s="42" t="s">
        <v>72</v>
      </c>
      <c r="B27" s="12"/>
      <c r="C27" s="122"/>
      <c r="D27" s="122"/>
      <c r="E27" s="122"/>
      <c r="F27" s="120"/>
      <c r="G27" s="121"/>
    </row>
    <row r="28" customFormat="false" ht="12.75" hidden="false" customHeight="false" outlineLevel="0" collapsed="false">
      <c r="A28" s="38" t="s">
        <v>73</v>
      </c>
      <c r="B28" s="12"/>
      <c r="C28" s="123" t="n">
        <v>1242.48171428571</v>
      </c>
      <c r="D28" s="123" t="n">
        <v>1515.79028571429</v>
      </c>
      <c r="E28" s="123" t="n">
        <v>1448.54057142857</v>
      </c>
      <c r="F28" s="120"/>
      <c r="G28" s="121"/>
    </row>
    <row r="29" customFormat="false" ht="12.75" hidden="false" customHeight="false" outlineLevel="0" collapsed="false">
      <c r="A29" s="38" t="s">
        <v>74</v>
      </c>
      <c r="B29" s="12"/>
      <c r="C29" s="98" t="n">
        <f aca="false">C23*C19/1000</f>
        <v>799.487429678385</v>
      </c>
      <c r="D29" s="98" t="n">
        <f aca="false">D23*D19/1000</f>
        <v>1383.93816556866</v>
      </c>
      <c r="E29" s="98" t="n">
        <f aca="false">E23*E19/1000</f>
        <v>4004</v>
      </c>
      <c r="F29" s="120"/>
      <c r="G29" s="121"/>
    </row>
    <row r="30" customFormat="false" ht="12.75" hidden="false" customHeight="false" outlineLevel="0" collapsed="false">
      <c r="A30" s="38" t="s">
        <v>75</v>
      </c>
      <c r="B30" s="12"/>
      <c r="C30" s="98" t="n">
        <f aca="false">C24*C11*C8/1000</f>
        <v>337.5</v>
      </c>
      <c r="D30" s="98" t="n">
        <f aca="false">D24*D11*D8/1000</f>
        <v>450</v>
      </c>
      <c r="E30" s="98" t="n">
        <f aca="false">E24*E11*E8/1000</f>
        <v>600</v>
      </c>
      <c r="F30" s="12"/>
      <c r="G30" s="25"/>
    </row>
    <row r="31" customFormat="false" ht="12.75" hidden="false" customHeight="false" outlineLevel="0" collapsed="false">
      <c r="A31" s="38" t="s">
        <v>76</v>
      </c>
      <c r="B31" s="12"/>
      <c r="C31" s="123" t="n">
        <v>322.251142857143</v>
      </c>
      <c r="D31" s="123" t="n">
        <v>306.267714285714</v>
      </c>
      <c r="E31" s="123" t="n">
        <v>400.647142857143</v>
      </c>
      <c r="F31" s="120"/>
      <c r="G31" s="121"/>
    </row>
    <row r="32" customFormat="false" ht="13.5" hidden="false" customHeight="false" outlineLevel="0" collapsed="false">
      <c r="A32" s="90" t="s">
        <v>77</v>
      </c>
      <c r="B32" s="29"/>
      <c r="C32" s="124" t="n">
        <f aca="false">-Gleason!B50</f>
        <v>92.2251014</v>
      </c>
      <c r="D32" s="124" t="n">
        <f aca="false">-Wheatland!B50</f>
        <v>203.273</v>
      </c>
      <c r="E32" s="124" t="n">
        <f aca="false">-Wilton!B50</f>
        <v>333.7</v>
      </c>
      <c r="F32" s="29"/>
      <c r="G32" s="67"/>
    </row>
    <row r="34" customFormat="false" ht="13.5" hidden="false" customHeight="false" outlineLevel="0" collapsed="false">
      <c r="A34" s="12"/>
      <c r="B34" s="12"/>
      <c r="C34" s="12"/>
      <c r="D34" s="12"/>
      <c r="E34" s="12"/>
      <c r="F34" s="12"/>
      <c r="G34" s="12"/>
    </row>
    <row r="35" customFormat="false" ht="12.75" hidden="false" customHeight="false" outlineLevel="0" collapsed="false">
      <c r="A35" s="68" t="s">
        <v>78</v>
      </c>
      <c r="B35" s="6"/>
      <c r="C35" s="110"/>
      <c r="D35" s="110"/>
      <c r="E35" s="110"/>
      <c r="F35" s="110"/>
      <c r="G35" s="125"/>
    </row>
    <row r="36" customFormat="false" ht="12.75" hidden="false" customHeight="false" outlineLevel="0" collapsed="false">
      <c r="A36" s="38"/>
      <c r="B36" s="12"/>
      <c r="C36" s="115"/>
      <c r="D36" s="115"/>
      <c r="E36" s="115"/>
      <c r="F36" s="115"/>
      <c r="G36" s="116"/>
    </row>
    <row r="37" customFormat="false" ht="12.75" hidden="false" customHeight="false" outlineLevel="0" collapsed="false">
      <c r="A37" s="38" t="s">
        <v>79</v>
      </c>
      <c r="B37" s="12"/>
      <c r="C37" s="60" t="n">
        <v>0.35</v>
      </c>
      <c r="D37" s="60" t="n">
        <v>0.35</v>
      </c>
      <c r="E37" s="60" t="n">
        <v>0.35</v>
      </c>
      <c r="F37" s="117"/>
      <c r="G37" s="118" t="n">
        <v>0.35</v>
      </c>
    </row>
    <row r="38" customFormat="false" ht="12.75" hidden="false" customHeight="false" outlineLevel="0" collapsed="false">
      <c r="A38" s="38" t="s">
        <v>80</v>
      </c>
      <c r="B38" s="12"/>
      <c r="C38" s="126" t="n">
        <v>0.06</v>
      </c>
      <c r="D38" s="126" t="n">
        <v>0.045</v>
      </c>
      <c r="E38" s="126" t="n">
        <v>0.0718</v>
      </c>
      <c r="F38" s="79"/>
      <c r="G38" s="119"/>
    </row>
    <row r="39" customFormat="false" ht="12.75" hidden="false" customHeight="false" outlineLevel="0" collapsed="false">
      <c r="A39" s="38" t="s">
        <v>81</v>
      </c>
      <c r="B39" s="12"/>
      <c r="C39" s="126" t="s">
        <v>82</v>
      </c>
      <c r="D39" s="126" t="n">
        <v>0.034</v>
      </c>
      <c r="E39" s="126" t="s">
        <v>82</v>
      </c>
      <c r="F39" s="79"/>
      <c r="G39" s="119"/>
    </row>
    <row r="40" customFormat="false" ht="12.75" hidden="false" customHeight="false" outlineLevel="0" collapsed="false">
      <c r="A40" s="38" t="s">
        <v>83</v>
      </c>
      <c r="B40" s="12"/>
      <c r="C40" s="126" t="s">
        <v>82</v>
      </c>
      <c r="D40" s="126" t="n">
        <v>0.012</v>
      </c>
      <c r="E40" s="126" t="s">
        <v>82</v>
      </c>
      <c r="F40" s="115"/>
      <c r="G40" s="116"/>
    </row>
    <row r="41" customFormat="false" ht="12.75" hidden="false" customHeight="false" outlineLevel="0" collapsed="false">
      <c r="A41" s="38" t="s">
        <v>84</v>
      </c>
      <c r="B41" s="12"/>
      <c r="C41" s="126" t="n">
        <v>0.0025</v>
      </c>
      <c r="D41" s="126" t="s">
        <v>82</v>
      </c>
      <c r="E41" s="126" t="n">
        <v>0.0015</v>
      </c>
      <c r="F41" s="115"/>
      <c r="G41" s="116"/>
    </row>
    <row r="42" customFormat="false" ht="13.5" hidden="false" customHeight="false" outlineLevel="0" collapsed="false">
      <c r="A42" s="90" t="s">
        <v>85</v>
      </c>
      <c r="B42" s="29"/>
      <c r="C42" s="127" t="n">
        <v>0.0025</v>
      </c>
      <c r="D42" s="127" t="s">
        <v>82</v>
      </c>
      <c r="E42" s="127" t="n">
        <v>0.001</v>
      </c>
      <c r="F42" s="29"/>
      <c r="G42" s="67"/>
    </row>
  </sheetData>
  <mergeCells count="1">
    <mergeCell ref="C5:E5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&amp;L&amp;12Enron's Generation&amp;RCONFIDENTIAL</oddHeader>
    <oddFooter>&amp;L&amp;D&amp;C&amp;F&amp;RPage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4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1" ySplit="4" topLeftCell="B5" activePane="bottomRight" state="frozen"/>
      <selection pane="topLeft" activeCell="A1" activeCellId="0" sqref="A1"/>
      <selection pane="topRight" activeCell="B1" activeCellId="0" sqref="B1"/>
      <selection pane="bottomLeft" activeCell="A5" activeCellId="0" sqref="A5"/>
      <selection pane="bottomRight" activeCell="B5" activeCellId="0" sqref="B5"/>
    </sheetView>
  </sheetViews>
  <sheetFormatPr defaultColWidth="9.28125" defaultRowHeight="12.75" customHeight="true" zeroHeight="false" outlineLevelRow="0" outlineLevelCol="0"/>
  <cols>
    <col collapsed="false" customWidth="true" hidden="false" outlineLevel="0" max="1" min="1" style="1" width="45.13"/>
    <col collapsed="false" customWidth="true" hidden="false" outlineLevel="0" max="15" min="2" style="1" width="6.7"/>
    <col collapsed="false" customWidth="true" hidden="false" outlineLevel="0" max="22" min="16" style="1" width="7.7"/>
    <col collapsed="false" customWidth="false" hidden="false" outlineLevel="0" max="257" min="23" style="1" width="9.28"/>
  </cols>
  <sheetData>
    <row r="1" customFormat="false" ht="12" hidden="false" customHeight="true" outlineLevel="0" collapsed="false">
      <c r="A1" s="2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28"/>
      <c r="S1" s="128"/>
      <c r="T1" s="128"/>
      <c r="U1" s="128"/>
      <c r="V1" s="128"/>
    </row>
    <row r="2" customFormat="false" ht="12.75" hidden="false" customHeight="false" outlineLevel="0" collapsed="false">
      <c r="A2" s="3" t="s">
        <v>86</v>
      </c>
      <c r="B2" s="4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28"/>
      <c r="S2" s="128"/>
      <c r="T2" s="128"/>
      <c r="U2" s="128"/>
      <c r="V2" s="128"/>
    </row>
    <row r="3" customFormat="false" ht="12.75" hidden="false" customHeight="false" outlineLevel="0" collapsed="false"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29"/>
      <c r="S3" s="129"/>
      <c r="T3" s="129"/>
      <c r="U3" s="129"/>
      <c r="V3" s="129"/>
    </row>
    <row r="4" customFormat="false" ht="12.75" hidden="false" customHeight="false" outlineLevel="0" collapsed="false">
      <c r="C4" s="130" t="n">
        <v>2001</v>
      </c>
      <c r="D4" s="130" t="n">
        <v>2002</v>
      </c>
      <c r="E4" s="130" t="n">
        <v>2003</v>
      </c>
      <c r="F4" s="130" t="n">
        <v>2004</v>
      </c>
      <c r="G4" s="130" t="n">
        <v>2005</v>
      </c>
      <c r="H4" s="130" t="n">
        <v>2006</v>
      </c>
      <c r="I4" s="130" t="n">
        <v>2007</v>
      </c>
      <c r="J4" s="130" t="n">
        <v>2008</v>
      </c>
      <c r="K4" s="130" t="n">
        <v>2009</v>
      </c>
      <c r="L4" s="130" t="n">
        <v>2010</v>
      </c>
      <c r="M4" s="130" t="n">
        <v>2011</v>
      </c>
      <c r="N4" s="130" t="n">
        <v>2012</v>
      </c>
      <c r="O4" s="130" t="n">
        <v>2013</v>
      </c>
      <c r="P4" s="130" t="n">
        <v>2014</v>
      </c>
      <c r="Q4" s="130" t="n">
        <v>2015</v>
      </c>
      <c r="R4" s="130" t="n">
        <v>2016</v>
      </c>
      <c r="S4" s="130" t="n">
        <v>2017</v>
      </c>
      <c r="T4" s="130" t="n">
        <v>2018</v>
      </c>
      <c r="U4" s="130" t="n">
        <v>2019</v>
      </c>
      <c r="V4" s="130" t="n">
        <v>2020</v>
      </c>
    </row>
    <row r="5" customFormat="false" ht="12.75" hidden="false" customHeight="false" outlineLevel="0" collapsed="false">
      <c r="C5" s="130"/>
      <c r="D5" s="130"/>
      <c r="E5" s="130"/>
      <c r="F5" s="130"/>
      <c r="G5" s="130"/>
      <c r="H5" s="130"/>
      <c r="I5" s="130"/>
      <c r="J5" s="130"/>
      <c r="K5" s="130"/>
      <c r="L5" s="130"/>
      <c r="M5" s="130"/>
      <c r="N5" s="130"/>
      <c r="O5" s="130"/>
      <c r="P5" s="130"/>
      <c r="Q5" s="130"/>
      <c r="R5" s="130"/>
      <c r="S5" s="130"/>
      <c r="T5" s="130"/>
      <c r="U5" s="130"/>
      <c r="V5" s="130"/>
    </row>
    <row r="6" customFormat="false" ht="12.75" hidden="false" customHeight="false" outlineLevel="0" collapsed="false">
      <c r="A6" s="131" t="s">
        <v>87</v>
      </c>
      <c r="C6" s="130"/>
      <c r="D6" s="130"/>
      <c r="E6" s="130"/>
      <c r="F6" s="130"/>
      <c r="G6" s="130"/>
      <c r="H6" s="130"/>
      <c r="I6" s="130"/>
      <c r="J6" s="130"/>
      <c r="K6" s="130"/>
      <c r="L6" s="130"/>
      <c r="M6" s="130"/>
      <c r="N6" s="130"/>
      <c r="O6" s="130"/>
      <c r="P6" s="130"/>
      <c r="Q6" s="130"/>
      <c r="R6" s="130"/>
      <c r="S6" s="130"/>
      <c r="T6" s="130"/>
      <c r="U6" s="130"/>
      <c r="V6" s="130"/>
    </row>
    <row r="7" customFormat="false" ht="12.75" hidden="false" customHeight="false" outlineLevel="0" collapsed="false">
      <c r="A7" s="131"/>
      <c r="C7" s="130"/>
      <c r="D7" s="130"/>
      <c r="E7" s="130"/>
      <c r="F7" s="130"/>
      <c r="G7" s="130"/>
      <c r="H7" s="130"/>
      <c r="I7" s="130"/>
      <c r="J7" s="130"/>
      <c r="K7" s="130"/>
      <c r="L7" s="130"/>
      <c r="M7" s="130"/>
      <c r="N7" s="130"/>
      <c r="O7" s="130"/>
      <c r="P7" s="130"/>
      <c r="Q7" s="130"/>
      <c r="R7" s="130"/>
      <c r="S7" s="130"/>
      <c r="T7" s="130"/>
      <c r="U7" s="130"/>
      <c r="V7" s="130"/>
    </row>
    <row r="8" customFormat="false" ht="12.75" hidden="false" customHeight="false" outlineLevel="0" collapsed="false">
      <c r="A8" s="40" t="s">
        <v>88</v>
      </c>
      <c r="C8" s="132" t="n">
        <f aca="false">Assumptions!C25</f>
        <v>0.03</v>
      </c>
      <c r="D8" s="12"/>
      <c r="E8" s="133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</row>
    <row r="9" customFormat="false" ht="12.75" hidden="false" customHeight="false" outlineLevel="0" collapsed="false">
      <c r="A9" s="40"/>
      <c r="B9" s="134"/>
      <c r="C9" s="12"/>
      <c r="D9" s="12"/>
      <c r="E9" s="133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</row>
    <row r="10" customFormat="false" ht="12.75" hidden="false" customHeight="false" outlineLevel="0" collapsed="false">
      <c r="A10" s="12"/>
      <c r="B10" s="61"/>
      <c r="C10" s="12"/>
      <c r="D10" s="12"/>
      <c r="E10" s="133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</row>
    <row r="11" customFormat="false" ht="12.75" hidden="false" customHeight="false" outlineLevel="0" collapsed="false">
      <c r="A11" s="131" t="s">
        <v>89</v>
      </c>
      <c r="B11" s="12"/>
      <c r="C11" s="135"/>
      <c r="D11" s="135"/>
      <c r="E11" s="135"/>
      <c r="F11" s="135"/>
      <c r="G11" s="135"/>
      <c r="H11" s="135"/>
      <c r="I11" s="135"/>
      <c r="J11" s="135"/>
      <c r="K11" s="135"/>
      <c r="L11" s="135"/>
      <c r="M11" s="135"/>
      <c r="N11" s="135"/>
      <c r="O11" s="135"/>
      <c r="P11" s="135"/>
      <c r="Q11" s="135"/>
      <c r="R11" s="135"/>
      <c r="S11" s="135"/>
      <c r="T11" s="135"/>
      <c r="U11" s="135"/>
      <c r="V11" s="135"/>
    </row>
    <row r="12" customFormat="false" ht="12.75" hidden="false" customHeight="false" outlineLevel="0" collapsed="false">
      <c r="A12" s="12" t="s">
        <v>90</v>
      </c>
      <c r="B12" s="12"/>
    </row>
    <row r="13" customFormat="false" ht="12.75" hidden="false" customHeight="false" outlineLevel="0" collapsed="false">
      <c r="A13" s="12"/>
      <c r="B13" s="12"/>
      <c r="C13" s="130"/>
      <c r="D13" s="130"/>
      <c r="E13" s="130"/>
      <c r="F13" s="130"/>
      <c r="G13" s="130"/>
      <c r="H13" s="130"/>
      <c r="I13" s="130"/>
      <c r="J13" s="130"/>
      <c r="K13" s="130"/>
      <c r="L13" s="130"/>
      <c r="M13" s="130"/>
      <c r="N13" s="130"/>
      <c r="O13" s="130"/>
      <c r="P13" s="130"/>
      <c r="Q13" s="130"/>
      <c r="R13" s="130"/>
      <c r="S13" s="130"/>
      <c r="T13" s="130"/>
      <c r="U13" s="130"/>
      <c r="V13" s="130"/>
    </row>
    <row r="14" customFormat="false" ht="12.75" hidden="false" customHeight="false" outlineLevel="0" collapsed="false">
      <c r="A14" s="136" t="s">
        <v>91</v>
      </c>
      <c r="B14" s="12"/>
      <c r="C14" s="133"/>
      <c r="D14" s="133"/>
      <c r="E14" s="133"/>
      <c r="F14" s="133"/>
      <c r="G14" s="133"/>
      <c r="H14" s="133"/>
      <c r="I14" s="133"/>
      <c r="J14" s="133"/>
      <c r="K14" s="133"/>
      <c r="L14" s="133"/>
      <c r="M14" s="133"/>
      <c r="N14" s="133"/>
      <c r="O14" s="133"/>
      <c r="P14" s="133"/>
      <c r="Q14" s="133"/>
      <c r="R14" s="133"/>
      <c r="S14" s="133"/>
      <c r="T14" s="133"/>
      <c r="U14" s="133"/>
      <c r="V14" s="133"/>
    </row>
    <row r="15" customFormat="false" ht="12.75" hidden="false" customHeight="false" outlineLevel="0" collapsed="false">
      <c r="A15" s="12" t="s">
        <v>92</v>
      </c>
      <c r="B15" s="137"/>
      <c r="C15" s="138" t="n">
        <v>60.9722991689751</v>
      </c>
      <c r="D15" s="138" t="n">
        <v>62.1317424158014</v>
      </c>
      <c r="E15" s="138" t="n">
        <v>63.3132335214248</v>
      </c>
      <c r="F15" s="138" t="n">
        <v>64.5171917457606</v>
      </c>
      <c r="G15" s="138" t="n">
        <v>65.7440443213296</v>
      </c>
      <c r="H15" s="138" t="n">
        <v>64.6476957619109</v>
      </c>
      <c r="I15" s="138" t="n">
        <v>63.5696299256825</v>
      </c>
      <c r="J15" s="138" t="n">
        <v>62.5095419297088</v>
      </c>
      <c r="K15" s="138" t="n">
        <v>61.4671319752861</v>
      </c>
      <c r="L15" s="138" t="n">
        <v>60.4421052631579</v>
      </c>
      <c r="M15" s="138" t="n">
        <v>59.7920389893765</v>
      </c>
      <c r="N15" s="138" t="n">
        <v>59.1489643013195</v>
      </c>
      <c r="O15" s="138" t="n">
        <v>58.51280600316</v>
      </c>
      <c r="P15" s="138" t="n">
        <v>57.8834897078165</v>
      </c>
      <c r="Q15" s="138" t="n">
        <v>57.2609418282549</v>
      </c>
      <c r="R15" s="138" t="n">
        <v>56.3863179526819</v>
      </c>
      <c r="S15" s="138" t="n">
        <v>55.5250533914914</v>
      </c>
      <c r="T15" s="138" t="n">
        <v>54.6769440897911</v>
      </c>
      <c r="U15" s="138" t="n">
        <v>53.8417891094953</v>
      </c>
      <c r="V15" s="138" t="n">
        <v>53.0193905817175</v>
      </c>
    </row>
    <row r="16" customFormat="false" ht="12.75" hidden="false" customHeight="false" outlineLevel="0" collapsed="false">
      <c r="A16" s="12"/>
      <c r="B16" s="12"/>
      <c r="C16" s="138"/>
      <c r="D16" s="138"/>
      <c r="E16" s="138"/>
      <c r="F16" s="138"/>
      <c r="G16" s="138"/>
      <c r="H16" s="138"/>
      <c r="I16" s="138"/>
      <c r="J16" s="138"/>
      <c r="K16" s="138"/>
      <c r="L16" s="138"/>
      <c r="M16" s="138"/>
      <c r="N16" s="138"/>
      <c r="O16" s="138"/>
      <c r="P16" s="138"/>
      <c r="Q16" s="138"/>
      <c r="R16" s="138"/>
      <c r="S16" s="138"/>
      <c r="T16" s="138"/>
      <c r="U16" s="138"/>
      <c r="V16" s="138"/>
    </row>
    <row r="17" customFormat="false" ht="12.75" hidden="false" customHeight="false" outlineLevel="0" collapsed="false">
      <c r="A17" s="136" t="s">
        <v>93</v>
      </c>
      <c r="B17" s="12"/>
      <c r="C17" s="138"/>
      <c r="D17" s="138"/>
      <c r="E17" s="138"/>
      <c r="F17" s="138"/>
      <c r="G17" s="138"/>
      <c r="H17" s="138"/>
      <c r="I17" s="138"/>
      <c r="J17" s="138"/>
      <c r="K17" s="138"/>
      <c r="L17" s="138"/>
      <c r="M17" s="138"/>
      <c r="N17" s="138"/>
      <c r="O17" s="138"/>
      <c r="P17" s="138"/>
      <c r="Q17" s="138"/>
      <c r="R17" s="138"/>
      <c r="S17" s="138"/>
      <c r="T17" s="138"/>
      <c r="U17" s="138"/>
      <c r="V17" s="138"/>
    </row>
    <row r="18" customFormat="false" ht="12.75" hidden="false" customHeight="false" outlineLevel="0" collapsed="false">
      <c r="A18" s="12" t="s">
        <v>94</v>
      </c>
      <c r="B18" s="139"/>
      <c r="C18" s="138" t="n">
        <f aca="false">C15*(1+'Power Price Assumption'!$C$8)^(C4-1998)</f>
        <v>66.6260775540166</v>
      </c>
      <c r="D18" s="138" t="n">
        <f aca="false">D15*(1+'Power Price Assumption'!$C$8)^(D4-1998)</f>
        <v>69.9298234696352</v>
      </c>
      <c r="E18" s="138" t="n">
        <f aca="false">E15*(1+'Power Price Assumption'!$C$8)^(E4-1998)</f>
        <v>73.3973901814894</v>
      </c>
      <c r="F18" s="138" t="n">
        <f aca="false">F15*(1+'Power Price Assumption'!$C$8)^(F4-1998)</f>
        <v>77.0369009696273</v>
      </c>
      <c r="G18" s="138" t="n">
        <f aca="false">G15*(1+'Power Price Assumption'!$C$8)^(G4-1998)</f>
        <v>80.8568819181377</v>
      </c>
      <c r="H18" s="138" t="n">
        <f aca="false">H15*(1+'Power Price Assumption'!$C$8)^(H4-1998)</f>
        <v>81.8937668218377</v>
      </c>
      <c r="I18" s="138" t="n">
        <f aca="false">I15*(1+'Power Price Assumption'!$C$8)^(I4-1998)</f>
        <v>82.9439484329796</v>
      </c>
      <c r="J18" s="138" t="n">
        <f aca="false">J15*(1+'Power Price Assumption'!$C$8)^(J4-1998)</f>
        <v>84.0075972646339</v>
      </c>
      <c r="K18" s="138" t="n">
        <f aca="false">K15*(1+'Power Price Assumption'!$C$8)^(K4-1998)</f>
        <v>85.0848860164807</v>
      </c>
      <c r="L18" s="138" t="n">
        <f aca="false">L15*(1+'Power Price Assumption'!$C$8)^(L4-1998)</f>
        <v>86.1759896028501</v>
      </c>
      <c r="M18" s="138" t="n">
        <f aca="false">M15*(1+'Power Price Assumption'!$C$8)^(M4-1998)</f>
        <v>87.8066250519098</v>
      </c>
      <c r="N18" s="138" t="n">
        <f aca="false">N15*(1+'Power Price Assumption'!$C$8)^(N4-1998)</f>
        <v>89.4681156379976</v>
      </c>
      <c r="O18" s="138" t="n">
        <f aca="false">O15*(1+'Power Price Assumption'!$C$8)^(O4-1998)</f>
        <v>91.1610452068049</v>
      </c>
      <c r="P18" s="138" t="n">
        <f aca="false">P15*(1+'Power Price Assumption'!$C$8)^(P4-1998)</f>
        <v>92.8860086516416</v>
      </c>
      <c r="Q18" s="138" t="n">
        <f aca="false">Q15*(1+'Power Price Assumption'!$C$8)^(Q4-1998)</f>
        <v>94.6436121224815</v>
      </c>
      <c r="R18" s="138" t="n">
        <f aca="false">R15*(1+'Power Price Assumption'!$C$8)^(R4-1998)</f>
        <v>95.9939318842308</v>
      </c>
      <c r="S18" s="138" t="n">
        <f aca="false">S15*(1+'Power Price Assumption'!$C$8)^(S4-1998)</f>
        <v>97.3635172194095</v>
      </c>
      <c r="T18" s="138" t="n">
        <f aca="false">T15*(1+'Power Price Assumption'!$C$8)^(T4-1998)</f>
        <v>98.7526429979633</v>
      </c>
      <c r="U18" s="138" t="n">
        <f aca="false">U15*(1+'Power Price Assumption'!$C$8)^(U4-1998)</f>
        <v>100.161588011522</v>
      </c>
      <c r="V18" s="138" t="n">
        <f aca="false">V15*(1+'Power Price Assumption'!$C$8)^(V4-1998)</f>
        <v>101.59063502935</v>
      </c>
    </row>
    <row r="19" customFormat="false" ht="13.5" hidden="false" customHeight="false" outlineLevel="0" collapsed="false">
      <c r="A19" s="12"/>
      <c r="B19" s="12"/>
      <c r="C19" s="140"/>
      <c r="D19" s="140"/>
      <c r="E19" s="140"/>
      <c r="F19" s="140"/>
      <c r="G19" s="140"/>
      <c r="H19" s="140"/>
      <c r="I19" s="140"/>
      <c r="J19" s="140"/>
      <c r="K19" s="140"/>
      <c r="L19" s="140"/>
      <c r="M19" s="140"/>
      <c r="N19" s="140"/>
      <c r="O19" s="140"/>
      <c r="P19" s="140"/>
      <c r="Q19" s="140"/>
      <c r="R19" s="140"/>
      <c r="S19" s="140"/>
      <c r="T19" s="140"/>
      <c r="U19" s="140"/>
      <c r="V19" s="140"/>
    </row>
    <row r="20" customFormat="false" ht="13.5" hidden="false" customHeight="false" outlineLevel="0" collapsed="false">
      <c r="A20" s="141" t="s">
        <v>95</v>
      </c>
      <c r="B20" s="142"/>
      <c r="C20" s="143" t="n">
        <f aca="false">C18/12</f>
        <v>5.55217312950138</v>
      </c>
      <c r="D20" s="143" t="n">
        <f aca="false">D18/12</f>
        <v>5.82748528913626</v>
      </c>
      <c r="E20" s="143" t="n">
        <f aca="false">E18/12</f>
        <v>6.11644918179079</v>
      </c>
      <c r="F20" s="143" t="n">
        <f aca="false">F18/12</f>
        <v>6.41974174746894</v>
      </c>
      <c r="G20" s="143" t="n">
        <f aca="false">G18/12</f>
        <v>6.73807349317814</v>
      </c>
      <c r="H20" s="143" t="n">
        <f aca="false">H18/12</f>
        <v>6.82448056848648</v>
      </c>
      <c r="I20" s="143" t="n">
        <f aca="false">I18/12</f>
        <v>6.9119957027483</v>
      </c>
      <c r="J20" s="143" t="n">
        <f aca="false">J18/12</f>
        <v>7.00063310538616</v>
      </c>
      <c r="K20" s="143" t="n">
        <f aca="false">K18/12</f>
        <v>7.09040716804006</v>
      </c>
      <c r="L20" s="143" t="n">
        <f aca="false">L18/12</f>
        <v>7.18133246690418</v>
      </c>
      <c r="M20" s="143" t="n">
        <f aca="false">M18/12</f>
        <v>7.31721875432582</v>
      </c>
      <c r="N20" s="143" t="n">
        <f aca="false">N18/12</f>
        <v>7.45567630316647</v>
      </c>
      <c r="O20" s="143" t="n">
        <f aca="false">O18/12</f>
        <v>7.59675376723374</v>
      </c>
      <c r="P20" s="143" t="n">
        <f aca="false">P18/12</f>
        <v>7.74050072097014</v>
      </c>
      <c r="Q20" s="143" t="n">
        <f aca="false">Q18/12</f>
        <v>7.88696767687346</v>
      </c>
      <c r="R20" s="143" t="n">
        <f aca="false">R18/12</f>
        <v>7.9994943236859</v>
      </c>
      <c r="S20" s="143" t="n">
        <f aca="false">S18/12</f>
        <v>8.11362643495079</v>
      </c>
      <c r="T20" s="143" t="n">
        <f aca="false">T18/12</f>
        <v>8.22938691649694</v>
      </c>
      <c r="U20" s="143" t="n">
        <f aca="false">U18/12</f>
        <v>8.34679900096013</v>
      </c>
      <c r="V20" s="143" t="n">
        <f aca="false">V18/12</f>
        <v>8.46588625244584</v>
      </c>
    </row>
    <row r="21" customFormat="false" ht="12.75" hidden="false" customHeight="false" outlineLevel="0" collapsed="false">
      <c r="A21" s="40"/>
      <c r="B21" s="12"/>
      <c r="C21" s="144"/>
      <c r="D21" s="144"/>
      <c r="E21" s="144"/>
      <c r="F21" s="144"/>
      <c r="G21" s="144"/>
      <c r="H21" s="144"/>
      <c r="I21" s="144"/>
      <c r="J21" s="144"/>
      <c r="K21" s="144"/>
      <c r="L21" s="144"/>
      <c r="M21" s="144"/>
      <c r="N21" s="144"/>
      <c r="O21" s="144"/>
      <c r="P21" s="144"/>
      <c r="Q21" s="144"/>
      <c r="R21" s="144"/>
      <c r="S21" s="144"/>
      <c r="T21" s="144"/>
      <c r="U21" s="144"/>
      <c r="V21" s="14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</row>
    <row r="22" customFormat="false" ht="12.75" hidden="false" customHeight="false" outlineLevel="0" collapsed="false">
      <c r="A22" s="12"/>
      <c r="B22" s="145"/>
      <c r="C22" s="146"/>
      <c r="D22" s="146"/>
      <c r="E22" s="146"/>
      <c r="F22" s="146"/>
      <c r="G22" s="146"/>
      <c r="H22" s="146"/>
      <c r="I22" s="146"/>
      <c r="J22" s="146"/>
      <c r="K22" s="146"/>
      <c r="L22" s="146"/>
      <c r="M22" s="146"/>
      <c r="N22" s="146"/>
      <c r="O22" s="146"/>
      <c r="P22" s="146"/>
      <c r="Q22" s="146"/>
      <c r="R22" s="146"/>
      <c r="S22" s="146"/>
      <c r="T22" s="146"/>
      <c r="U22" s="146"/>
      <c r="V22" s="146"/>
    </row>
    <row r="23" customFormat="false" ht="12.75" hidden="false" customHeight="false" outlineLevel="0" collapsed="false">
      <c r="A23" s="131" t="s">
        <v>96</v>
      </c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</row>
    <row r="24" customFormat="false" ht="12.75" hidden="false" customHeight="false" outlineLevel="0" collapsed="false">
      <c r="A24" s="12" t="s">
        <v>97</v>
      </c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</row>
    <row r="25" customFormat="false" ht="12.75" hidden="false" customHeight="false" outlineLevel="0" collapsed="false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</row>
    <row r="26" customFormat="false" ht="12.75" hidden="false" customHeight="false" outlineLevel="0" collapsed="false">
      <c r="A26" s="136" t="s">
        <v>91</v>
      </c>
      <c r="B26" s="12"/>
      <c r="C26" s="133"/>
      <c r="D26" s="133"/>
      <c r="E26" s="133"/>
      <c r="F26" s="133"/>
      <c r="G26" s="133"/>
      <c r="H26" s="133"/>
      <c r="I26" s="133"/>
      <c r="J26" s="133"/>
      <c r="K26" s="133"/>
      <c r="L26" s="133"/>
      <c r="M26" s="133"/>
      <c r="N26" s="133"/>
      <c r="O26" s="133"/>
      <c r="P26" s="133"/>
      <c r="Q26" s="133"/>
      <c r="R26" s="133"/>
      <c r="S26" s="133"/>
      <c r="T26" s="133"/>
      <c r="U26" s="133"/>
      <c r="V26" s="133"/>
    </row>
    <row r="27" customFormat="false" ht="12.75" hidden="false" customHeight="false" outlineLevel="0" collapsed="false">
      <c r="A27" s="12" t="s">
        <v>92</v>
      </c>
      <c r="B27" s="145"/>
      <c r="C27" s="138" t="n">
        <v>63.6776595744681</v>
      </c>
      <c r="D27" s="138" t="n">
        <v>65.100779776943</v>
      </c>
      <c r="E27" s="138" t="n">
        <v>66.5557050288533</v>
      </c>
      <c r="F27" s="138" t="n">
        <v>68.0431461353494</v>
      </c>
      <c r="G27" s="138" t="n">
        <v>69.563829787234</v>
      </c>
      <c r="H27" s="138" t="n">
        <v>68.9095081877806</v>
      </c>
      <c r="I27" s="138" t="n">
        <v>68.261341176952</v>
      </c>
      <c r="J27" s="138" t="n">
        <v>67.6192708643146</v>
      </c>
      <c r="K27" s="138" t="n">
        <v>66.9832399039557</v>
      </c>
      <c r="L27" s="138" t="n">
        <v>66.3531914893617</v>
      </c>
      <c r="M27" s="138" t="n">
        <v>65.2466847836494</v>
      </c>
      <c r="N27" s="138" t="n">
        <v>64.1586301985105</v>
      </c>
      <c r="O27" s="138" t="n">
        <v>63.0887200261362</v>
      </c>
      <c r="P27" s="138" t="n">
        <v>62.0366516900575</v>
      </c>
      <c r="Q27" s="138" t="n">
        <v>61.0021276595745</v>
      </c>
      <c r="R27" s="138" t="n">
        <v>60.1208601723877</v>
      </c>
      <c r="S27" s="138" t="n">
        <v>59.2523239195654</v>
      </c>
      <c r="T27" s="138" t="n">
        <v>58.3963349792784</v>
      </c>
      <c r="U27" s="138" t="n">
        <v>57.5527120867245</v>
      </c>
      <c r="V27" s="138" t="n">
        <v>56.7212765957447</v>
      </c>
    </row>
    <row r="28" customFormat="false" ht="12.75" hidden="false" customHeight="false" outlineLevel="0" collapsed="false">
      <c r="A28" s="12"/>
      <c r="B28" s="145"/>
      <c r="C28" s="140"/>
      <c r="D28" s="140"/>
      <c r="E28" s="140"/>
      <c r="F28" s="140"/>
      <c r="G28" s="140"/>
      <c r="H28" s="140"/>
      <c r="I28" s="140"/>
      <c r="J28" s="140"/>
      <c r="K28" s="140"/>
      <c r="L28" s="140"/>
      <c r="M28" s="140"/>
      <c r="N28" s="140"/>
      <c r="O28" s="140"/>
      <c r="P28" s="140"/>
      <c r="Q28" s="140"/>
      <c r="R28" s="140"/>
      <c r="S28" s="140"/>
      <c r="T28" s="140"/>
      <c r="U28" s="140"/>
      <c r="V28" s="140"/>
    </row>
    <row r="29" customFormat="false" ht="12.75" hidden="false" customHeight="false" outlineLevel="0" collapsed="false">
      <c r="A29" s="136" t="s">
        <v>93</v>
      </c>
      <c r="B29" s="145"/>
      <c r="C29" s="140"/>
      <c r="D29" s="140"/>
      <c r="E29" s="140"/>
      <c r="F29" s="140"/>
      <c r="G29" s="140"/>
      <c r="H29" s="140"/>
      <c r="I29" s="140"/>
      <c r="J29" s="140"/>
      <c r="K29" s="140"/>
      <c r="L29" s="140"/>
      <c r="M29" s="140"/>
      <c r="N29" s="140"/>
      <c r="O29" s="140"/>
      <c r="P29" s="140"/>
      <c r="Q29" s="140"/>
      <c r="R29" s="140"/>
      <c r="S29" s="140"/>
      <c r="T29" s="140"/>
      <c r="U29" s="140"/>
      <c r="V29" s="140"/>
    </row>
    <row r="30" customFormat="false" ht="12.75" hidden="false" customHeight="false" outlineLevel="0" collapsed="false">
      <c r="A30" s="12" t="s">
        <v>94</v>
      </c>
      <c r="B30" s="145"/>
      <c r="C30" s="140" t="n">
        <f aca="false">C27*(1+'Power Price Assumption'!$C$8)^(C4-1998)</f>
        <v>69.5822979138298</v>
      </c>
      <c r="D30" s="140" t="n">
        <f aca="false">D27*(1+'Power Price Assumption'!$C$8)^(D4-1998)</f>
        <v>73.2715011768192</v>
      </c>
      <c r="E30" s="140" t="n">
        <f aca="false">E27*(1+'Power Price Assumption'!$C$8)^(E4-1998)</f>
        <v>77.1563033367078</v>
      </c>
      <c r="F30" s="140" t="n">
        <f aca="false">F27*(1+'Power Price Assumption'!$C$8)^(F4-1998)</f>
        <v>81.2470749059722</v>
      </c>
      <c r="G30" s="140" t="n">
        <f aca="false">G27*(1+'Power Price Assumption'!$C$8)^(G4-1998)</f>
        <v>85.5547362341833</v>
      </c>
      <c r="H30" s="140" t="n">
        <f aca="false">H27*(1+'Power Price Assumption'!$C$8)^(H4-1998)</f>
        <v>87.2925032954154</v>
      </c>
      <c r="I30" s="140" t="n">
        <f aca="false">I27*(1+'Power Price Assumption'!$C$8)^(I4-1998)</f>
        <v>89.0655674599059</v>
      </c>
      <c r="J30" s="140" t="n">
        <f aca="false">J27*(1+'Power Price Assumption'!$C$8)^(J4-1998)</f>
        <v>90.8746456738591</v>
      </c>
      <c r="K30" s="140" t="n">
        <f aca="false">K27*(1+'Power Price Assumption'!$C$8)^(K4-1998)</f>
        <v>92.7204694459167</v>
      </c>
      <c r="L30" s="140" t="n">
        <f aca="false">L27*(1+'Power Price Assumption'!$C$8)^(L4-1998)</f>
        <v>94.6037851429467</v>
      </c>
      <c r="M30" s="140" t="n">
        <f aca="false">M27*(1+'Power Price Assumption'!$C$8)^(M4-1998)</f>
        <v>95.8169562957364</v>
      </c>
      <c r="N30" s="140" t="n">
        <f aca="false">N27*(1+'Power Price Assumption'!$C$8)^(N4-1998)</f>
        <v>97.0456847990458</v>
      </c>
      <c r="O30" s="140" t="n">
        <f aca="false">O27*(1+'Power Price Assumption'!$C$8)^(O4-1998)</f>
        <v>98.2901701557683</v>
      </c>
      <c r="P30" s="140" t="n">
        <f aca="false">P27*(1+'Power Price Assumption'!$C$8)^(P4-1998)</f>
        <v>99.5506144271639</v>
      </c>
      <c r="Q30" s="140" t="n">
        <f aca="false">Q27*(1+'Power Price Assumption'!$C$8)^(Q4-1998)</f>
        <v>100.827222265667</v>
      </c>
      <c r="R30" s="140" t="n">
        <f aca="false">R27*(1+'Power Price Assumption'!$C$8)^(R4-1998)</f>
        <v>102.351740027654</v>
      </c>
      <c r="S30" s="140" t="n">
        <f aca="false">S27*(1+'Power Price Assumption'!$C$8)^(S4-1998)</f>
        <v>103.899308651843</v>
      </c>
      <c r="T30" s="140" t="n">
        <f aca="false">T27*(1+'Power Price Assumption'!$C$8)^(T4-1998)</f>
        <v>105.470276669593</v>
      </c>
      <c r="U30" s="140" t="n">
        <f aca="false">U27*(1+'Power Price Assumption'!$C$8)^(U4-1998)</f>
        <v>107.064997882093</v>
      </c>
      <c r="V30" s="140" t="n">
        <f aca="false">V27*(1+'Power Price Assumption'!$C$8)^(V4-1998)</f>
        <v>108.683831440042</v>
      </c>
    </row>
    <row r="31" customFormat="false" ht="13.5" hidden="false" customHeight="false" outlineLevel="0" collapsed="false">
      <c r="A31" s="12"/>
      <c r="B31" s="12"/>
      <c r="C31" s="144"/>
      <c r="D31" s="144"/>
      <c r="E31" s="147"/>
      <c r="F31" s="147"/>
      <c r="G31" s="147"/>
      <c r="H31" s="147"/>
      <c r="I31" s="147"/>
      <c r="J31" s="147"/>
      <c r="K31" s="147"/>
      <c r="L31" s="147"/>
      <c r="M31" s="147"/>
      <c r="N31" s="147"/>
      <c r="O31" s="147"/>
      <c r="P31" s="147"/>
      <c r="Q31" s="147"/>
      <c r="R31" s="147"/>
      <c r="S31" s="147"/>
      <c r="T31" s="147"/>
      <c r="U31" s="147"/>
      <c r="V31" s="147"/>
    </row>
    <row r="32" customFormat="false" ht="13.5" hidden="false" customHeight="false" outlineLevel="0" collapsed="false">
      <c r="A32" s="141" t="s">
        <v>98</v>
      </c>
      <c r="B32" s="142"/>
      <c r="C32" s="143" t="n">
        <f aca="false">C30/12</f>
        <v>5.79852482615248</v>
      </c>
      <c r="D32" s="143" t="n">
        <f aca="false">D30/12</f>
        <v>6.1059584314016</v>
      </c>
      <c r="E32" s="143" t="n">
        <f aca="false">E30/12</f>
        <v>6.42969194472565</v>
      </c>
      <c r="F32" s="143" t="n">
        <f aca="false">F30/12</f>
        <v>6.77058957549769</v>
      </c>
      <c r="G32" s="143" t="n">
        <f aca="false">G30/12</f>
        <v>7.1295613528486</v>
      </c>
      <c r="H32" s="143" t="n">
        <f aca="false">H30/12</f>
        <v>7.27437527461795</v>
      </c>
      <c r="I32" s="143" t="n">
        <f aca="false">I30/12</f>
        <v>7.42213062165883</v>
      </c>
      <c r="J32" s="143" t="n">
        <f aca="false">J30/12</f>
        <v>7.57288713948826</v>
      </c>
      <c r="K32" s="143" t="n">
        <f aca="false">K30/12</f>
        <v>7.72670578715973</v>
      </c>
      <c r="L32" s="143" t="n">
        <f aca="false">L30/12</f>
        <v>7.88364876191223</v>
      </c>
      <c r="M32" s="143" t="n">
        <f aca="false">M30/12</f>
        <v>7.98474635797803</v>
      </c>
      <c r="N32" s="143" t="n">
        <f aca="false">N30/12</f>
        <v>8.08714039992048</v>
      </c>
      <c r="O32" s="143" t="n">
        <f aca="false">O30/12</f>
        <v>8.19084751298069</v>
      </c>
      <c r="P32" s="143" t="n">
        <f aca="false">P30/12</f>
        <v>8.295884535597</v>
      </c>
      <c r="Q32" s="143" t="n">
        <f aca="false">Q30/12</f>
        <v>8.4022685221389</v>
      </c>
      <c r="R32" s="143" t="n">
        <f aca="false">R30/12</f>
        <v>8.52931166897118</v>
      </c>
      <c r="S32" s="143" t="n">
        <f aca="false">S30/12</f>
        <v>8.65827572098693</v>
      </c>
      <c r="T32" s="143" t="n">
        <f aca="false">T30/12</f>
        <v>8.7891897224661</v>
      </c>
      <c r="U32" s="143" t="n">
        <f aca="false">U30/12</f>
        <v>8.9220831568411</v>
      </c>
      <c r="V32" s="143" t="n">
        <f aca="false">V30/12</f>
        <v>9.05698595333681</v>
      </c>
    </row>
    <row r="33" customFormat="false" ht="12.75" hidden="false" customHeight="false" outlineLevel="0" collapsed="false">
      <c r="A33" s="12"/>
      <c r="B33" s="145"/>
      <c r="C33" s="148"/>
      <c r="D33" s="148"/>
      <c r="E33" s="148"/>
      <c r="F33" s="148"/>
      <c r="G33" s="148"/>
      <c r="H33" s="148"/>
      <c r="I33" s="148"/>
      <c r="J33" s="148"/>
      <c r="K33" s="148"/>
      <c r="L33" s="148"/>
      <c r="M33" s="148"/>
      <c r="N33" s="148"/>
      <c r="O33" s="148"/>
      <c r="P33" s="148"/>
      <c r="Q33" s="148"/>
      <c r="R33" s="148"/>
      <c r="S33" s="148"/>
      <c r="T33" s="148"/>
      <c r="U33" s="148"/>
      <c r="V33" s="148"/>
    </row>
    <row r="34" customFormat="false" ht="12.75" hidden="false" customHeight="false" outlineLevel="0" collapsed="false">
      <c r="A34" s="12"/>
      <c r="B34" s="145"/>
      <c r="C34" s="148"/>
      <c r="D34" s="148"/>
      <c r="E34" s="148"/>
      <c r="F34" s="148"/>
      <c r="G34" s="148"/>
      <c r="H34" s="148"/>
      <c r="I34" s="148"/>
      <c r="J34" s="148"/>
      <c r="K34" s="148"/>
      <c r="L34" s="148"/>
      <c r="M34" s="148"/>
      <c r="N34" s="148"/>
      <c r="O34" s="148"/>
      <c r="P34" s="148"/>
      <c r="Q34" s="148"/>
      <c r="R34" s="148"/>
      <c r="S34" s="148"/>
      <c r="T34" s="148"/>
      <c r="U34" s="148"/>
      <c r="V34" s="148"/>
    </row>
    <row r="35" customFormat="false" ht="12.75" hidden="false" customHeight="false" outlineLevel="0" collapsed="false">
      <c r="A35" s="131" t="s">
        <v>99</v>
      </c>
      <c r="B35" s="145"/>
      <c r="C35" s="146"/>
      <c r="D35" s="146"/>
      <c r="E35" s="146"/>
      <c r="F35" s="146"/>
      <c r="G35" s="146"/>
      <c r="H35" s="146"/>
      <c r="I35" s="146"/>
      <c r="J35" s="146"/>
      <c r="K35" s="146"/>
      <c r="L35" s="146"/>
      <c r="M35" s="146"/>
      <c r="N35" s="146"/>
      <c r="O35" s="146"/>
      <c r="P35" s="146"/>
      <c r="Q35" s="146"/>
      <c r="R35" s="146"/>
      <c r="S35" s="146"/>
      <c r="T35" s="146"/>
      <c r="U35" s="146"/>
      <c r="V35" s="146"/>
    </row>
    <row r="36" customFormat="false" ht="12.75" hidden="false" customHeight="false" outlineLevel="0" collapsed="false">
      <c r="A36" s="12" t="s">
        <v>100</v>
      </c>
      <c r="B36" s="145"/>
      <c r="C36" s="146"/>
      <c r="D36" s="146"/>
      <c r="E36" s="146"/>
      <c r="F36" s="146"/>
      <c r="G36" s="146"/>
      <c r="H36" s="146"/>
      <c r="I36" s="146"/>
      <c r="J36" s="146"/>
      <c r="K36" s="146"/>
      <c r="L36" s="146"/>
      <c r="M36" s="146"/>
      <c r="N36" s="146"/>
      <c r="O36" s="146"/>
      <c r="P36" s="146"/>
      <c r="Q36" s="146"/>
      <c r="R36" s="146"/>
      <c r="S36" s="146"/>
      <c r="T36" s="146"/>
      <c r="U36" s="146"/>
      <c r="V36" s="146"/>
    </row>
    <row r="37" customFormat="false" ht="12.75" hidden="false" customHeight="false" outlineLevel="0" collapsed="false">
      <c r="A37" s="12"/>
      <c r="B37" s="145"/>
      <c r="C37" s="146"/>
      <c r="D37" s="146"/>
      <c r="E37" s="146"/>
      <c r="F37" s="146"/>
      <c r="G37" s="146"/>
      <c r="H37" s="146"/>
      <c r="I37" s="146"/>
      <c r="J37" s="146"/>
      <c r="K37" s="146"/>
      <c r="L37" s="146"/>
      <c r="M37" s="146"/>
      <c r="N37" s="146"/>
      <c r="O37" s="146"/>
      <c r="P37" s="146"/>
      <c r="Q37" s="146"/>
      <c r="R37" s="146"/>
      <c r="S37" s="146"/>
      <c r="T37" s="146"/>
      <c r="U37" s="146"/>
      <c r="V37" s="146"/>
    </row>
    <row r="38" customFormat="false" ht="12.75" hidden="false" customHeight="false" outlineLevel="0" collapsed="false">
      <c r="A38" s="136" t="s">
        <v>91</v>
      </c>
      <c r="B38" s="145"/>
      <c r="C38" s="146"/>
      <c r="D38" s="146"/>
      <c r="E38" s="146"/>
      <c r="F38" s="146"/>
      <c r="G38" s="146"/>
      <c r="H38" s="146"/>
      <c r="I38" s="146"/>
      <c r="J38" s="146"/>
      <c r="K38" s="146"/>
      <c r="L38" s="146"/>
      <c r="M38" s="146"/>
      <c r="N38" s="146"/>
      <c r="O38" s="146"/>
      <c r="P38" s="146"/>
      <c r="Q38" s="146"/>
      <c r="R38" s="146"/>
      <c r="S38" s="146"/>
      <c r="T38" s="146"/>
      <c r="U38" s="146"/>
      <c r="V38" s="146"/>
    </row>
    <row r="39" customFormat="false" ht="12.75" hidden="false" customHeight="false" outlineLevel="0" collapsed="false">
      <c r="A39" s="12" t="s">
        <v>92</v>
      </c>
      <c r="B39" s="145"/>
      <c r="C39" s="138" t="n">
        <v>64.1102368689919</v>
      </c>
      <c r="D39" s="138" t="n">
        <v>65.1617852049579</v>
      </c>
      <c r="E39" s="138" t="n">
        <v>66.230581237343</v>
      </c>
      <c r="F39" s="138" t="n">
        <v>67.3169078661543</v>
      </c>
      <c r="G39" s="138" t="n">
        <v>68.421052631579</v>
      </c>
      <c r="H39" s="138" t="n">
        <v>67.7672283516371</v>
      </c>
      <c r="I39" s="138" t="n">
        <v>67.1196519467658</v>
      </c>
      <c r="J39" s="138" t="n">
        <v>66.4782637129375</v>
      </c>
      <c r="K39" s="138" t="n">
        <v>65.8430045166497</v>
      </c>
      <c r="L39" s="138" t="n">
        <v>65.2138157894737</v>
      </c>
      <c r="M39" s="138" t="n">
        <v>64.5593641135854</v>
      </c>
      <c r="N39" s="138" t="n">
        <v>63.9114801717101</v>
      </c>
      <c r="O39" s="138" t="n">
        <v>63.2700980535113</v>
      </c>
      <c r="P39" s="138" t="n">
        <v>62.6351525100945</v>
      </c>
      <c r="Q39" s="138" t="n">
        <v>62.0065789473684</v>
      </c>
      <c r="R39" s="138" t="n">
        <v>61.1266962959832</v>
      </c>
      <c r="S39" s="138" t="n">
        <v>60.2592993113346</v>
      </c>
      <c r="T39" s="138" t="n">
        <v>59.4042108199395</v>
      </c>
      <c r="U39" s="138" t="n">
        <v>58.5612561624336</v>
      </c>
      <c r="V39" s="138" t="n">
        <v>57.7302631578947</v>
      </c>
    </row>
    <row r="40" customFormat="false" ht="12.75" hidden="false" customHeight="false" outlineLevel="0" collapsed="false">
      <c r="A40" s="85"/>
      <c r="B40" s="12"/>
      <c r="C40" s="138"/>
      <c r="D40" s="138"/>
      <c r="E40" s="138"/>
      <c r="F40" s="138"/>
      <c r="G40" s="138"/>
      <c r="H40" s="138"/>
      <c r="I40" s="138"/>
      <c r="J40" s="138"/>
      <c r="K40" s="138"/>
      <c r="L40" s="138"/>
      <c r="M40" s="138"/>
      <c r="N40" s="138"/>
      <c r="O40" s="138"/>
      <c r="P40" s="138"/>
      <c r="Q40" s="138"/>
      <c r="R40" s="138"/>
      <c r="S40" s="138"/>
      <c r="T40" s="138"/>
      <c r="U40" s="138"/>
      <c r="V40" s="138"/>
    </row>
    <row r="41" customFormat="false" ht="12.75" hidden="false" customHeight="false" outlineLevel="0" collapsed="false">
      <c r="A41" s="136" t="s">
        <v>93</v>
      </c>
      <c r="B41" s="12"/>
      <c r="C41" s="138"/>
      <c r="D41" s="138"/>
      <c r="E41" s="138"/>
      <c r="F41" s="138"/>
      <c r="G41" s="138"/>
      <c r="H41" s="138"/>
      <c r="I41" s="138"/>
      <c r="J41" s="138"/>
      <c r="K41" s="138"/>
      <c r="L41" s="138"/>
      <c r="M41" s="138"/>
      <c r="N41" s="138"/>
      <c r="O41" s="138"/>
      <c r="P41" s="138"/>
      <c r="Q41" s="138"/>
      <c r="R41" s="138"/>
      <c r="S41" s="138"/>
      <c r="T41" s="138"/>
      <c r="U41" s="138"/>
      <c r="V41" s="138"/>
    </row>
    <row r="42" customFormat="false" ht="12.75" hidden="false" customHeight="false" outlineLevel="0" collapsed="false">
      <c r="A42" s="12" t="s">
        <v>94</v>
      </c>
      <c r="B42" s="12"/>
      <c r="C42" s="138" t="n">
        <f aca="false">C39*(1+'Power Price Assumption'!$C$8)^(C4-1998)</f>
        <v>70.0549868031429</v>
      </c>
      <c r="D42" s="138" t="n">
        <f aca="false">D39*(1+'Power Price Assumption'!$C$8)^(D4-1998)</f>
        <v>73.3401633235078</v>
      </c>
      <c r="E42" s="138" t="n">
        <f aca="false">E39*(1+'Power Price Assumption'!$C$8)^(E4-1998)</f>
        <v>76.7793957542717</v>
      </c>
      <c r="F42" s="138" t="n">
        <f aca="false">F39*(1+'Power Price Assumption'!$C$8)^(F4-1998)</f>
        <v>80.3799084328127</v>
      </c>
      <c r="G42" s="138" t="n">
        <f aca="false">G39*(1+'Power Price Assumption'!$C$8)^(G4-1998)</f>
        <v>84.1492644764385</v>
      </c>
      <c r="H42" s="138" t="n">
        <f aca="false">H39*(1+'Power Price Assumption'!$C$8)^(H4-1998)</f>
        <v>85.8454973744165</v>
      </c>
      <c r="I42" s="138" t="n">
        <f aca="false">I39*(1+'Power Price Assumption'!$C$8)^(I4-1998)</f>
        <v>87.5759219680924</v>
      </c>
      <c r="J42" s="138" t="n">
        <f aca="false">J39*(1+'Power Price Assumption'!$C$8)^(J4-1998)</f>
        <v>89.3412274741746</v>
      </c>
      <c r="K42" s="138" t="n">
        <f aca="false">K39*(1+'Power Price Assumption'!$C$8)^(K4-1998)</f>
        <v>91.1421170022092</v>
      </c>
      <c r="L42" s="138" t="n">
        <f aca="false">L39*(1+'Power Price Assumption'!$C$8)^(L4-1998)</f>
        <v>92.9793078346234</v>
      </c>
      <c r="M42" s="138" t="n">
        <f aca="false">M39*(1+'Power Price Assumption'!$C$8)^(M4-1998)</f>
        <v>94.8076027197953</v>
      </c>
      <c r="N42" s="138" t="n">
        <f aca="false">N39*(1+'Power Price Assumption'!$C$8)^(N4-1998)</f>
        <v>96.6718482080099</v>
      </c>
      <c r="O42" s="138" t="n">
        <f aca="false">O39*(1+'Power Price Assumption'!$C$8)^(O4-1998)</f>
        <v>98.5727512125061</v>
      </c>
      <c r="P42" s="138" t="n">
        <f aca="false">P39*(1+'Power Price Assumption'!$C$8)^(P4-1998)</f>
        <v>100.511032546883</v>
      </c>
      <c r="Q42" s="138" t="n">
        <f aca="false">Q39*(1+'Power Price Assumption'!$C$8)^(Q4-1998)</f>
        <v>102.487427198429</v>
      </c>
      <c r="R42" s="138" t="n">
        <f aca="false">R39*(1+'Power Price Assumption'!$C$8)^(R4-1998)</f>
        <v>104.064108698653</v>
      </c>
      <c r="S42" s="138" t="n">
        <f aca="false">S39*(1+'Power Price Assumption'!$C$8)^(S4-1998)</f>
        <v>105.66504609661</v>
      </c>
      <c r="T42" s="138" t="n">
        <f aca="false">T39*(1+'Power Price Assumption'!$C$8)^(T4-1998)</f>
        <v>107.290612548563</v>
      </c>
      <c r="U42" s="138" t="n">
        <f aca="false">U39*(1+'Power Price Assumption'!$C$8)^(U4-1998)</f>
        <v>108.941186951465</v>
      </c>
      <c r="V42" s="138" t="n">
        <f aca="false">V39*(1+'Power Price Assumption'!$C$8)^(V4-1998)</f>
        <v>110.617154031272</v>
      </c>
    </row>
    <row r="43" customFormat="false" ht="13.5" hidden="false" customHeight="false" outlineLevel="0" collapsed="false">
      <c r="A43" s="12"/>
      <c r="B43" s="12"/>
      <c r="C43" s="144"/>
      <c r="D43" s="144"/>
      <c r="E43" s="147"/>
      <c r="F43" s="147"/>
      <c r="G43" s="147"/>
      <c r="H43" s="147"/>
      <c r="I43" s="147"/>
      <c r="J43" s="147"/>
      <c r="K43" s="147"/>
      <c r="L43" s="147"/>
      <c r="M43" s="147"/>
      <c r="N43" s="147"/>
      <c r="O43" s="147"/>
      <c r="P43" s="147"/>
      <c r="Q43" s="147"/>
      <c r="R43" s="147"/>
      <c r="S43" s="147"/>
      <c r="T43" s="147"/>
      <c r="U43" s="147"/>
      <c r="V43" s="147"/>
    </row>
    <row r="44" customFormat="false" ht="13.5" hidden="false" customHeight="false" outlineLevel="0" collapsed="false">
      <c r="A44" s="141" t="s">
        <v>101</v>
      </c>
      <c r="B44" s="142"/>
      <c r="C44" s="143" t="n">
        <f aca="false">C42/12</f>
        <v>5.83791556692858</v>
      </c>
      <c r="D44" s="143" t="n">
        <f aca="false">D42/12</f>
        <v>6.11168027695898</v>
      </c>
      <c r="E44" s="143" t="n">
        <f aca="false">E42/12</f>
        <v>6.39828297952264</v>
      </c>
      <c r="F44" s="143" t="n">
        <f aca="false">F42/12</f>
        <v>6.69832570273439</v>
      </c>
      <c r="G44" s="143" t="n">
        <f aca="false">G42/12</f>
        <v>7.01243870636987</v>
      </c>
      <c r="H44" s="143" t="n">
        <f aca="false">H42/12</f>
        <v>7.15379144786804</v>
      </c>
      <c r="I44" s="143" t="n">
        <f aca="false">I42/12</f>
        <v>7.29799349734103</v>
      </c>
      <c r="J44" s="143" t="n">
        <f aca="false">J42/12</f>
        <v>7.44510228951455</v>
      </c>
      <c r="K44" s="143" t="n">
        <f aca="false">K42/12</f>
        <v>7.59517641685077</v>
      </c>
      <c r="L44" s="143" t="n">
        <f aca="false">L42/12</f>
        <v>7.74827565288528</v>
      </c>
      <c r="M44" s="143" t="n">
        <f aca="false">M42/12</f>
        <v>7.90063355998294</v>
      </c>
      <c r="N44" s="143" t="n">
        <f aca="false">N42/12</f>
        <v>8.05598735066749</v>
      </c>
      <c r="O44" s="143" t="n">
        <f aca="false">O42/12</f>
        <v>8.21439593437551</v>
      </c>
      <c r="P44" s="143" t="n">
        <f aca="false">P42/12</f>
        <v>8.37591937890693</v>
      </c>
      <c r="Q44" s="143" t="n">
        <f aca="false">Q42/12</f>
        <v>8.54061893320245</v>
      </c>
      <c r="R44" s="143" t="n">
        <f aca="false">R42/12</f>
        <v>8.67200905822106</v>
      </c>
      <c r="S44" s="143" t="n">
        <f aca="false">S42/12</f>
        <v>8.80542050805083</v>
      </c>
      <c r="T44" s="143" t="n">
        <f aca="false">T42/12</f>
        <v>8.94088437904694</v>
      </c>
      <c r="U44" s="143" t="n">
        <f aca="false">U42/12</f>
        <v>9.07843224595538</v>
      </c>
      <c r="V44" s="143" t="n">
        <f aca="false">V42/12</f>
        <v>9.21809616927268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&amp;L&amp;12Enron's Generation&amp;RCONFIDENTIAL</oddHeader>
    <oddFooter>&amp;L&amp;D&amp;C&amp;F&amp;RPage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IW40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1" ySplit="5" topLeftCell="B6" activePane="bottomRight" state="frozen"/>
      <selection pane="topLeft" activeCell="A1" activeCellId="0" sqref="A1"/>
      <selection pane="topRight" activeCell="B1" activeCellId="0" sqref="B1"/>
      <selection pane="bottomLeft" activeCell="A6" activeCellId="0" sqref="A6"/>
      <selection pane="bottomRight" activeCell="B6" activeCellId="0" sqref="B6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35.56"/>
    <col collapsed="false" customWidth="true" hidden="false" outlineLevel="0" max="13" min="2" style="1" width="8.99"/>
    <col collapsed="false" customWidth="true" hidden="false" outlineLevel="0" max="21" min="14" style="1" width="10.28"/>
    <col collapsed="false" customWidth="true" hidden="false" outlineLevel="0" max="22" min="22" style="93" width="12.56"/>
    <col collapsed="false" customWidth="true" hidden="false" outlineLevel="0" max="23" min="23" style="93" width="9.7"/>
    <col collapsed="false" customWidth="true" hidden="false" outlineLevel="0" max="24" min="24" style="1" width="9.7"/>
    <col collapsed="false" customWidth="true" hidden="false" outlineLevel="0" max="25" min="25" style="1" width="7.28"/>
    <col collapsed="false" customWidth="true" hidden="false" outlineLevel="0" max="45" min="26" style="1" width="7.7"/>
    <col collapsed="false" customWidth="false" hidden="false" outlineLevel="0" max="257" min="46" style="1" width="9.14"/>
  </cols>
  <sheetData>
    <row r="2" customFormat="false" ht="18" hidden="false" customHeight="false" outlineLevel="0" collapsed="false">
      <c r="A2" s="149" t="s">
        <v>102</v>
      </c>
      <c r="B2" s="150"/>
    </row>
    <row r="3" customFormat="false" ht="16.5" hidden="false" customHeight="true" outlineLevel="0" collapsed="false">
      <c r="A3" s="151"/>
      <c r="B3" s="152"/>
      <c r="C3" s="152"/>
      <c r="D3" s="152"/>
      <c r="E3" s="152"/>
      <c r="F3" s="152"/>
      <c r="G3" s="152"/>
      <c r="H3" s="152"/>
      <c r="I3" s="152"/>
      <c r="J3" s="152"/>
      <c r="K3" s="152"/>
      <c r="L3" s="152"/>
      <c r="M3" s="152"/>
      <c r="N3" s="152"/>
      <c r="O3" s="152"/>
      <c r="P3" s="152"/>
      <c r="Q3" s="152"/>
      <c r="R3" s="152"/>
      <c r="S3" s="152"/>
      <c r="T3" s="152"/>
      <c r="U3" s="152"/>
    </row>
    <row r="4" customFormat="false" ht="12.75" hidden="false" customHeight="false" outlineLevel="0" collapsed="false">
      <c r="A4" s="151"/>
      <c r="B4" s="153"/>
      <c r="C4" s="153"/>
      <c r="D4" s="153"/>
      <c r="E4" s="153"/>
      <c r="F4" s="153"/>
      <c r="G4" s="153"/>
      <c r="H4" s="153"/>
      <c r="I4" s="153"/>
      <c r="J4" s="153"/>
      <c r="K4" s="153"/>
      <c r="L4" s="153"/>
      <c r="M4" s="153"/>
      <c r="N4" s="153"/>
      <c r="O4" s="153"/>
      <c r="P4" s="153"/>
      <c r="Q4" s="153"/>
      <c r="R4" s="153"/>
      <c r="S4" s="153"/>
      <c r="T4" s="153"/>
      <c r="U4" s="153"/>
    </row>
    <row r="5" customFormat="false" ht="13.5" hidden="false" customHeight="false" outlineLevel="0" collapsed="false">
      <c r="A5" s="154" t="s">
        <v>103</v>
      </c>
      <c r="B5" s="155" t="n">
        <v>2001</v>
      </c>
      <c r="C5" s="155" t="n">
        <v>2002</v>
      </c>
      <c r="D5" s="155" t="n">
        <v>2003</v>
      </c>
      <c r="E5" s="155" t="n">
        <v>2004</v>
      </c>
      <c r="F5" s="155" t="n">
        <v>2005</v>
      </c>
      <c r="G5" s="155" t="n">
        <v>2006</v>
      </c>
      <c r="H5" s="155" t="n">
        <v>2007</v>
      </c>
      <c r="I5" s="155" t="n">
        <v>2008</v>
      </c>
      <c r="J5" s="155" t="n">
        <v>2009</v>
      </c>
      <c r="K5" s="155" t="n">
        <v>2010</v>
      </c>
      <c r="L5" s="155" t="n">
        <v>2011</v>
      </c>
      <c r="M5" s="155" t="n">
        <v>2012</v>
      </c>
      <c r="N5" s="155" t="n">
        <v>2013</v>
      </c>
      <c r="O5" s="155" t="n">
        <v>2014</v>
      </c>
      <c r="P5" s="155" t="n">
        <v>2015</v>
      </c>
      <c r="Q5" s="155" t="n">
        <v>2016</v>
      </c>
      <c r="R5" s="155" t="n">
        <v>2017</v>
      </c>
      <c r="S5" s="155" t="n">
        <v>2018</v>
      </c>
      <c r="T5" s="155" t="n">
        <v>2019</v>
      </c>
      <c r="U5" s="155" t="n">
        <v>2020</v>
      </c>
      <c r="V5" s="156"/>
      <c r="W5" s="156"/>
      <c r="X5" s="93"/>
      <c r="Y5" s="157" t="n">
        <f aca="false">SUM(Z5:AS5)-SUM(Z6:AS6)</f>
        <v>0</v>
      </c>
      <c r="Z5" s="158" t="n">
        <f aca="false">B12</f>
        <v>6849.42336310445</v>
      </c>
      <c r="AA5" s="158" t="n">
        <f aca="false">C12</f>
        <v>7054.90606399758</v>
      </c>
      <c r="AB5" s="158" t="n">
        <f aca="false">D12</f>
        <v>7266.55324591751</v>
      </c>
      <c r="AC5" s="158" t="n">
        <f aca="false">E12</f>
        <v>7484.54984329504</v>
      </c>
      <c r="AD5" s="158" t="n">
        <f aca="false">F12</f>
        <v>7709.08633859389</v>
      </c>
      <c r="AE5" s="158" t="n">
        <f aca="false">G12</f>
        <v>7940.35892875171</v>
      </c>
      <c r="AF5" s="158" t="n">
        <f aca="false">H12</f>
        <v>8178.56969661426</v>
      </c>
      <c r="AG5" s="158" t="n">
        <f aca="false">I12</f>
        <v>8423.92678751269</v>
      </c>
      <c r="AH5" s="158" t="n">
        <f aca="false">J12</f>
        <v>8676.64459113807</v>
      </c>
      <c r="AI5" s="158" t="n">
        <f aca="false">K12</f>
        <v>8936.94392887221</v>
      </c>
      <c r="AJ5" s="158" t="n">
        <f aca="false">L12</f>
        <v>9205.05224673838</v>
      </c>
      <c r="AK5" s="158" t="n">
        <f aca="false">M12</f>
        <v>9481.20381414053</v>
      </c>
      <c r="AL5" s="158" t="n">
        <f aca="false">N12</f>
        <v>9765.63992856474</v>
      </c>
      <c r="AM5" s="158" t="n">
        <f aca="false">O12</f>
        <v>10058.6091264217</v>
      </c>
      <c r="AN5" s="158" t="n">
        <f aca="false">P12</f>
        <v>10360.3674002143</v>
      </c>
      <c r="AO5" s="158" t="n">
        <f aca="false">Q12</f>
        <v>10671.1784222208</v>
      </c>
      <c r="AP5" s="158" t="n">
        <f aca="false">R12</f>
        <v>10991.3137748874</v>
      </c>
      <c r="AQ5" s="158" t="n">
        <f aca="false">S12</f>
        <v>11321.053188134</v>
      </c>
      <c r="AR5" s="158" t="n">
        <f aca="false">T12</f>
        <v>11660.684783778</v>
      </c>
      <c r="AS5" s="158" t="n">
        <f aca="false">U12</f>
        <v>12010.5053272914</v>
      </c>
      <c r="AT5" s="93"/>
      <c r="AU5" s="93"/>
      <c r="AV5" s="93"/>
      <c r="AW5" s="93"/>
      <c r="AX5" s="93"/>
      <c r="AY5" s="93"/>
      <c r="AZ5" s="93"/>
      <c r="BA5" s="93"/>
      <c r="BB5" s="93"/>
      <c r="BC5" s="93"/>
      <c r="BD5" s="93"/>
      <c r="BE5" s="93"/>
      <c r="BF5" s="93"/>
      <c r="BG5" s="93"/>
      <c r="BH5" s="93"/>
      <c r="BI5" s="93"/>
      <c r="BJ5" s="93"/>
      <c r="BK5" s="93"/>
      <c r="BL5" s="93"/>
      <c r="BM5" s="93"/>
      <c r="BN5" s="93"/>
      <c r="BO5" s="93"/>
      <c r="BP5" s="93"/>
      <c r="BQ5" s="93"/>
      <c r="BR5" s="93"/>
      <c r="BS5" s="93"/>
      <c r="BT5" s="93"/>
      <c r="BU5" s="93"/>
      <c r="BV5" s="93"/>
      <c r="BW5" s="93"/>
      <c r="BX5" s="93"/>
      <c r="BY5" s="93"/>
      <c r="BZ5" s="93"/>
      <c r="CA5" s="93"/>
      <c r="CB5" s="93"/>
      <c r="CC5" s="93"/>
      <c r="CD5" s="93"/>
      <c r="CE5" s="93"/>
      <c r="CF5" s="93"/>
      <c r="CG5" s="93"/>
      <c r="CH5" s="93"/>
      <c r="CI5" s="93"/>
      <c r="CJ5" s="93"/>
      <c r="CK5" s="93"/>
      <c r="CL5" s="93"/>
      <c r="CM5" s="93"/>
      <c r="CN5" s="93"/>
      <c r="CO5" s="93"/>
      <c r="CP5" s="93"/>
      <c r="CQ5" s="93"/>
      <c r="CR5" s="93"/>
      <c r="CS5" s="93"/>
      <c r="CT5" s="93"/>
      <c r="CU5" s="93"/>
      <c r="CV5" s="93"/>
      <c r="CW5" s="93"/>
      <c r="CX5" s="93"/>
      <c r="CY5" s="93"/>
      <c r="CZ5" s="93"/>
      <c r="DA5" s="93"/>
      <c r="DB5" s="93"/>
      <c r="DC5" s="93"/>
      <c r="DD5" s="93"/>
      <c r="DE5" s="93"/>
      <c r="DF5" s="93"/>
      <c r="DG5" s="93"/>
      <c r="DH5" s="93"/>
      <c r="DI5" s="93"/>
      <c r="DJ5" s="93"/>
      <c r="DK5" s="93"/>
      <c r="DL5" s="93"/>
      <c r="DM5" s="93"/>
      <c r="DN5" s="93"/>
      <c r="DO5" s="93"/>
      <c r="DP5" s="93"/>
      <c r="DQ5" s="93"/>
      <c r="DR5" s="93"/>
      <c r="DS5" s="93"/>
      <c r="DT5" s="93"/>
      <c r="DU5" s="93"/>
      <c r="DV5" s="93"/>
      <c r="DW5" s="93"/>
      <c r="DX5" s="93"/>
      <c r="DY5" s="93"/>
      <c r="DZ5" s="93"/>
      <c r="EA5" s="93"/>
      <c r="EB5" s="93"/>
      <c r="EC5" s="93"/>
      <c r="ED5" s="93"/>
      <c r="EE5" s="93"/>
      <c r="EF5" s="93"/>
      <c r="EG5" s="93"/>
      <c r="EH5" s="93"/>
      <c r="EI5" s="93"/>
      <c r="EJ5" s="93"/>
      <c r="EK5" s="93"/>
      <c r="EL5" s="93"/>
      <c r="EM5" s="93"/>
      <c r="EN5" s="93"/>
      <c r="EO5" s="93"/>
      <c r="EP5" s="93"/>
      <c r="EQ5" s="93"/>
      <c r="ER5" s="93"/>
      <c r="ES5" s="93"/>
      <c r="ET5" s="93"/>
      <c r="EU5" s="93"/>
      <c r="EV5" s="93"/>
      <c r="EW5" s="93"/>
      <c r="EX5" s="93"/>
      <c r="EY5" s="93"/>
      <c r="EZ5" s="93"/>
      <c r="FA5" s="93"/>
      <c r="FB5" s="93"/>
      <c r="FC5" s="93"/>
      <c r="FD5" s="93"/>
      <c r="FE5" s="93"/>
      <c r="FF5" s="93"/>
      <c r="FG5" s="93"/>
      <c r="FH5" s="93"/>
      <c r="FI5" s="93"/>
      <c r="FJ5" s="93"/>
      <c r="FK5" s="93"/>
      <c r="FL5" s="93"/>
      <c r="FM5" s="93"/>
      <c r="FN5" s="93"/>
      <c r="FO5" s="93"/>
      <c r="FP5" s="93"/>
      <c r="FQ5" s="93"/>
      <c r="FR5" s="93"/>
      <c r="FS5" s="93"/>
      <c r="FT5" s="93"/>
      <c r="FU5" s="93"/>
      <c r="FV5" s="93"/>
      <c r="FW5" s="93"/>
      <c r="FX5" s="93"/>
      <c r="FY5" s="93"/>
      <c r="FZ5" s="93"/>
      <c r="GA5" s="93"/>
      <c r="GB5" s="93"/>
      <c r="GC5" s="93"/>
      <c r="GD5" s="93"/>
      <c r="GE5" s="93"/>
      <c r="GF5" s="93"/>
      <c r="GG5" s="93"/>
      <c r="GH5" s="93"/>
      <c r="GI5" s="93"/>
      <c r="GJ5" s="93"/>
      <c r="GK5" s="93"/>
      <c r="GL5" s="93"/>
      <c r="GM5" s="93"/>
      <c r="GN5" s="93"/>
      <c r="GO5" s="93"/>
      <c r="GP5" s="93"/>
      <c r="GQ5" s="93"/>
      <c r="GR5" s="93"/>
      <c r="GS5" s="93"/>
      <c r="GT5" s="93"/>
      <c r="GU5" s="93"/>
      <c r="GV5" s="93"/>
      <c r="GW5" s="93"/>
      <c r="GX5" s="93"/>
      <c r="GY5" s="93"/>
      <c r="GZ5" s="93"/>
      <c r="HA5" s="93"/>
      <c r="HB5" s="93"/>
      <c r="HC5" s="93"/>
      <c r="HD5" s="93"/>
      <c r="HE5" s="93"/>
      <c r="HF5" s="93"/>
      <c r="HG5" s="93"/>
      <c r="HH5" s="93"/>
      <c r="HI5" s="93"/>
      <c r="HJ5" s="93"/>
      <c r="HK5" s="93"/>
      <c r="HL5" s="93"/>
      <c r="HM5" s="93"/>
      <c r="HN5" s="93"/>
      <c r="HO5" s="93"/>
      <c r="HP5" s="93"/>
      <c r="HQ5" s="93"/>
      <c r="HR5" s="93"/>
      <c r="HS5" s="93"/>
      <c r="HT5" s="93"/>
      <c r="HU5" s="93"/>
      <c r="HV5" s="93"/>
      <c r="HW5" s="93"/>
      <c r="HX5" s="93"/>
      <c r="HY5" s="93"/>
      <c r="HZ5" s="93"/>
      <c r="IA5" s="93"/>
      <c r="IB5" s="93"/>
      <c r="IC5" s="93"/>
      <c r="ID5" s="93"/>
      <c r="IE5" s="93"/>
      <c r="IF5" s="93"/>
      <c r="IG5" s="93"/>
      <c r="IH5" s="93"/>
      <c r="II5" s="93"/>
      <c r="IJ5" s="93"/>
      <c r="IK5" s="93"/>
      <c r="IL5" s="93"/>
      <c r="IM5" s="93"/>
      <c r="IN5" s="93"/>
      <c r="IO5" s="93"/>
      <c r="IP5" s="93"/>
      <c r="IQ5" s="93"/>
      <c r="IR5" s="93"/>
      <c r="IS5" s="93"/>
      <c r="IT5" s="93"/>
      <c r="IU5" s="93"/>
      <c r="IV5" s="93"/>
      <c r="IW5" s="93"/>
    </row>
    <row r="6" customFormat="false" ht="12.75" hidden="false" customHeight="false" outlineLevel="0" collapsed="false">
      <c r="A6" s="159"/>
      <c r="B6" s="160"/>
      <c r="C6" s="160"/>
      <c r="D6" s="160"/>
      <c r="E6" s="160"/>
      <c r="F6" s="160"/>
      <c r="G6" s="160"/>
      <c r="H6" s="160"/>
      <c r="I6" s="160"/>
      <c r="J6" s="160"/>
      <c r="K6" s="160"/>
      <c r="L6" s="160"/>
      <c r="M6" s="160"/>
      <c r="N6" s="160"/>
      <c r="O6" s="160"/>
      <c r="P6" s="160"/>
      <c r="Q6" s="160"/>
      <c r="R6" s="160"/>
      <c r="S6" s="160"/>
      <c r="T6" s="160"/>
      <c r="U6" s="160"/>
      <c r="Y6" s="157" t="n">
        <v>0</v>
      </c>
      <c r="Z6" s="161" t="n">
        <f aca="false">B19+1/3*B20</f>
        <v>6849.42336310445</v>
      </c>
      <c r="AA6" s="161" t="n">
        <f aca="false">C19+1/3*C20</f>
        <v>7054.90606399759</v>
      </c>
      <c r="AB6" s="161" t="n">
        <f aca="false">D19+1/3*D20</f>
        <v>7266.55324591751</v>
      </c>
      <c r="AC6" s="161" t="n">
        <f aca="false">E19+1/3*E20</f>
        <v>7484.54984329504</v>
      </c>
      <c r="AD6" s="161" t="n">
        <f aca="false">F19+1/3*F20</f>
        <v>7709.08633859389</v>
      </c>
      <c r="AE6" s="161" t="n">
        <f aca="false">G19+1/3*G20</f>
        <v>7940.35892875171</v>
      </c>
      <c r="AF6" s="161" t="n">
        <f aca="false">H19+1/3*H20</f>
        <v>8178.56969661426</v>
      </c>
      <c r="AG6" s="161" t="n">
        <f aca="false">I19+1/3*I20</f>
        <v>8423.92678751269</v>
      </c>
      <c r="AH6" s="161" t="n">
        <f aca="false">J19+1/3*J20</f>
        <v>8676.64459113807</v>
      </c>
      <c r="AI6" s="161" t="n">
        <f aca="false">K19+1/3*K20</f>
        <v>8936.94392887221</v>
      </c>
      <c r="AJ6" s="161" t="n">
        <f aca="false">L19+1/3*L20</f>
        <v>9205.05224673838</v>
      </c>
      <c r="AK6" s="161" t="n">
        <f aca="false">M19+1/3*M20</f>
        <v>9481.20381414053</v>
      </c>
      <c r="AL6" s="161" t="n">
        <f aca="false">N19+1/3*N20</f>
        <v>9765.63992856474</v>
      </c>
      <c r="AM6" s="161" t="n">
        <f aca="false">O19+1/3*O20</f>
        <v>10058.6091264217</v>
      </c>
      <c r="AN6" s="161" t="n">
        <f aca="false">P19+1/3*P20</f>
        <v>10360.3674002143</v>
      </c>
      <c r="AO6" s="161" t="n">
        <f aca="false">Q19+1/3*Q20</f>
        <v>10671.1784222208</v>
      </c>
      <c r="AP6" s="161" t="n">
        <f aca="false">R19+1/3*R20</f>
        <v>10991.3137748874</v>
      </c>
      <c r="AQ6" s="161" t="n">
        <f aca="false">S19+1/3*S20</f>
        <v>11321.053188134</v>
      </c>
      <c r="AR6" s="161" t="n">
        <f aca="false">T19+1/3*T20</f>
        <v>11660.684783778</v>
      </c>
      <c r="AS6" s="161" t="n">
        <f aca="false">U19+1/3*U20</f>
        <v>12010.5053272914</v>
      </c>
    </row>
    <row r="7" customFormat="false" ht="12.75" hidden="false" customHeight="false" outlineLevel="0" collapsed="false">
      <c r="A7" s="159"/>
      <c r="B7" s="162"/>
      <c r="C7" s="162"/>
      <c r="D7" s="162"/>
      <c r="E7" s="162"/>
      <c r="F7" s="162"/>
      <c r="G7" s="162"/>
      <c r="H7" s="162"/>
      <c r="I7" s="162"/>
      <c r="J7" s="162"/>
      <c r="K7" s="162"/>
      <c r="L7" s="162"/>
      <c r="M7" s="162"/>
      <c r="N7" s="162"/>
      <c r="O7" s="162"/>
      <c r="P7" s="162"/>
      <c r="Q7" s="162"/>
      <c r="R7" s="162"/>
      <c r="S7" s="162"/>
      <c r="T7" s="162"/>
      <c r="U7" s="162"/>
    </row>
    <row r="8" customFormat="false" ht="12.75" hidden="false" customHeight="false" outlineLevel="0" collapsed="false">
      <c r="A8" s="163" t="s">
        <v>104</v>
      </c>
      <c r="B8" s="152"/>
      <c r="C8" s="152"/>
      <c r="D8" s="152"/>
      <c r="E8" s="152"/>
      <c r="F8" s="152"/>
      <c r="G8" s="152"/>
      <c r="H8" s="152"/>
      <c r="I8" s="152"/>
      <c r="J8" s="152"/>
      <c r="K8" s="152"/>
      <c r="L8" s="152"/>
      <c r="M8" s="152"/>
      <c r="N8" s="152"/>
      <c r="O8" s="152"/>
      <c r="P8" s="152"/>
      <c r="Q8" s="152"/>
      <c r="R8" s="152"/>
      <c r="S8" s="152"/>
      <c r="T8" s="152"/>
      <c r="U8" s="152"/>
      <c r="V8" s="164"/>
      <c r="W8" s="164"/>
    </row>
    <row r="9" customFormat="false" ht="12.75" hidden="false" customHeight="false" outlineLevel="0" collapsed="false">
      <c r="A9" s="165"/>
      <c r="B9" s="166"/>
      <c r="C9" s="166"/>
      <c r="D9" s="166"/>
      <c r="E9" s="166"/>
      <c r="F9" s="166"/>
      <c r="G9" s="166"/>
      <c r="H9" s="166"/>
      <c r="I9" s="166"/>
      <c r="J9" s="166"/>
      <c r="K9" s="166"/>
      <c r="L9" s="166"/>
      <c r="M9" s="166"/>
      <c r="N9" s="166"/>
      <c r="O9" s="166"/>
      <c r="P9" s="166"/>
      <c r="Q9" s="166"/>
      <c r="R9" s="166"/>
      <c r="S9" s="166"/>
      <c r="T9" s="166"/>
      <c r="U9" s="166"/>
      <c r="V9" s="164"/>
      <c r="W9" s="164"/>
    </row>
    <row r="10" customFormat="false" ht="12.75" hidden="false" customHeight="false" outlineLevel="0" collapsed="false">
      <c r="A10" s="165" t="s">
        <v>105</v>
      </c>
      <c r="B10" s="166"/>
      <c r="C10" s="166"/>
      <c r="D10" s="166"/>
      <c r="E10" s="166"/>
      <c r="F10" s="166"/>
      <c r="G10" s="166"/>
      <c r="H10" s="166"/>
      <c r="I10" s="166"/>
      <c r="J10" s="166"/>
      <c r="K10" s="166"/>
      <c r="L10" s="166"/>
      <c r="M10" s="166"/>
      <c r="N10" s="166"/>
      <c r="O10" s="166"/>
      <c r="P10" s="166"/>
      <c r="Q10" s="166"/>
      <c r="R10" s="166"/>
      <c r="S10" s="166"/>
      <c r="T10" s="166"/>
      <c r="U10" s="166"/>
      <c r="W10" s="167"/>
      <c r="X10" s="168"/>
      <c r="Y10" s="168"/>
    </row>
    <row r="11" customFormat="false" ht="12.75" hidden="false" customHeight="false" outlineLevel="0" collapsed="false">
      <c r="A11" s="169" t="s">
        <v>106</v>
      </c>
      <c r="B11" s="166" t="n">
        <f aca="false">SUM(Wheatland!B9,Wilton!B9,Gleason!B9)</f>
        <v>109276.411548359</v>
      </c>
      <c r="C11" s="166" t="n">
        <f aca="false">SUM(Wheatland!C9,Wilton!C9,Gleason!C9)</f>
        <v>114692.634823312</v>
      </c>
      <c r="D11" s="166" t="n">
        <f aca="false">SUM(Wheatland!D9,Wilton!D9,Gleason!D9)</f>
        <v>120378.004179409</v>
      </c>
      <c r="E11" s="166" t="n">
        <f aca="false">SUM(Wheatland!E9,Wilton!E9,Gleason!E9)</f>
        <v>126345.929027467</v>
      </c>
      <c r="F11" s="166" t="n">
        <f aca="false">SUM(Wheatland!F9,Wilton!F9,Gleason!F9)</f>
        <v>132610.488609991</v>
      </c>
      <c r="G11" s="166" t="n">
        <f aca="false">SUM(Wheatland!G9,Wilton!G9,Gleason!G9)</f>
        <v>134987.360031628</v>
      </c>
      <c r="H11" s="166" t="n">
        <f aca="false">SUM(Wheatland!H9,Wilton!H9,Gleason!H9)</f>
        <v>137408.390963576</v>
      </c>
      <c r="I11" s="166" t="n">
        <f aca="false">SUM(Wheatland!I9,Wilton!I9,Gleason!I9)</f>
        <v>139874.424375975</v>
      </c>
      <c r="J11" s="166" t="n">
        <f aca="false">SUM(Wheatland!J9,Wilton!J9,Gleason!J9)</f>
        <v>142386.319645329</v>
      </c>
      <c r="K11" s="166" t="n">
        <f aca="false">SUM(Wheatland!K9,Wilton!K9,Gleason!K9)</f>
        <v>144944.95287809</v>
      </c>
      <c r="L11" s="166" t="n">
        <f aca="false">SUM(Wheatland!L9,Wilton!L9,Gleason!L9)</f>
        <v>147458.370689106</v>
      </c>
      <c r="M11" s="166" t="n">
        <f aca="false">SUM(Wheatland!M9,Wilton!M9,Gleason!M9)</f>
        <v>150016.6945414</v>
      </c>
      <c r="N11" s="166" t="n">
        <f aca="false">SUM(Wheatland!N9,Wilton!N9,Gleason!N9)</f>
        <v>152620.745765885</v>
      </c>
      <c r="O11" s="166" t="n">
        <f aca="false">SUM(Wheatland!O9,Wilton!O9,Gleason!O9)</f>
        <v>155271.360981609</v>
      </c>
      <c r="P11" s="166" t="n">
        <f aca="false">SUM(Wheatland!P9,Wilton!P9,Gleason!P9)</f>
        <v>157969.392383974</v>
      </c>
      <c r="Q11" s="166" t="n">
        <f aca="false">SUM(Wheatland!Q9,Wilton!Q9,Gleason!Q9)</f>
        <v>160333.201162736</v>
      </c>
      <c r="R11" s="166" t="n">
        <f aca="false">SUM(Wheatland!R9,Wilton!R9,Gleason!R9)</f>
        <v>162732.416875004</v>
      </c>
      <c r="S11" s="166" t="n">
        <f aca="false">SUM(Wheatland!S9,Wilton!S9,Gleason!S9)</f>
        <v>165167.570393196</v>
      </c>
      <c r="T11" s="166" t="n">
        <f aca="false">SUM(Wheatland!T9,Wilton!T9,Gleason!T9)</f>
        <v>167639.20055695</v>
      </c>
      <c r="U11" s="166" t="n">
        <f aca="false">SUM(Wheatland!U9,Wilton!U9,Gleason!U9)</f>
        <v>170147.854292802</v>
      </c>
      <c r="W11" s="167" t="n">
        <f aca="false">SUM(B11:U11)</f>
        <v>2892261.7237258</v>
      </c>
      <c r="X11" s="170" t="n">
        <f aca="false">SUM(Wheatland!W9,Wilton!W9,Gleason!W9)</f>
        <v>2892261.7237258</v>
      </c>
      <c r="Y11" s="170" t="n">
        <f aca="false">W11-X11</f>
        <v>0</v>
      </c>
    </row>
    <row r="12" customFormat="false" ht="12.75" hidden="false" customHeight="false" outlineLevel="0" collapsed="false">
      <c r="A12" s="169" t="s">
        <v>107</v>
      </c>
      <c r="B12" s="166" t="n">
        <f aca="false">SUM(Wheatland!B10,Wilton!B10,Gleason!B10)</f>
        <v>6849.42336310445</v>
      </c>
      <c r="C12" s="166" t="n">
        <f aca="false">SUM(Wheatland!C10,Wilton!C10,Gleason!C10)</f>
        <v>7054.90606399758</v>
      </c>
      <c r="D12" s="166" t="n">
        <f aca="false">SUM(Wheatland!D10,Wilton!D10,Gleason!D10)</f>
        <v>7266.55324591751</v>
      </c>
      <c r="E12" s="166" t="n">
        <f aca="false">SUM(Wheatland!E10,Wilton!E10,Gleason!E10)</f>
        <v>7484.54984329504</v>
      </c>
      <c r="F12" s="166" t="n">
        <f aca="false">SUM(Wheatland!F10,Wilton!F10,Gleason!F10)</f>
        <v>7709.08633859389</v>
      </c>
      <c r="G12" s="166" t="n">
        <f aca="false">SUM(Wheatland!G10,Wilton!G10,Gleason!G10)</f>
        <v>7940.35892875171</v>
      </c>
      <c r="H12" s="166" t="n">
        <f aca="false">SUM(Wheatland!H10,Wilton!H10,Gleason!H10)</f>
        <v>8178.56969661426</v>
      </c>
      <c r="I12" s="166" t="n">
        <f aca="false">SUM(Wheatland!I10,Wilton!I10,Gleason!I10)</f>
        <v>8423.92678751269</v>
      </c>
      <c r="J12" s="166" t="n">
        <f aca="false">SUM(Wheatland!J10,Wilton!J10,Gleason!J10)</f>
        <v>8676.64459113807</v>
      </c>
      <c r="K12" s="166" t="n">
        <f aca="false">SUM(Wheatland!K10,Wilton!K10,Gleason!K10)</f>
        <v>8936.94392887221</v>
      </c>
      <c r="L12" s="166" t="n">
        <f aca="false">SUM(Wheatland!L10,Wilton!L10,Gleason!L10)</f>
        <v>9205.05224673838</v>
      </c>
      <c r="M12" s="166" t="n">
        <f aca="false">SUM(Wheatland!M10,Wilton!M10,Gleason!M10)</f>
        <v>9481.20381414053</v>
      </c>
      <c r="N12" s="166" t="n">
        <f aca="false">SUM(Wheatland!N10,Wilton!N10,Gleason!N10)</f>
        <v>9765.63992856474</v>
      </c>
      <c r="O12" s="166" t="n">
        <f aca="false">SUM(Wheatland!O10,Wilton!O10,Gleason!O10)</f>
        <v>10058.6091264217</v>
      </c>
      <c r="P12" s="166" t="n">
        <f aca="false">SUM(Wheatland!P10,Wilton!P10,Gleason!P10)</f>
        <v>10360.3674002143</v>
      </c>
      <c r="Q12" s="166" t="n">
        <f aca="false">SUM(Wheatland!Q10,Wilton!Q10,Gleason!Q10)</f>
        <v>10671.1784222208</v>
      </c>
      <c r="R12" s="166" t="n">
        <f aca="false">SUM(Wheatland!R10,Wilton!R10,Gleason!R10)</f>
        <v>10991.3137748874</v>
      </c>
      <c r="S12" s="166" t="n">
        <f aca="false">SUM(Wheatland!S10,Wilton!S10,Gleason!S10)</f>
        <v>11321.053188134</v>
      </c>
      <c r="T12" s="166" t="n">
        <f aca="false">SUM(Wheatland!T10,Wilton!T10,Gleason!T10)</f>
        <v>11660.684783778</v>
      </c>
      <c r="U12" s="166" t="n">
        <f aca="false">SUM(Wheatland!U10,Wilton!U10,Gleason!U10)</f>
        <v>12010.5053272914</v>
      </c>
      <c r="W12" s="167" t="n">
        <f aca="false">SUM(B12:U12)</f>
        <v>184046.570800189</v>
      </c>
      <c r="X12" s="170" t="n">
        <f aca="false">SUM(Wheatland!W10,Wilton!W10,Gleason!W10)</f>
        <v>184046.570800189</v>
      </c>
      <c r="Y12" s="170" t="n">
        <f aca="false">W12-X12</f>
        <v>0</v>
      </c>
    </row>
    <row r="13" customFormat="false" ht="12.75" hidden="false" customHeight="false" outlineLevel="0" collapsed="false">
      <c r="A13" s="169"/>
      <c r="B13" s="166"/>
      <c r="C13" s="166"/>
      <c r="D13" s="166"/>
      <c r="E13" s="166"/>
      <c r="F13" s="166"/>
      <c r="G13" s="166"/>
      <c r="H13" s="166"/>
      <c r="I13" s="166"/>
      <c r="J13" s="166"/>
      <c r="K13" s="166"/>
      <c r="L13" s="166"/>
      <c r="M13" s="166"/>
      <c r="N13" s="166"/>
      <c r="O13" s="166"/>
      <c r="P13" s="166"/>
      <c r="Q13" s="166"/>
      <c r="R13" s="166"/>
      <c r="S13" s="166"/>
      <c r="T13" s="166"/>
      <c r="U13" s="166"/>
      <c r="W13" s="167"/>
      <c r="X13" s="170"/>
      <c r="Y13" s="170"/>
    </row>
    <row r="14" customFormat="false" ht="12.75" hidden="false" customHeight="false" outlineLevel="0" collapsed="false">
      <c r="A14" s="169" t="s">
        <v>108</v>
      </c>
      <c r="B14" s="171" t="n">
        <f aca="false">SUM(Wheatland!B12,Wilton!B12,Gleason!B12)</f>
        <v>1266.01141063298</v>
      </c>
      <c r="C14" s="171" t="n">
        <f aca="false">SUM(Wheatland!C12,Wilton!C12,Gleason!C12)</f>
        <v>1328.99788004275</v>
      </c>
      <c r="D14" s="171" t="n">
        <f aca="false">SUM(Wheatland!D12,Wilton!D12,Gleason!D12)</f>
        <v>1395.37703729893</v>
      </c>
      <c r="E14" s="171" t="n">
        <f aca="false">SUM(Wheatland!E12,Wilton!E12,Gleason!E12)</f>
        <v>1466.54890615523</v>
      </c>
      <c r="F14" s="171" t="n">
        <f aca="false">SUM(Wheatland!F12,Wilton!F12,Gleason!F12)</f>
        <v>1541.71142118151</v>
      </c>
      <c r="G14" s="171" t="n">
        <f aca="false">SUM(Wheatland!G12,Wilton!G12,Gleason!G12)</f>
        <v>1566.20394904552</v>
      </c>
      <c r="H14" s="171" t="n">
        <f aca="false">SUM(Wheatland!H12,Wilton!H12,Gleason!H12)</f>
        <v>1591.78854533271</v>
      </c>
      <c r="I14" s="171" t="n">
        <f aca="false">SUM(Wheatland!I12,Wilton!I12,Gleason!I12)</f>
        <v>1618.60577415616</v>
      </c>
      <c r="J14" s="171" t="n">
        <f aca="false">SUM(Wheatland!J12,Wilton!J12,Gleason!J12)</f>
        <v>1647.16234489307</v>
      </c>
      <c r="K14" s="171" t="n">
        <f aca="false">SUM(Wheatland!K12,Wilton!K12,Gleason!K12)</f>
        <v>1677.19171406013</v>
      </c>
      <c r="L14" s="171" t="n">
        <f aca="false">SUM(Wheatland!L12,Wilton!L12,Gleason!L12)</f>
        <v>1703.8014928096</v>
      </c>
      <c r="M14" s="171" t="n">
        <f aca="false">SUM(Wheatland!M12,Wilton!M12,Gleason!M12)</f>
        <v>1732.81829887489</v>
      </c>
      <c r="N14" s="171" t="n">
        <f aca="false">SUM(Wheatland!N12,Wilton!N12,Gleason!N12)</f>
        <v>1757.94884194638</v>
      </c>
      <c r="O14" s="171" t="n">
        <f aca="false">SUM(Wheatland!O12,Wilton!O12,Gleason!O12)</f>
        <v>1787.9241139828</v>
      </c>
      <c r="P14" s="171" t="n">
        <f aca="false">SUM(Wheatland!P12,Wilton!P12,Gleason!P12)</f>
        <v>1812.9384277989</v>
      </c>
      <c r="Q14" s="171" t="n">
        <f aca="false">SUM(Wheatland!Q12,Wilton!Q12,Gleason!Q12)</f>
        <v>1846.17848163755</v>
      </c>
      <c r="R14" s="171" t="n">
        <f aca="false">SUM(Wheatland!R12,Wilton!R12,Gleason!R12)</f>
        <v>1872.51066815274</v>
      </c>
      <c r="S14" s="171" t="n">
        <f aca="false">SUM(Wheatland!S12,Wilton!S12,Gleason!S12)</f>
        <v>1899.17713376445</v>
      </c>
      <c r="T14" s="171" t="n">
        <f aca="false">SUM(Wheatland!T12,Wilton!T12,Gleason!T12)</f>
        <v>1926.18120286034</v>
      </c>
      <c r="U14" s="171" t="n">
        <f aca="false">SUM(Wheatland!U12,Wilton!U12,Gleason!U12)</f>
        <v>1953.52619932504</v>
      </c>
      <c r="W14" s="167" t="n">
        <f aca="false">SUM(B14:U14)</f>
        <v>33392.6038439517</v>
      </c>
      <c r="X14" s="170" t="n">
        <f aca="false">SUM(Wheatland!W12,Wilton!W12,Gleason!W12)</f>
        <v>33392.6038439517</v>
      </c>
      <c r="Y14" s="170" t="n">
        <f aca="false">W14-X14</f>
        <v>0</v>
      </c>
    </row>
    <row r="15" customFormat="false" ht="12.75" hidden="false" customHeight="false" outlineLevel="0" collapsed="false">
      <c r="A15" s="169" t="s">
        <v>109</v>
      </c>
      <c r="B15" s="166" t="n">
        <f aca="false">SUM(B10:B14)</f>
        <v>117391.846322097</v>
      </c>
      <c r="C15" s="166" t="n">
        <f aca="false">SUM(C10:C14)</f>
        <v>123076.538767352</v>
      </c>
      <c r="D15" s="166" t="n">
        <f aca="false">SUM(D10:D14)</f>
        <v>129039.934462626</v>
      </c>
      <c r="E15" s="166" t="n">
        <f aca="false">SUM(E10:E14)</f>
        <v>135297.027776917</v>
      </c>
      <c r="F15" s="166" t="n">
        <f aca="false">SUM(F10:F14)</f>
        <v>141861.286369766</v>
      </c>
      <c r="G15" s="166" t="n">
        <f aca="false">SUM(G10:G14)</f>
        <v>144493.922909425</v>
      </c>
      <c r="H15" s="166" t="n">
        <f aca="false">SUM(H10:H14)</f>
        <v>147178.749205523</v>
      </c>
      <c r="I15" s="166" t="n">
        <f aca="false">SUM(I10:I14)</f>
        <v>149916.956937644</v>
      </c>
      <c r="J15" s="166" t="n">
        <f aca="false">SUM(J10:J14)</f>
        <v>152710.12658136</v>
      </c>
      <c r="K15" s="166" t="n">
        <f aca="false">SUM(K10:K14)</f>
        <v>155559.088521022</v>
      </c>
      <c r="L15" s="166" t="n">
        <f aca="false">SUM(L10:L14)</f>
        <v>158367.224428654</v>
      </c>
      <c r="M15" s="166" t="n">
        <f aca="false">SUM(M10:M14)</f>
        <v>161230.716654416</v>
      </c>
      <c r="N15" s="166" t="n">
        <f aca="false">SUM(N10:N14)</f>
        <v>164144.334536396</v>
      </c>
      <c r="O15" s="166" t="n">
        <f aca="false">SUM(O10:O14)</f>
        <v>167117.894222014</v>
      </c>
      <c r="P15" s="166" t="n">
        <f aca="false">SUM(P10:P14)</f>
        <v>170142.698211987</v>
      </c>
      <c r="Q15" s="166" t="n">
        <f aca="false">SUM(Q10:Q14)</f>
        <v>172850.558066594</v>
      </c>
      <c r="R15" s="166" t="n">
        <f aca="false">SUM(R10:R14)</f>
        <v>175596.241318044</v>
      </c>
      <c r="S15" s="166" t="n">
        <f aca="false">SUM(S10:S14)</f>
        <v>178387.800715095</v>
      </c>
      <c r="T15" s="166" t="n">
        <f aca="false">SUM(T10:T14)</f>
        <v>181226.066543589</v>
      </c>
      <c r="U15" s="166" t="n">
        <f aca="false">SUM(U10:U14)</f>
        <v>184111.885819418</v>
      </c>
      <c r="W15" s="167" t="n">
        <f aca="false">SUM(B15:U15)</f>
        <v>3109700.89836994</v>
      </c>
      <c r="X15" s="170" t="n">
        <f aca="false">SUM(Wheatland!W13,Wilton!W13,Gleason!W13)</f>
        <v>3109700.89836994</v>
      </c>
      <c r="Y15" s="170" t="n">
        <f aca="false">W15-X15</f>
        <v>0</v>
      </c>
    </row>
    <row r="16" customFormat="false" ht="12.75" hidden="false" customHeight="false" outlineLevel="0" collapsed="false">
      <c r="A16" s="169"/>
      <c r="B16" s="166"/>
      <c r="C16" s="166"/>
      <c r="D16" s="166"/>
      <c r="E16" s="166"/>
      <c r="F16" s="166"/>
      <c r="G16" s="166"/>
      <c r="H16" s="166"/>
      <c r="I16" s="166"/>
      <c r="J16" s="166"/>
      <c r="K16" s="166"/>
      <c r="L16" s="166"/>
      <c r="M16" s="166"/>
      <c r="N16" s="166"/>
      <c r="O16" s="166"/>
      <c r="P16" s="166"/>
      <c r="Q16" s="166"/>
      <c r="R16" s="166"/>
      <c r="S16" s="166"/>
      <c r="T16" s="166"/>
      <c r="U16" s="166"/>
      <c r="W16" s="167"/>
      <c r="X16" s="168"/>
      <c r="Y16" s="168"/>
    </row>
    <row r="17" customFormat="false" ht="12.75" hidden="false" customHeight="false" outlineLevel="0" collapsed="false">
      <c r="A17" s="163" t="s">
        <v>110</v>
      </c>
      <c r="B17" s="172"/>
      <c r="C17" s="172"/>
      <c r="D17" s="172"/>
      <c r="E17" s="172"/>
      <c r="F17" s="172"/>
      <c r="G17" s="172"/>
      <c r="H17" s="172"/>
      <c r="I17" s="172"/>
      <c r="J17" s="172"/>
      <c r="K17" s="172"/>
      <c r="L17" s="172"/>
      <c r="M17" s="172"/>
      <c r="N17" s="172"/>
      <c r="O17" s="172"/>
      <c r="P17" s="172"/>
      <c r="Q17" s="172"/>
      <c r="R17" s="172"/>
      <c r="S17" s="172"/>
      <c r="T17" s="172"/>
      <c r="U17" s="172"/>
      <c r="W17" s="167"/>
      <c r="X17" s="168"/>
      <c r="Y17" s="168"/>
    </row>
    <row r="18" customFormat="false" ht="12.75" hidden="false" customHeight="false" outlineLevel="0" collapsed="false">
      <c r="A18" s="169" t="s">
        <v>73</v>
      </c>
      <c r="B18" s="166" t="n">
        <f aca="false">SUM(Wheatland!B16,Wilton!B16,Gleason!B16)</f>
        <v>4333.01694857143</v>
      </c>
      <c r="C18" s="166" t="n">
        <f aca="false">SUM(Wheatland!C16,Wilton!C16,Gleason!C16)</f>
        <v>4463.00745702857</v>
      </c>
      <c r="D18" s="166" t="n">
        <f aca="false">SUM(Wheatland!D16,Wilton!D16,Gleason!D16)</f>
        <v>4596.89768073943</v>
      </c>
      <c r="E18" s="166" t="n">
        <f aca="false">SUM(Wheatland!E16,Wilton!E16,Gleason!E16)</f>
        <v>4734.80461116161</v>
      </c>
      <c r="F18" s="166" t="n">
        <f aca="false">SUM(Wheatland!F16,Wilton!F16,Gleason!F16)</f>
        <v>4876.84874949646</v>
      </c>
      <c r="G18" s="166" t="n">
        <f aca="false">SUM(Wheatland!G16,Wilton!G16,Gleason!G16)</f>
        <v>5023.15421198136</v>
      </c>
      <c r="H18" s="166" t="n">
        <f aca="false">SUM(Wheatland!H16,Wilton!H16,Gleason!H16)</f>
        <v>5173.8488383408</v>
      </c>
      <c r="I18" s="166" t="n">
        <f aca="false">SUM(Wheatland!I16,Wilton!I16,Gleason!I16)</f>
        <v>5329.06430349102</v>
      </c>
      <c r="J18" s="166" t="n">
        <f aca="false">SUM(Wheatland!J16,Wilton!J16,Gleason!J16)</f>
        <v>5488.93623259575</v>
      </c>
      <c r="K18" s="166" t="n">
        <f aca="false">SUM(Wheatland!K16,Wilton!K16,Gleason!K16)</f>
        <v>5653.60431957362</v>
      </c>
      <c r="L18" s="166" t="n">
        <f aca="false">SUM(Wheatland!L16,Wilton!L16,Gleason!L16)</f>
        <v>5823.21244916083</v>
      </c>
      <c r="M18" s="166" t="n">
        <f aca="false">SUM(Wheatland!M16,Wilton!M16,Gleason!M16)</f>
        <v>5997.90882263566</v>
      </c>
      <c r="N18" s="166" t="n">
        <f aca="false">SUM(Wheatland!N16,Wilton!N16,Gleason!N16)</f>
        <v>6177.84608731473</v>
      </c>
      <c r="O18" s="166" t="n">
        <f aca="false">SUM(Wheatland!O16,Wilton!O16,Gleason!O16)</f>
        <v>6363.18146993417</v>
      </c>
      <c r="P18" s="166" t="n">
        <f aca="false">SUM(Wheatland!P16,Wilton!P16,Gleason!P16)</f>
        <v>6554.07691403219</v>
      </c>
      <c r="Q18" s="166" t="n">
        <f aca="false">SUM(Wheatland!Q16,Wilton!Q16,Gleason!Q16)</f>
        <v>6750.69922145316</v>
      </c>
      <c r="R18" s="166" t="n">
        <f aca="false">SUM(Wheatland!R16,Wilton!R16,Gleason!R16)</f>
        <v>6953.22019809676</v>
      </c>
      <c r="S18" s="166" t="n">
        <f aca="false">SUM(Wheatland!S16,Wilton!S16,Gleason!S16)</f>
        <v>7161.81680403966</v>
      </c>
      <c r="T18" s="166" t="n">
        <f aca="false">SUM(Wheatland!T16,Wilton!T16,Gleason!T16)</f>
        <v>7376.67130816085</v>
      </c>
      <c r="U18" s="166" t="n">
        <f aca="false">SUM(Wheatland!U16,Wilton!U16,Gleason!U16)</f>
        <v>7597.97144740567</v>
      </c>
      <c r="W18" s="167" t="n">
        <f aca="false">SUM(B18:U18)</f>
        <v>116429.788075214</v>
      </c>
      <c r="X18" s="170" t="n">
        <f aca="false">SUM(Wheatland!W16,Wilton!W16,Gleason!W16)</f>
        <v>116429.788075214</v>
      </c>
      <c r="Y18" s="170" t="n">
        <f aca="false">W18-X18</f>
        <v>0</v>
      </c>
    </row>
    <row r="19" customFormat="false" ht="12.75" hidden="false" customHeight="false" outlineLevel="0" collapsed="false">
      <c r="A19" s="169" t="s">
        <v>74</v>
      </c>
      <c r="B19" s="166" t="n">
        <f aca="false">SUM(Wheatland!B17,Wilton!B17,Gleason!B17)</f>
        <v>6373.04836310445</v>
      </c>
      <c r="C19" s="166" t="n">
        <f aca="false">SUM(Wheatland!C17,Wilton!C17,Gleason!C17)</f>
        <v>6564.23981399759</v>
      </c>
      <c r="D19" s="166" t="n">
        <f aca="false">SUM(Wheatland!D17,Wilton!D17,Gleason!D17)</f>
        <v>6761.16700841751</v>
      </c>
      <c r="E19" s="166" t="n">
        <f aca="false">SUM(Wheatland!E17,Wilton!E17,Gleason!E17)</f>
        <v>6964.00201867004</v>
      </c>
      <c r="F19" s="166" t="n">
        <f aca="false">SUM(Wheatland!F17,Wilton!F17,Gleason!F17)</f>
        <v>7172.92207923014</v>
      </c>
      <c r="G19" s="166" t="n">
        <f aca="false">SUM(Wheatland!G17,Wilton!G17,Gleason!G17)</f>
        <v>7388.10974160704</v>
      </c>
      <c r="H19" s="166" t="n">
        <f aca="false">SUM(Wheatland!H17,Wilton!H17,Gleason!H17)</f>
        <v>7609.75303385526</v>
      </c>
      <c r="I19" s="166" t="n">
        <f aca="false">SUM(Wheatland!I17,Wilton!I17,Gleason!I17)</f>
        <v>7838.04562487091</v>
      </c>
      <c r="J19" s="166" t="n">
        <f aca="false">SUM(Wheatland!J17,Wilton!J17,Gleason!J17)</f>
        <v>8073.18699361704</v>
      </c>
      <c r="K19" s="166" t="n">
        <f aca="false">SUM(Wheatland!K17,Wilton!K17,Gleason!K17)</f>
        <v>8315.38260342555</v>
      </c>
      <c r="L19" s="166" t="n">
        <f aca="false">SUM(Wheatland!L17,Wilton!L17,Gleason!L17)</f>
        <v>8564.84408152832</v>
      </c>
      <c r="M19" s="166" t="n">
        <f aca="false">SUM(Wheatland!M17,Wilton!M17,Gleason!M17)</f>
        <v>8821.78940397417</v>
      </c>
      <c r="N19" s="166" t="n">
        <f aca="false">SUM(Wheatland!N17,Wilton!N17,Gleason!N17)</f>
        <v>9086.4430860934</v>
      </c>
      <c r="O19" s="166" t="n">
        <f aca="false">SUM(Wheatland!O17,Wilton!O17,Gleason!O17)</f>
        <v>9359.0363786762</v>
      </c>
      <c r="P19" s="166" t="n">
        <f aca="false">SUM(Wheatland!P17,Wilton!P17,Gleason!P17)</f>
        <v>9639.80747003648</v>
      </c>
      <c r="Q19" s="166" t="n">
        <f aca="false">SUM(Wheatland!Q17,Wilton!Q17,Gleason!Q17)</f>
        <v>9929.00169413758</v>
      </c>
      <c r="R19" s="166" t="n">
        <f aca="false">SUM(Wheatland!R17,Wilton!R17,Gleason!R17)</f>
        <v>10226.8717449617</v>
      </c>
      <c r="S19" s="166" t="n">
        <f aca="false">SUM(Wheatland!S17,Wilton!S17,Gleason!S17)</f>
        <v>10533.6778973106</v>
      </c>
      <c r="T19" s="166" t="n">
        <f aca="false">SUM(Wheatland!T17,Wilton!T17,Gleason!T17)</f>
        <v>10849.6882342299</v>
      </c>
      <c r="U19" s="166" t="n">
        <f aca="false">SUM(Wheatland!U17,Wilton!U17,Gleason!U17)</f>
        <v>11175.1788812568</v>
      </c>
      <c r="W19" s="167" t="n">
        <f aca="false">SUM(B19:U19)</f>
        <v>171246.196153001</v>
      </c>
      <c r="X19" s="170" t="n">
        <f aca="false">SUM(Wheatland!W17,Wilton!W17,Gleason!W17)</f>
        <v>171246.196153001</v>
      </c>
      <c r="Y19" s="170" t="n">
        <f aca="false">W19-X19</f>
        <v>0</v>
      </c>
    </row>
    <row r="20" customFormat="false" ht="12.75" hidden="false" customHeight="false" outlineLevel="0" collapsed="false">
      <c r="A20" s="169" t="s">
        <v>111</v>
      </c>
      <c r="B20" s="166" t="n">
        <f aca="false">SUM(Wheatland!B18,Wilton!B18,Gleason!B18)</f>
        <v>1429.125</v>
      </c>
      <c r="C20" s="166" t="n">
        <f aca="false">SUM(Wheatland!C18,Wilton!C18,Gleason!C18)</f>
        <v>1471.99875</v>
      </c>
      <c r="D20" s="166" t="n">
        <f aca="false">SUM(Wheatland!D18,Wilton!D18,Gleason!D18)</f>
        <v>1516.1587125</v>
      </c>
      <c r="E20" s="166" t="n">
        <f aca="false">SUM(Wheatland!E18,Wilton!E18,Gleason!E18)</f>
        <v>1561.643473875</v>
      </c>
      <c r="F20" s="166" t="n">
        <f aca="false">SUM(Wheatland!F18,Wilton!F18,Gleason!F18)</f>
        <v>1608.49277809125</v>
      </c>
      <c r="G20" s="166" t="n">
        <f aca="false">SUM(Wheatland!G18,Wilton!G18,Gleason!G18)</f>
        <v>1656.74756143399</v>
      </c>
      <c r="H20" s="166" t="n">
        <f aca="false">SUM(Wheatland!H18,Wilton!H18,Gleason!H18)</f>
        <v>1706.44998827701</v>
      </c>
      <c r="I20" s="166" t="n">
        <f aca="false">SUM(Wheatland!I18,Wilton!I18,Gleason!I18)</f>
        <v>1757.64348792532</v>
      </c>
      <c r="J20" s="166" t="n">
        <f aca="false">SUM(Wheatland!J18,Wilton!J18,Gleason!J18)</f>
        <v>1810.37279256308</v>
      </c>
      <c r="K20" s="166" t="n">
        <f aca="false">SUM(Wheatland!K18,Wilton!K18,Gleason!K18)</f>
        <v>1864.68397633997</v>
      </c>
      <c r="L20" s="166" t="n">
        <f aca="false">SUM(Wheatland!L18,Wilton!L18,Gleason!L18)</f>
        <v>1920.62449563017</v>
      </c>
      <c r="M20" s="166" t="n">
        <f aca="false">SUM(Wheatland!M18,Wilton!M18,Gleason!M18)</f>
        <v>1978.24323049907</v>
      </c>
      <c r="N20" s="166" t="n">
        <f aca="false">SUM(Wheatland!N18,Wilton!N18,Gleason!N18)</f>
        <v>2037.59052741405</v>
      </c>
      <c r="O20" s="166" t="n">
        <f aca="false">SUM(Wheatland!O18,Wilton!O18,Gleason!O18)</f>
        <v>2098.71824323647</v>
      </c>
      <c r="P20" s="166" t="n">
        <f aca="false">SUM(Wheatland!P18,Wilton!P18,Gleason!P18)</f>
        <v>2161.67979053356</v>
      </c>
      <c r="Q20" s="166" t="n">
        <f aca="false">SUM(Wheatland!Q18,Wilton!Q18,Gleason!Q18)</f>
        <v>2226.53018424957</v>
      </c>
      <c r="R20" s="166" t="n">
        <f aca="false">SUM(Wheatland!R18,Wilton!R18,Gleason!R18)</f>
        <v>2293.32608977706</v>
      </c>
      <c r="S20" s="166" t="n">
        <f aca="false">SUM(Wheatland!S18,Wilton!S18,Gleason!S18)</f>
        <v>2362.12587247037</v>
      </c>
      <c r="T20" s="166" t="n">
        <f aca="false">SUM(Wheatland!T18,Wilton!T18,Gleason!T18)</f>
        <v>2432.98964864448</v>
      </c>
      <c r="U20" s="166" t="n">
        <f aca="false">SUM(Wheatland!U18,Wilton!U18,Gleason!U18)</f>
        <v>2505.97933810381</v>
      </c>
      <c r="W20" s="167" t="n">
        <f aca="false">SUM(B20:U20)</f>
        <v>38401.1239415642</v>
      </c>
      <c r="X20" s="170" t="n">
        <f aca="false">SUM(Wheatland!W18,Wilton!W18,Gleason!W18)</f>
        <v>38401.1239415642</v>
      </c>
      <c r="Y20" s="170" t="n">
        <f aca="false">W20-X20</f>
        <v>0</v>
      </c>
    </row>
    <row r="21" customFormat="false" ht="12.75" hidden="false" customHeight="false" outlineLevel="0" collapsed="false">
      <c r="A21" s="169" t="s">
        <v>76</v>
      </c>
      <c r="B21" s="166" t="n">
        <f aca="false">SUM(Wheatland!B19,Wilton!B19,Gleason!B19)</f>
        <v>1060.04098</v>
      </c>
      <c r="C21" s="166" t="n">
        <f aca="false">SUM(Wheatland!C19,Wilton!C19,Gleason!C19)</f>
        <v>1091.8422094</v>
      </c>
      <c r="D21" s="166" t="n">
        <f aca="false">SUM(Wheatland!D19,Wilton!D19,Gleason!D19)</f>
        <v>1124.597475682</v>
      </c>
      <c r="E21" s="166" t="n">
        <f aca="false">SUM(Wheatland!E19,Wilton!E19,Gleason!E19)</f>
        <v>1158.33539995246</v>
      </c>
      <c r="F21" s="166" t="n">
        <f aca="false">SUM(Wheatland!F19,Wilton!F19,Gleason!F19)</f>
        <v>1193.08546195103</v>
      </c>
      <c r="G21" s="166" t="n">
        <f aca="false">SUM(Wheatland!G19,Wilton!G19,Gleason!G19)</f>
        <v>1228.87802580956</v>
      </c>
      <c r="H21" s="166" t="n">
        <f aca="false">SUM(Wheatland!H19,Wilton!H19,Gleason!H19)</f>
        <v>1265.74436658385</v>
      </c>
      <c r="I21" s="166" t="n">
        <f aca="false">SUM(Wheatland!I19,Wilton!I19,Gleason!I19)</f>
        <v>1303.71669758137</v>
      </c>
      <c r="J21" s="166" t="n">
        <f aca="false">SUM(Wheatland!J19,Wilton!J19,Gleason!J19)</f>
        <v>1342.82819850881</v>
      </c>
      <c r="K21" s="166" t="n">
        <f aca="false">SUM(Wheatland!K19,Wilton!K19,Gleason!K19)</f>
        <v>1383.11304446407</v>
      </c>
      <c r="L21" s="166" t="n">
        <f aca="false">SUM(Wheatland!L19,Wilton!L19,Gleason!L19)</f>
        <v>1424.606435798</v>
      </c>
      <c r="M21" s="166" t="n">
        <f aca="false">SUM(Wheatland!M19,Wilton!M19,Gleason!M19)</f>
        <v>1467.34462887194</v>
      </c>
      <c r="N21" s="166" t="n">
        <f aca="false">SUM(Wheatland!N19,Wilton!N19,Gleason!N19)</f>
        <v>1511.36496773809</v>
      </c>
      <c r="O21" s="166" t="n">
        <f aca="false">SUM(Wheatland!O19,Wilton!O19,Gleason!O19)</f>
        <v>1556.70591677024</v>
      </c>
      <c r="P21" s="166" t="n">
        <f aca="false">SUM(Wheatland!P19,Wilton!P19,Gleason!P19)</f>
        <v>1603.40709427334</v>
      </c>
      <c r="Q21" s="166" t="n">
        <f aca="false">SUM(Wheatland!Q19,Wilton!Q19,Gleason!Q19)</f>
        <v>1651.50930710154</v>
      </c>
      <c r="R21" s="166" t="n">
        <f aca="false">SUM(Wheatland!R19,Wilton!R19,Gleason!R19)</f>
        <v>1701.05458631459</v>
      </c>
      <c r="S21" s="166" t="n">
        <f aca="false">SUM(Wheatland!S19,Wilton!S19,Gleason!S19)</f>
        <v>1752.08622390403</v>
      </c>
      <c r="T21" s="166" t="n">
        <f aca="false">SUM(Wheatland!T19,Wilton!T19,Gleason!T19)</f>
        <v>1804.64881062115</v>
      </c>
      <c r="U21" s="166" t="n">
        <f aca="false">SUM(Wheatland!U19,Wilton!U19,Gleason!U19)</f>
        <v>1858.78827493978</v>
      </c>
      <c r="W21" s="167" t="n">
        <f aca="false">SUM(B21:U21)</f>
        <v>28483.6981062659</v>
      </c>
      <c r="X21" s="170" t="n">
        <f aca="false">SUM(Wheatland!W19,Wilton!W19,Gleason!W19)</f>
        <v>28483.6981062659</v>
      </c>
      <c r="Y21" s="170" t="n">
        <f aca="false">W21-X21</f>
        <v>0</v>
      </c>
    </row>
    <row r="22" customFormat="false" ht="14.25" hidden="false" customHeight="true" outlineLevel="0" collapsed="false">
      <c r="A22" s="169" t="s">
        <v>112</v>
      </c>
      <c r="B22" s="166" t="n">
        <f aca="false">SUM(Wheatland!B20,Wilton!B20,Gleason!B20)</f>
        <v>746.46</v>
      </c>
      <c r="C22" s="166" t="n">
        <f aca="false">SUM(Wheatland!C20,Wilton!C20,Gleason!C20)</f>
        <v>1050.307</v>
      </c>
      <c r="D22" s="166" t="n">
        <f aca="false">SUM(Wheatland!D20,Wilton!D20,Gleason!D20)</f>
        <v>1248.093</v>
      </c>
      <c r="E22" s="166" t="n">
        <f aca="false">SUM(Wheatland!E20,Wilton!E20,Gleason!E20)</f>
        <v>1339.135</v>
      </c>
      <c r="F22" s="166" t="n">
        <f aca="false">SUM(Wheatland!F20,Wilton!F20,Gleason!F20)</f>
        <v>1401.501</v>
      </c>
      <c r="G22" s="166" t="n">
        <f aca="false">SUM(Wheatland!G20,Wilton!G20,Gleason!G20)</f>
        <v>1623.537</v>
      </c>
      <c r="H22" s="166" t="n">
        <f aca="false">SUM(Wheatland!H20,Wilton!H20,Gleason!H20)</f>
        <v>1795.939</v>
      </c>
      <c r="I22" s="166" t="n">
        <f aca="false">SUM(Wheatland!I20,Wilton!I20,Gleason!I20)</f>
        <v>1908.112</v>
      </c>
      <c r="J22" s="166" t="n">
        <f aca="false">SUM(Wheatland!J20,Wilton!J20,Gleason!J20)</f>
        <v>1920.18</v>
      </c>
      <c r="K22" s="166" t="n">
        <f aca="false">SUM(Wheatland!K20,Wilton!K20,Gleason!K20)</f>
        <v>1854.138</v>
      </c>
      <c r="L22" s="166" t="n">
        <f aca="false">SUM(Wheatland!L20,Wilton!L20,Gleason!L20)</f>
        <v>2009.213</v>
      </c>
      <c r="M22" s="166" t="n">
        <f aca="false">SUM(Wheatland!M20,Wilton!M20,Gleason!M20)</f>
        <v>2009.18</v>
      </c>
      <c r="N22" s="166" t="n">
        <f aca="false">SUM(Wheatland!N20,Wilton!N20,Gleason!N20)</f>
        <v>2358.1</v>
      </c>
      <c r="O22" s="166" t="n">
        <f aca="false">SUM(Wheatland!O20,Wilton!O20,Gleason!O20)</f>
        <v>2358.1</v>
      </c>
      <c r="P22" s="166" t="n">
        <f aca="false">SUM(Wheatland!P20,Wilton!P20,Gleason!P20)</f>
        <v>2794.25</v>
      </c>
      <c r="Q22" s="166" t="n">
        <f aca="false">SUM(Wheatland!Q20,Wilton!Q20,Gleason!Q20)</f>
        <v>2229.731045</v>
      </c>
      <c r="R22" s="166" t="n">
        <f aca="false">SUM(Wheatland!R20,Wilton!R20,Gleason!R20)</f>
        <v>2244.6096659</v>
      </c>
      <c r="S22" s="166" t="n">
        <f aca="false">SUM(Wheatland!S20,Wilton!S20,Gleason!S20)</f>
        <v>2259.785859218</v>
      </c>
      <c r="T22" s="166" t="n">
        <f aca="false">SUM(Wheatland!T20,Wilton!T20,Gleason!T20)</f>
        <v>2275.26557640236</v>
      </c>
      <c r="U22" s="166" t="n">
        <f aca="false">SUM(Wheatland!U20,Wilton!U20,Gleason!U20)</f>
        <v>2291.05488793041</v>
      </c>
      <c r="W22" s="167" t="n">
        <f aca="false">SUM(B22:U22)</f>
        <v>37716.6920344508</v>
      </c>
      <c r="X22" s="170" t="n">
        <f aca="false">SUM(Wheatland!W20,Wilton!W20,Gleason!W20)</f>
        <v>37716.6920344508</v>
      </c>
      <c r="Y22" s="170" t="n">
        <f aca="false">W22-X22</f>
        <v>0</v>
      </c>
    </row>
    <row r="23" customFormat="false" ht="12.75" hidden="false" customHeight="false" outlineLevel="0" collapsed="false">
      <c r="A23" s="169" t="s">
        <v>113</v>
      </c>
      <c r="B23" s="171" t="n">
        <f aca="false">SUM(Wheatland!B21,Wilton!B21,Gleason!B21)</f>
        <v>903.230769149927</v>
      </c>
      <c r="C23" s="171" t="n">
        <f aca="false">SUM(Wheatland!C21,Wilton!C21,Gleason!C21)</f>
        <v>786.315253463484</v>
      </c>
      <c r="D23" s="171" t="n">
        <f aca="false">SUM(Wheatland!D21,Wilton!D21,Gleason!D21)</f>
        <v>767.480564074032</v>
      </c>
      <c r="E23" s="171" t="n">
        <f aca="false">SUM(Wheatland!E21,Wilton!E21,Gleason!E21)</f>
        <v>748.645874684579</v>
      </c>
      <c r="F23" s="171" t="n">
        <f aca="false">SUM(Wheatland!F21,Wilton!F21,Gleason!F21)</f>
        <v>729.811185295127</v>
      </c>
      <c r="G23" s="171" t="n">
        <f aca="false">SUM(Wheatland!G21,Wilton!G21,Gleason!G21)</f>
        <v>710.976495905675</v>
      </c>
      <c r="H23" s="171" t="n">
        <f aca="false">SUM(Wheatland!H21,Wilton!H21,Gleason!H21)</f>
        <v>692.141806516223</v>
      </c>
      <c r="I23" s="171" t="n">
        <f aca="false">SUM(Wheatland!I21,Wilton!I21,Gleason!I21)</f>
        <v>673.307117126771</v>
      </c>
      <c r="J23" s="171" t="n">
        <f aca="false">SUM(Wheatland!J21,Wilton!J21,Gleason!J21)</f>
        <v>654.472427737318</v>
      </c>
      <c r="K23" s="171" t="n">
        <f aca="false">SUM(Wheatland!K21,Wilton!K21,Gleason!K21)</f>
        <v>635.637738347866</v>
      </c>
      <c r="L23" s="171" t="n">
        <f aca="false">SUM(Wheatland!L21,Wilton!L21,Gleason!L21)</f>
        <v>616.803048958414</v>
      </c>
      <c r="M23" s="171" t="n">
        <f aca="false">SUM(Wheatland!M21,Wilton!M21,Gleason!M21)</f>
        <v>597.968359568962</v>
      </c>
      <c r="N23" s="171" t="n">
        <f aca="false">SUM(Wheatland!N21,Wilton!N21,Gleason!N21)</f>
        <v>579.13367017951</v>
      </c>
      <c r="O23" s="171" t="n">
        <f aca="false">SUM(Wheatland!O21,Wilton!O21,Gleason!O21)</f>
        <v>560.298980790058</v>
      </c>
      <c r="P23" s="171" t="n">
        <f aca="false">SUM(Wheatland!P21,Wilton!P21,Gleason!P21)</f>
        <v>541.464291400605</v>
      </c>
      <c r="Q23" s="171" t="n">
        <f aca="false">SUM(Wheatland!Q21,Wilton!Q21,Gleason!Q21)</f>
        <v>522.629602011153</v>
      </c>
      <c r="R23" s="171" t="n">
        <f aca="false">SUM(Wheatland!R21,Wilton!R21,Gleason!R21)</f>
        <v>503.794912621701</v>
      </c>
      <c r="S23" s="171" t="n">
        <f aca="false">SUM(Wheatland!S21,Wilton!S21,Gleason!S21)</f>
        <v>484.960223232249</v>
      </c>
      <c r="T23" s="171" t="n">
        <f aca="false">SUM(Wheatland!T21,Wilton!T21,Gleason!T21)</f>
        <v>466.125533842797</v>
      </c>
      <c r="U23" s="171" t="n">
        <f aca="false">SUM(Wheatland!U21,Wilton!U21,Gleason!U21)</f>
        <v>447.290844453344</v>
      </c>
      <c r="V23" s="164"/>
      <c r="W23" s="167" t="n">
        <f aca="false">SUM(B23:U23)</f>
        <v>12622.4886993598</v>
      </c>
      <c r="X23" s="170" t="n">
        <f aca="false">SUM(Wheatland!W21,Wilton!W21,Gleason!W21)</f>
        <v>12622.4886993598</v>
      </c>
      <c r="Y23" s="170" t="n">
        <f aca="false">W23-X23</f>
        <v>0</v>
      </c>
    </row>
    <row r="24" customFormat="false" ht="12.75" hidden="false" customHeight="false" outlineLevel="0" collapsed="false">
      <c r="A24" s="169" t="s">
        <v>114</v>
      </c>
      <c r="B24" s="166" t="n">
        <f aca="false">SUM(B18:B23)</f>
        <v>14844.9220608258</v>
      </c>
      <c r="C24" s="166" t="n">
        <f aca="false">SUM(C18:C23)</f>
        <v>15427.7104838896</v>
      </c>
      <c r="D24" s="166" t="n">
        <f aca="false">SUM(D18:D23)</f>
        <v>16014.394441413</v>
      </c>
      <c r="E24" s="166" t="n">
        <f aca="false">SUM(E18:E23)</f>
        <v>16506.5663783437</v>
      </c>
      <c r="F24" s="166" t="n">
        <f aca="false">SUM(F18:F23)</f>
        <v>16982.661254064</v>
      </c>
      <c r="G24" s="166" t="n">
        <f aca="false">SUM(G18:G23)</f>
        <v>17631.4030367376</v>
      </c>
      <c r="H24" s="166" t="n">
        <f aca="false">SUM(H18:H23)</f>
        <v>18243.8770335731</v>
      </c>
      <c r="I24" s="166" t="n">
        <f aca="false">SUM(I18:I23)</f>
        <v>18809.8892309954</v>
      </c>
      <c r="J24" s="166" t="n">
        <f aca="false">SUM(J18:J23)</f>
        <v>19289.976645022</v>
      </c>
      <c r="K24" s="166" t="n">
        <f aca="false">SUM(K18:K23)</f>
        <v>19706.5596821511</v>
      </c>
      <c r="L24" s="166" t="n">
        <f aca="false">SUM(L18:L23)</f>
        <v>20359.3035110757</v>
      </c>
      <c r="M24" s="166" t="n">
        <f aca="false">SUM(M18:M23)</f>
        <v>20872.4344455498</v>
      </c>
      <c r="N24" s="166" t="n">
        <f aca="false">SUM(N18:N23)</f>
        <v>21750.4783387398</v>
      </c>
      <c r="O24" s="166" t="n">
        <f aca="false">SUM(O18:O23)</f>
        <v>22296.0409894071</v>
      </c>
      <c r="P24" s="166" t="n">
        <f aca="false">SUM(P18:P23)</f>
        <v>23294.6855602762</v>
      </c>
      <c r="Q24" s="166" t="n">
        <f aca="false">SUM(Q18:Q23)</f>
        <v>23310.101053953</v>
      </c>
      <c r="R24" s="166" t="n">
        <f aca="false">SUM(R18:R23)</f>
        <v>23922.8771976718</v>
      </c>
      <c r="S24" s="166" t="n">
        <f aca="false">SUM(S18:S23)</f>
        <v>24554.4528801749</v>
      </c>
      <c r="T24" s="166" t="n">
        <f aca="false">SUM(T18:T23)</f>
        <v>25205.3891119015</v>
      </c>
      <c r="U24" s="166" t="n">
        <f aca="false">SUM(U18:U23)</f>
        <v>25876.2636740898</v>
      </c>
      <c r="W24" s="167" t="n">
        <f aca="false">SUM(B24:U24)</f>
        <v>404899.987009855</v>
      </c>
      <c r="X24" s="170" t="n">
        <f aca="false">SUM(Wheatland!W22,Wilton!W22,Gleason!W22)</f>
        <v>404899.987009855</v>
      </c>
      <c r="Y24" s="170" t="n">
        <f aca="false">W24-X24</f>
        <v>0</v>
      </c>
    </row>
    <row r="25" customFormat="false" ht="12.75" hidden="false" customHeight="false" outlineLevel="0" collapsed="false">
      <c r="A25" s="173"/>
      <c r="B25" s="174"/>
      <c r="C25" s="174"/>
      <c r="D25" s="174"/>
      <c r="E25" s="174"/>
      <c r="F25" s="174"/>
      <c r="G25" s="174"/>
      <c r="H25" s="174"/>
      <c r="I25" s="174"/>
      <c r="J25" s="174"/>
      <c r="K25" s="174"/>
      <c r="L25" s="174"/>
      <c r="M25" s="174"/>
      <c r="N25" s="174"/>
      <c r="O25" s="174"/>
      <c r="P25" s="174"/>
      <c r="Q25" s="174"/>
      <c r="R25" s="174"/>
      <c r="S25" s="174"/>
      <c r="T25" s="174"/>
      <c r="U25" s="174"/>
      <c r="W25" s="167"/>
      <c r="X25" s="168"/>
      <c r="Y25" s="168"/>
    </row>
    <row r="26" customFormat="false" ht="12.75" hidden="false" customHeight="false" outlineLevel="0" collapsed="false">
      <c r="A26" s="175"/>
      <c r="B26" s="176"/>
      <c r="C26" s="176"/>
      <c r="D26" s="176"/>
      <c r="E26" s="176"/>
      <c r="F26" s="176"/>
      <c r="G26" s="176"/>
      <c r="H26" s="176"/>
      <c r="I26" s="176"/>
      <c r="J26" s="176"/>
      <c r="K26" s="176"/>
      <c r="L26" s="176"/>
      <c r="M26" s="176"/>
      <c r="N26" s="176"/>
      <c r="O26" s="176"/>
      <c r="P26" s="176"/>
      <c r="Q26" s="176"/>
      <c r="R26" s="176"/>
      <c r="S26" s="176"/>
      <c r="T26" s="176"/>
      <c r="U26" s="176"/>
      <c r="W26" s="167"/>
      <c r="X26" s="168"/>
      <c r="Y26" s="168"/>
    </row>
    <row r="27" customFormat="false" ht="12.75" hidden="false" customHeight="false" outlineLevel="0" collapsed="false">
      <c r="A27" s="163" t="s">
        <v>115</v>
      </c>
      <c r="B27" s="177" t="n">
        <f aca="false">B15-B24</f>
        <v>102546.924261271</v>
      </c>
      <c r="C27" s="177" t="n">
        <f aca="false">C15-C24</f>
        <v>107648.828283462</v>
      </c>
      <c r="D27" s="177" t="n">
        <f aca="false">D15-D24</f>
        <v>113025.540021213</v>
      </c>
      <c r="E27" s="177" t="n">
        <f aca="false">E15-E24</f>
        <v>118790.461398574</v>
      </c>
      <c r="F27" s="177" t="n">
        <f aca="false">F15-F24</f>
        <v>124878.625115702</v>
      </c>
      <c r="G27" s="177" t="n">
        <f aca="false">G15-G24</f>
        <v>126862.519872687</v>
      </c>
      <c r="H27" s="177" t="n">
        <f aca="false">H15-H24</f>
        <v>128934.872171949</v>
      </c>
      <c r="I27" s="177" t="n">
        <f aca="false">I15-I24</f>
        <v>131107.067706649</v>
      </c>
      <c r="J27" s="177" t="n">
        <f aca="false">J15-J24</f>
        <v>133420.149936338</v>
      </c>
      <c r="K27" s="177" t="n">
        <f aca="false">K15-K24</f>
        <v>135852.528838871</v>
      </c>
      <c r="L27" s="177" t="n">
        <f aca="false">L15-L24</f>
        <v>138007.920917578</v>
      </c>
      <c r="M27" s="177" t="n">
        <f aca="false">M15-M24</f>
        <v>140358.282208866</v>
      </c>
      <c r="N27" s="177" t="n">
        <f aca="false">N15-N24</f>
        <v>142393.856197657</v>
      </c>
      <c r="O27" s="177" t="n">
        <f aca="false">O15-O24</f>
        <v>144821.853232607</v>
      </c>
      <c r="P27" s="177" t="n">
        <f aca="false">P15-P24</f>
        <v>146848.012651711</v>
      </c>
      <c r="Q27" s="177" t="n">
        <f aca="false">Q15-Q24</f>
        <v>149540.457012641</v>
      </c>
      <c r="R27" s="177" t="n">
        <f aca="false">R15-R24</f>
        <v>151673.364120372</v>
      </c>
      <c r="S27" s="177" t="n">
        <f aca="false">S15-S24</f>
        <v>153833.34783492</v>
      </c>
      <c r="T27" s="177" t="n">
        <f aca="false">T15-T24</f>
        <v>156020.677431687</v>
      </c>
      <c r="U27" s="177" t="n">
        <f aca="false">U15-U24</f>
        <v>158235.622145328</v>
      </c>
      <c r="W27" s="167" t="n">
        <f aca="false">SUM(B27:U27)</f>
        <v>2704800.91136008</v>
      </c>
      <c r="X27" s="170" t="n">
        <f aca="false">SUM(Wheatland!W25,Wilton!W25,Gleason!W25)</f>
        <v>2704800.91136008</v>
      </c>
      <c r="Y27" s="170" t="n">
        <f aca="false">W27-X27</f>
        <v>0</v>
      </c>
    </row>
    <row r="28" customFormat="false" ht="12.75" hidden="false" customHeight="false" outlineLevel="0" collapsed="false">
      <c r="A28" s="163"/>
      <c r="B28" s="174"/>
      <c r="C28" s="174"/>
      <c r="D28" s="174"/>
      <c r="E28" s="174"/>
      <c r="F28" s="174"/>
      <c r="G28" s="174"/>
      <c r="H28" s="174"/>
      <c r="I28" s="174"/>
      <c r="J28" s="174"/>
      <c r="K28" s="174"/>
      <c r="L28" s="174"/>
      <c r="M28" s="174"/>
      <c r="N28" s="174"/>
      <c r="O28" s="174"/>
      <c r="P28" s="174"/>
      <c r="Q28" s="174"/>
      <c r="R28" s="174"/>
      <c r="S28" s="174"/>
      <c r="T28" s="174"/>
      <c r="U28" s="174"/>
      <c r="W28" s="167"/>
      <c r="X28" s="168"/>
      <c r="Y28" s="168"/>
    </row>
    <row r="29" customFormat="false" ht="12.75" hidden="false" customHeight="false" outlineLevel="0" collapsed="false">
      <c r="A29" s="169" t="s">
        <v>116</v>
      </c>
      <c r="B29" s="166" t="n">
        <f aca="false">Depreciation!C34</f>
        <v>24065.8907044705</v>
      </c>
      <c r="C29" s="166" t="n">
        <f aca="false">Depreciation!D34</f>
        <v>24065.8907044705</v>
      </c>
      <c r="D29" s="166" t="n">
        <f aca="false">Depreciation!E34</f>
        <v>24065.8907044705</v>
      </c>
      <c r="E29" s="166" t="n">
        <f aca="false">Depreciation!F34</f>
        <v>24065.8907044705</v>
      </c>
      <c r="F29" s="166" t="n">
        <f aca="false">Depreciation!G34</f>
        <v>24065.8907044705</v>
      </c>
      <c r="G29" s="166" t="n">
        <f aca="false">Depreciation!H34</f>
        <v>24065.8907044705</v>
      </c>
      <c r="H29" s="166" t="n">
        <f aca="false">Depreciation!I34</f>
        <v>24065.8907044705</v>
      </c>
      <c r="I29" s="166" t="n">
        <f aca="false">Depreciation!J34</f>
        <v>24065.8907044705</v>
      </c>
      <c r="J29" s="166" t="n">
        <f aca="false">Depreciation!K34</f>
        <v>24065.8907044705</v>
      </c>
      <c r="K29" s="166" t="n">
        <f aca="false">Depreciation!L34</f>
        <v>24065.8907044705</v>
      </c>
      <c r="L29" s="166" t="n">
        <f aca="false">Depreciation!M34</f>
        <v>24065.8907044705</v>
      </c>
      <c r="M29" s="166" t="n">
        <f aca="false">Depreciation!N34</f>
        <v>24065.8907044705</v>
      </c>
      <c r="N29" s="166" t="n">
        <f aca="false">Depreciation!O34</f>
        <v>24065.8907044705</v>
      </c>
      <c r="O29" s="166" t="n">
        <f aca="false">Depreciation!P34</f>
        <v>24065.8907044705</v>
      </c>
      <c r="P29" s="166" t="n">
        <f aca="false">Depreciation!Q34</f>
        <v>24065.8907044705</v>
      </c>
      <c r="Q29" s="166" t="n">
        <f aca="false">Depreciation!R34</f>
        <v>24065.8907044705</v>
      </c>
      <c r="R29" s="166" t="n">
        <f aca="false">Depreciation!S34</f>
        <v>24065.8907044705</v>
      </c>
      <c r="S29" s="166" t="n">
        <f aca="false">Depreciation!T34</f>
        <v>24065.8907044705</v>
      </c>
      <c r="T29" s="166" t="n">
        <f aca="false">Depreciation!U34</f>
        <v>24065.8907044705</v>
      </c>
      <c r="U29" s="166" t="n">
        <f aca="false">Depreciation!V34</f>
        <v>24065.8907044705</v>
      </c>
      <c r="W29" s="167" t="n">
        <f aca="false">SUM(B29:U29)</f>
        <v>481317.814089411</v>
      </c>
      <c r="X29" s="170" t="n">
        <f aca="false">SUM(Wheatland!W27,Wilton!W27,Gleason!W27)</f>
        <v>481317.814089411</v>
      </c>
      <c r="Y29" s="170" t="n">
        <f aca="false">W29-X29</f>
        <v>0</v>
      </c>
    </row>
    <row r="30" customFormat="false" ht="12.75" hidden="false" customHeight="false" outlineLevel="0" collapsed="false">
      <c r="A30" s="169"/>
      <c r="B30" s="166"/>
      <c r="C30" s="166"/>
      <c r="D30" s="166"/>
      <c r="E30" s="166"/>
      <c r="F30" s="166"/>
      <c r="G30" s="166"/>
      <c r="H30" s="166"/>
      <c r="I30" s="166"/>
      <c r="J30" s="166"/>
      <c r="K30" s="166"/>
      <c r="L30" s="166"/>
      <c r="M30" s="166"/>
      <c r="N30" s="166"/>
      <c r="O30" s="166"/>
      <c r="P30" s="166"/>
      <c r="Q30" s="166"/>
      <c r="R30" s="166"/>
      <c r="S30" s="166"/>
      <c r="T30" s="166"/>
      <c r="U30" s="166"/>
      <c r="W30" s="167"/>
      <c r="X30" s="168"/>
      <c r="Y30" s="168"/>
    </row>
    <row r="31" customFormat="false" ht="12.75" hidden="false" customHeight="false" outlineLevel="0" collapsed="false">
      <c r="A31" s="163" t="s">
        <v>117</v>
      </c>
      <c r="B31" s="177" t="n">
        <f aca="false">B27-B29</f>
        <v>78481.0335568005</v>
      </c>
      <c r="C31" s="177" t="n">
        <f aca="false">C27-C29</f>
        <v>83582.9375789918</v>
      </c>
      <c r="D31" s="177" t="n">
        <f aca="false">D27-D29</f>
        <v>88959.6493167424</v>
      </c>
      <c r="E31" s="177" t="n">
        <f aca="false">E27-E29</f>
        <v>94724.570694103</v>
      </c>
      <c r="F31" s="177" t="n">
        <f aca="false">F27-F29</f>
        <v>100812.734411232</v>
      </c>
      <c r="G31" s="177" t="n">
        <f aca="false">G27-G29</f>
        <v>102796.629168217</v>
      </c>
      <c r="H31" s="177" t="n">
        <f aca="false">H27-H29</f>
        <v>104868.981467479</v>
      </c>
      <c r="I31" s="177" t="n">
        <f aca="false">I27-I29</f>
        <v>107041.177002178</v>
      </c>
      <c r="J31" s="177" t="n">
        <f aca="false">J27-J29</f>
        <v>109354.259231868</v>
      </c>
      <c r="K31" s="177" t="n">
        <f aca="false">K27-K29</f>
        <v>111786.6381344</v>
      </c>
      <c r="L31" s="177" t="n">
        <f aca="false">L27-L29</f>
        <v>113942.030213107</v>
      </c>
      <c r="M31" s="177" t="n">
        <f aca="false">M27-M29</f>
        <v>116292.391504395</v>
      </c>
      <c r="N31" s="177" t="n">
        <f aca="false">N27-N29</f>
        <v>118327.965493186</v>
      </c>
      <c r="O31" s="177" t="n">
        <f aca="false">O27-O29</f>
        <v>120755.962528136</v>
      </c>
      <c r="P31" s="177" t="n">
        <f aca="false">P27-P29</f>
        <v>122782.121947241</v>
      </c>
      <c r="Q31" s="177" t="n">
        <f aca="false">Q27-Q29</f>
        <v>125474.566308171</v>
      </c>
      <c r="R31" s="177" t="n">
        <f aca="false">R27-R29</f>
        <v>127607.473415902</v>
      </c>
      <c r="S31" s="177" t="n">
        <f aca="false">S27-S29</f>
        <v>129767.45713045</v>
      </c>
      <c r="T31" s="177" t="n">
        <f aca="false">T27-T29</f>
        <v>131954.786727217</v>
      </c>
      <c r="U31" s="177" t="n">
        <f aca="false">U27-U29</f>
        <v>134169.731440858</v>
      </c>
      <c r="W31" s="167" t="n">
        <f aca="false">SUM(B31:U31)</f>
        <v>2223483.09727067</v>
      </c>
      <c r="X31" s="170" t="n">
        <f aca="false">SUM(Wheatland!W29,Wilton!W29,Gleason!W29)</f>
        <v>2223483.09727067</v>
      </c>
      <c r="Y31" s="170" t="n">
        <f aca="false">W31-X31</f>
        <v>0</v>
      </c>
    </row>
    <row r="32" customFormat="false" ht="12.75" hidden="false" customHeight="false" outlineLevel="0" collapsed="false">
      <c r="A32" s="163"/>
      <c r="B32" s="177"/>
      <c r="C32" s="177"/>
      <c r="D32" s="177"/>
      <c r="E32" s="177"/>
      <c r="F32" s="177"/>
      <c r="G32" s="177"/>
      <c r="H32" s="177"/>
      <c r="I32" s="177"/>
      <c r="J32" s="177"/>
      <c r="K32" s="177"/>
      <c r="L32" s="177"/>
      <c r="M32" s="177"/>
      <c r="N32" s="177"/>
      <c r="O32" s="177"/>
      <c r="P32" s="177"/>
      <c r="Q32" s="177"/>
      <c r="R32" s="177"/>
      <c r="S32" s="177"/>
      <c r="T32" s="177"/>
      <c r="U32" s="177"/>
      <c r="W32" s="167"/>
      <c r="X32" s="168"/>
      <c r="Y32" s="168"/>
    </row>
    <row r="33" customFormat="false" ht="12.75" hidden="false" customHeight="false" outlineLevel="0" collapsed="false">
      <c r="A33" s="169" t="s">
        <v>118</v>
      </c>
      <c r="B33" s="166" t="n">
        <f aca="false">Debt!B91</f>
        <v>39067.8384668036</v>
      </c>
      <c r="C33" s="166" t="n">
        <f aca="false">Debt!C91</f>
        <v>39175.1676933607</v>
      </c>
      <c r="D33" s="166" t="n">
        <f aca="false">Debt!D91</f>
        <v>39175.1676933607</v>
      </c>
      <c r="E33" s="166" t="n">
        <f aca="false">Debt!E91</f>
        <v>39152.9664613279</v>
      </c>
      <c r="F33" s="166" t="n">
        <f aca="false">Debt!F91</f>
        <v>38482.9748117728</v>
      </c>
      <c r="G33" s="166" t="n">
        <f aca="false">Debt!G91</f>
        <v>37751.2271047228</v>
      </c>
      <c r="H33" s="166" t="n">
        <f aca="false">Debt!H91</f>
        <v>36928.8412046543</v>
      </c>
      <c r="I33" s="166" t="n">
        <f aca="false">Debt!I91</f>
        <v>36121.0924024641</v>
      </c>
      <c r="J33" s="166" t="n">
        <f aca="false">Debt!J91</f>
        <v>34999.7649555099</v>
      </c>
      <c r="K33" s="166" t="n">
        <f aca="false">Debt!K91</f>
        <v>33815.5550992471</v>
      </c>
      <c r="L33" s="166" t="n">
        <f aca="false">Debt!L91</f>
        <v>31797.3289527721</v>
      </c>
      <c r="M33" s="166" t="n">
        <f aca="false">Debt!M91</f>
        <v>28564.7253114305</v>
      </c>
      <c r="N33" s="166" t="n">
        <f aca="false">Debt!N91</f>
        <v>25171.4672142368</v>
      </c>
      <c r="O33" s="166" t="n">
        <f aca="false">Debt!O91</f>
        <v>21858.5363449692</v>
      </c>
      <c r="P33" s="166" t="n">
        <f aca="false">Debt!P91</f>
        <v>18503.8534702259</v>
      </c>
      <c r="Q33" s="166" t="n">
        <f aca="false">Debt!Q91</f>
        <v>15027.0913620808</v>
      </c>
      <c r="R33" s="166" t="n">
        <f aca="false">Debt!R91</f>
        <v>11339.3000958248</v>
      </c>
      <c r="S33" s="166" t="n">
        <f aca="false">Debt!S91</f>
        <v>7862.0841615332</v>
      </c>
      <c r="T33" s="166" t="n">
        <f aca="false">Debt!T91</f>
        <v>4880.44637919233</v>
      </c>
      <c r="U33" s="166" t="n">
        <f aca="false">Debt!U91</f>
        <v>1906.06981519507</v>
      </c>
      <c r="W33" s="167" t="n">
        <f aca="false">SUM(B33:U33)</f>
        <v>541581.499000685</v>
      </c>
      <c r="X33" s="170" t="n">
        <f aca="false">SUM(Wheatland!W31,Wilton!W31,Gleason!W31)</f>
        <v>541581.499000685</v>
      </c>
      <c r="Y33" s="170" t="n">
        <f aca="false">W33-X33</f>
        <v>0</v>
      </c>
    </row>
    <row r="34" customFormat="false" ht="12.75" hidden="false" customHeight="false" outlineLevel="0" collapsed="false">
      <c r="A34" s="4"/>
      <c r="B34" s="166"/>
      <c r="C34" s="166"/>
      <c r="D34" s="166"/>
      <c r="E34" s="166"/>
      <c r="F34" s="166"/>
      <c r="G34" s="166"/>
      <c r="H34" s="166"/>
      <c r="I34" s="166"/>
      <c r="J34" s="166"/>
      <c r="K34" s="166"/>
      <c r="L34" s="166"/>
      <c r="M34" s="166"/>
      <c r="N34" s="166"/>
      <c r="O34" s="166"/>
      <c r="P34" s="166"/>
      <c r="Q34" s="166"/>
      <c r="R34" s="166"/>
      <c r="S34" s="166"/>
      <c r="T34" s="166"/>
      <c r="U34" s="166"/>
      <c r="W34" s="167"/>
      <c r="X34" s="168"/>
      <c r="Y34" s="168"/>
    </row>
    <row r="35" customFormat="false" ht="12.75" hidden="false" customHeight="false" outlineLevel="0" collapsed="false">
      <c r="A35" s="163" t="s">
        <v>119</v>
      </c>
      <c r="B35" s="177" t="n">
        <f aca="false">B31-B33</f>
        <v>39413.1950899969</v>
      </c>
      <c r="C35" s="177" t="n">
        <f aca="false">C31-C33</f>
        <v>44407.7698856311</v>
      </c>
      <c r="D35" s="177" t="n">
        <f aca="false">D31-D33</f>
        <v>49784.4816233817</v>
      </c>
      <c r="E35" s="177" t="n">
        <f aca="false">E31-E33</f>
        <v>55571.6042327752</v>
      </c>
      <c r="F35" s="177" t="n">
        <f aca="false">F31-F33</f>
        <v>62329.759599459</v>
      </c>
      <c r="G35" s="177" t="n">
        <f aca="false">G31-G33</f>
        <v>65045.402063494</v>
      </c>
      <c r="H35" s="177" t="n">
        <f aca="false">H31-H33</f>
        <v>67940.1402628245</v>
      </c>
      <c r="I35" s="177" t="n">
        <f aca="false">I31-I33</f>
        <v>70920.0845997141</v>
      </c>
      <c r="J35" s="177" t="n">
        <f aca="false">J31-J33</f>
        <v>74354.4942763579</v>
      </c>
      <c r="K35" s="177" t="n">
        <f aca="false">K31-K33</f>
        <v>77971.0830351532</v>
      </c>
      <c r="L35" s="177" t="n">
        <f aca="false">L31-L33</f>
        <v>82144.7012603353</v>
      </c>
      <c r="M35" s="177" t="n">
        <f aca="false">M31-M33</f>
        <v>87727.6661929649</v>
      </c>
      <c r="N35" s="177" t="n">
        <f aca="false">N31-N33</f>
        <v>93156.4982789493</v>
      </c>
      <c r="O35" s="177" t="n">
        <f aca="false">O31-O33</f>
        <v>98897.4261831669</v>
      </c>
      <c r="P35" s="177" t="n">
        <f aca="false">P31-P33</f>
        <v>104278.268477015</v>
      </c>
      <c r="Q35" s="177" t="n">
        <f aca="false">Q31-Q33</f>
        <v>110447.47494609</v>
      </c>
      <c r="R35" s="177" t="n">
        <f aca="false">R31-R33</f>
        <v>116268.173320077</v>
      </c>
      <c r="S35" s="177" t="n">
        <f aca="false">S31-S33</f>
        <v>121905.372968916</v>
      </c>
      <c r="T35" s="177" t="n">
        <f aca="false">T31-T33</f>
        <v>127074.340348024</v>
      </c>
      <c r="U35" s="177" t="n">
        <f aca="false">U31-U33</f>
        <v>132263.661625663</v>
      </c>
      <c r="W35" s="167" t="n">
        <f aca="false">SUM(B35:U35)</f>
        <v>1681901.59826999</v>
      </c>
      <c r="X35" s="170" t="n">
        <f aca="false">SUM(Wheatland!W33,Wilton!W33,Gleason!W33)</f>
        <v>1681901.59826999</v>
      </c>
      <c r="Y35" s="170" t="n">
        <f aca="false">W35-X35</f>
        <v>0</v>
      </c>
    </row>
    <row r="36" customFormat="false" ht="12.75" hidden="false" customHeight="false" outlineLevel="0" collapsed="false">
      <c r="A36" s="163"/>
      <c r="B36" s="177"/>
      <c r="C36" s="177"/>
      <c r="D36" s="177"/>
      <c r="E36" s="177"/>
      <c r="F36" s="177"/>
      <c r="G36" s="177"/>
      <c r="H36" s="177"/>
      <c r="I36" s="177"/>
      <c r="J36" s="177"/>
      <c r="K36" s="177"/>
      <c r="L36" s="177"/>
      <c r="M36" s="177"/>
      <c r="N36" s="177"/>
      <c r="O36" s="177"/>
      <c r="P36" s="177"/>
      <c r="Q36" s="177"/>
      <c r="R36" s="177"/>
      <c r="S36" s="177"/>
      <c r="T36" s="177"/>
      <c r="U36" s="177"/>
      <c r="W36" s="167"/>
      <c r="X36" s="168"/>
      <c r="Y36" s="168"/>
    </row>
    <row r="37" customFormat="false" ht="12.75" hidden="false" customHeight="false" outlineLevel="0" collapsed="false">
      <c r="A37" s="169" t="s">
        <v>120</v>
      </c>
      <c r="B37" s="166" t="n">
        <f aca="false">Wheatland!B35+Wilton!B35+Gleason!B35</f>
        <v>-2342.23432237759</v>
      </c>
      <c r="C37" s="166" t="n">
        <f aca="false">Wheatland!C35+Wilton!C35+Gleason!C35</f>
        <v>-2642.42083873814</v>
      </c>
      <c r="D37" s="166" t="n">
        <f aca="false">Wheatland!D35+Wilton!D35+Gleason!D35</f>
        <v>-2963.80827290304</v>
      </c>
      <c r="E37" s="166" t="n">
        <f aca="false">Wheatland!E35+Wilton!E35+Gleason!E35</f>
        <v>-3309.22723495768</v>
      </c>
      <c r="F37" s="166" t="n">
        <f aca="false">Wheatland!F35+Wilton!F35+Gleason!F35</f>
        <v>-3712.21614278262</v>
      </c>
      <c r="G37" s="166" t="n">
        <f aca="false">Wheatland!G35+Wilton!G35+Gleason!G35</f>
        <v>-3877.04286867589</v>
      </c>
      <c r="H37" s="166" t="n">
        <f aca="false">Wheatland!H35+Wilton!H35+Gleason!H35</f>
        <v>-4053.53395058501</v>
      </c>
      <c r="I37" s="166" t="n">
        <f aca="false">Wheatland!I35+Wilton!I35+Gleason!I35</f>
        <v>-4234.22325757567</v>
      </c>
      <c r="J37" s="166" t="n">
        <f aca="false">Wheatland!J35+Wilton!J35+Gleason!J35</f>
        <v>-4440.69389474466</v>
      </c>
      <c r="K37" s="166" t="n">
        <f aca="false">Wheatland!K35+Wilton!K35+Gleason!K35</f>
        <v>-4656.91750548185</v>
      </c>
      <c r="L37" s="166" t="n">
        <f aca="false">Wheatland!L35+Wilton!L35+Gleason!L35</f>
        <v>-4914.73048103854</v>
      </c>
      <c r="M37" s="166" t="n">
        <f aca="false">Wheatland!M35+Wilton!M35+Gleason!M35</f>
        <v>-5255.02764222404</v>
      </c>
      <c r="N37" s="166" t="n">
        <f aca="false">Wheatland!N35+Wilton!N35+Gleason!N35</f>
        <v>-5586.25402303084</v>
      </c>
      <c r="O37" s="166" t="n">
        <f aca="false">Wheatland!O35+Wilton!O35+Gleason!O35</f>
        <v>-5936.36252527146</v>
      </c>
      <c r="P37" s="166" t="n">
        <f aca="false">Wheatland!P35+Wilton!P35+Gleason!P35</f>
        <v>-6265.03866324715</v>
      </c>
      <c r="Q37" s="166" t="n">
        <f aca="false">Wheatland!Q35+Wilton!Q35+Gleason!Q35</f>
        <v>-6636.36309913138</v>
      </c>
      <c r="R37" s="166" t="n">
        <f aca="false">Wheatland!R35+Wilton!R35+Gleason!R35</f>
        <v>-6986.81750612257</v>
      </c>
      <c r="S37" s="166" t="n">
        <f aca="false">Wheatland!S35+Wilton!S35+Gleason!S35</f>
        <v>-7326.26036206401</v>
      </c>
      <c r="T37" s="166" t="n">
        <f aca="false">Wheatland!T35+Wilton!T35+Gleason!T35</f>
        <v>-7637.57936146999</v>
      </c>
      <c r="U37" s="166" t="n">
        <f aca="false">Wheatland!U35+Wilton!U35+Gleason!U35</f>
        <v>-7950.13940706525</v>
      </c>
      <c r="W37" s="167" t="n">
        <f aca="false">SUM(B37:U37)</f>
        <v>-100726.891359487</v>
      </c>
      <c r="X37" s="170" t="n">
        <f aca="false">SUM(Wheatland!W35,Wilton!W35,Gleason!W35)</f>
        <v>-100726.891359487</v>
      </c>
      <c r="Y37" s="170" t="n">
        <f aca="false">W37-X37</f>
        <v>0</v>
      </c>
    </row>
    <row r="38" customFormat="false" ht="12.75" hidden="false" customHeight="false" outlineLevel="0" collapsed="false">
      <c r="A38" s="169" t="s">
        <v>121</v>
      </c>
      <c r="B38" s="166" t="n">
        <f aca="false">Wheatland!B36+Wilton!B36+Gleason!B36</f>
        <v>-12974.8362686668</v>
      </c>
      <c r="C38" s="166" t="n">
        <f aca="false">Wheatland!C36+Wilton!C36+Gleason!C36</f>
        <v>-14617.8721664125</v>
      </c>
      <c r="D38" s="166" t="n">
        <f aca="false">Wheatland!D36+Wilton!D36+Gleason!D36</f>
        <v>-16387.2356726675</v>
      </c>
      <c r="E38" s="166" t="n">
        <f aca="false">Wheatland!E36+Wilton!E36+Gleason!E36</f>
        <v>-18291.8319492361</v>
      </c>
      <c r="F38" s="166" t="n">
        <f aca="false">Wheatland!F36+Wilton!F36+Gleason!F36</f>
        <v>-20516.1402098367</v>
      </c>
      <c r="G38" s="166" t="n">
        <f aca="false">Wheatland!G36+Wilton!G36+Gleason!G36</f>
        <v>-21408.9257181863</v>
      </c>
      <c r="H38" s="166" t="n">
        <f aca="false">Wheatland!H36+Wilton!H36+Gleason!H36</f>
        <v>-22360.3122092838</v>
      </c>
      <c r="I38" s="166" t="n">
        <f aca="false">Wheatland!I36+Wilton!I36+Gleason!I36</f>
        <v>-23340.0514697484</v>
      </c>
      <c r="J38" s="166" t="n">
        <f aca="false">Wheatland!J36+Wilton!J36+Gleason!J36</f>
        <v>-24469.8301335646</v>
      </c>
      <c r="K38" s="166" t="n">
        <f aca="false">Wheatland!K36+Wilton!K36+Gleason!K36</f>
        <v>-25659.957935385</v>
      </c>
      <c r="L38" s="166" t="n">
        <f aca="false">Wheatland!L36+Wilton!L36+Gleason!L36</f>
        <v>-27030.4897727539</v>
      </c>
      <c r="M38" s="166" t="n">
        <f aca="false">Wheatland!M36+Wilton!M36+Gleason!M36</f>
        <v>-28865.4234927593</v>
      </c>
      <c r="N38" s="166" t="n">
        <f aca="false">Wheatland!N36+Wilton!N36+Gleason!N36</f>
        <v>-30649.5854895715</v>
      </c>
      <c r="O38" s="166" t="n">
        <f aca="false">Wheatland!O36+Wilton!O36+Gleason!O36</f>
        <v>-32536.3722802634</v>
      </c>
      <c r="P38" s="166" t="n">
        <f aca="false">Wheatland!P36+Wilton!P36+Gleason!P36</f>
        <v>-34304.6304348186</v>
      </c>
      <c r="Q38" s="166" t="n">
        <f aca="false">Wheatland!Q36+Wilton!Q36+Gleason!Q36</f>
        <v>-36333.8891464355</v>
      </c>
      <c r="R38" s="166" t="n">
        <f aca="false">Wheatland!R36+Wilton!R36+Gleason!R36</f>
        <v>-38248.474534884</v>
      </c>
      <c r="S38" s="166" t="n">
        <f aca="false">Wheatland!S36+Wilton!S36+Gleason!S36</f>
        <v>-40102.6894123983</v>
      </c>
      <c r="T38" s="166" t="n">
        <f aca="false">Wheatland!T36+Wilton!T36+Gleason!T36</f>
        <v>-41802.866345294</v>
      </c>
      <c r="U38" s="166" t="n">
        <f aca="false">Wheatland!U36+Wilton!U36+Gleason!U36</f>
        <v>-43509.7327765091</v>
      </c>
      <c r="W38" s="167" t="n">
        <f aca="false">SUM(B38:U38)</f>
        <v>-553411.147418676</v>
      </c>
      <c r="X38" s="170" t="n">
        <f aca="false">SUM(Wheatland!W36,Wilton!W36,Gleason!W36)</f>
        <v>-553411.147418676</v>
      </c>
      <c r="Y38" s="170" t="n">
        <f aca="false">W38-X38</f>
        <v>0</v>
      </c>
    </row>
    <row r="39" customFormat="false" ht="12.75" hidden="false" customHeight="false" outlineLevel="0" collapsed="false">
      <c r="A39" s="4"/>
      <c r="B39" s="166"/>
      <c r="C39" s="166"/>
      <c r="D39" s="166"/>
      <c r="E39" s="166"/>
      <c r="F39" s="166"/>
      <c r="G39" s="166"/>
      <c r="H39" s="166"/>
      <c r="I39" s="166"/>
      <c r="J39" s="166"/>
      <c r="K39" s="166"/>
      <c r="L39" s="166"/>
      <c r="M39" s="166"/>
      <c r="N39" s="166"/>
      <c r="O39" s="166"/>
      <c r="P39" s="166"/>
      <c r="Q39" s="166"/>
      <c r="R39" s="166"/>
      <c r="S39" s="166"/>
      <c r="T39" s="166"/>
      <c r="U39" s="166"/>
      <c r="W39" s="167"/>
      <c r="X39" s="168"/>
      <c r="Y39" s="168"/>
    </row>
    <row r="40" customFormat="false" ht="15.75" hidden="false" customHeight="false" outlineLevel="0" collapsed="false">
      <c r="A40" s="178" t="s">
        <v>122</v>
      </c>
      <c r="B40" s="179" t="n">
        <f aca="false">B35+B37+B38</f>
        <v>24096.1244989526</v>
      </c>
      <c r="C40" s="179" t="n">
        <f aca="false">C35+C37+C38</f>
        <v>27147.4768804805</v>
      </c>
      <c r="D40" s="179" t="n">
        <f aca="false">D35+D37+D38</f>
        <v>30433.4376778111</v>
      </c>
      <c r="E40" s="179" t="n">
        <f aca="false">E35+E37+E38</f>
        <v>33970.5450485814</v>
      </c>
      <c r="F40" s="179" t="n">
        <f aca="false">F35+F37+F38</f>
        <v>38101.4032468397</v>
      </c>
      <c r="G40" s="179" t="n">
        <f aca="false">G35+G37+G38</f>
        <v>39759.4334766318</v>
      </c>
      <c r="H40" s="179" t="n">
        <f aca="false">H35+H37+H38</f>
        <v>41526.2941029557</v>
      </c>
      <c r="I40" s="179" t="n">
        <f aca="false">I35+I37+I38</f>
        <v>43345.80987239</v>
      </c>
      <c r="J40" s="179" t="n">
        <f aca="false">J35+J37+J38</f>
        <v>45443.9702480486</v>
      </c>
      <c r="K40" s="179" t="n">
        <f aca="false">K35+K37+K38</f>
        <v>47654.2075942864</v>
      </c>
      <c r="L40" s="179" t="n">
        <f aca="false">L35+L37+L38</f>
        <v>50199.4810065429</v>
      </c>
      <c r="M40" s="179" t="n">
        <f aca="false">M35+M37+M38</f>
        <v>53607.2150579816</v>
      </c>
      <c r="N40" s="179" t="n">
        <f aca="false">N35+N37+N38</f>
        <v>56920.658766347</v>
      </c>
      <c r="O40" s="179" t="n">
        <f aca="false">O35+O37+O38</f>
        <v>60424.691377632</v>
      </c>
      <c r="P40" s="179" t="n">
        <f aca="false">P35+P37+P38</f>
        <v>63708.5993789489</v>
      </c>
      <c r="Q40" s="179" t="n">
        <f aca="false">Q35+Q37+Q38</f>
        <v>67477.2227005231</v>
      </c>
      <c r="R40" s="179" t="n">
        <f aca="false">R35+R37+R38</f>
        <v>71032.8812790704</v>
      </c>
      <c r="S40" s="179" t="n">
        <f aca="false">S35+S37+S38</f>
        <v>74476.423194454</v>
      </c>
      <c r="T40" s="179" t="n">
        <f aca="false">T35+T37+T38</f>
        <v>77633.8946412603</v>
      </c>
      <c r="U40" s="179" t="n">
        <f aca="false">U35+U37+U38</f>
        <v>80803.7894420883</v>
      </c>
      <c r="W40" s="167" t="n">
        <f aca="false">SUM(B40:U40)</f>
        <v>1027763.55949183</v>
      </c>
      <c r="X40" s="170" t="n">
        <f aca="false">SUM(Wheatland!W38,Wilton!W38,Gleason!W38)</f>
        <v>1027763.55949183</v>
      </c>
      <c r="Y40" s="170" t="n">
        <f aca="false">W40-X40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&amp;L&amp;12Enron's Generation&amp;RCONFIDENTIAL</oddHeader>
    <oddFooter>&amp;L&amp;D&amp;C&amp;F&amp;RPage &amp;P</oddFooter>
  </headerFooter>
  <colBreaks count="1" manualBreakCount="1">
    <brk id="11" man="true" max="65535" min="0"/>
  </col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12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1" ySplit="5" topLeftCell="B6" activePane="bottomRight" state="frozen"/>
      <selection pane="topLeft" activeCell="A1" activeCellId="0" sqref="A1"/>
      <selection pane="topRight" activeCell="B1" activeCellId="0" sqref="B1"/>
      <selection pane="bottomLeft" activeCell="A6" activeCellId="0" sqref="A6"/>
      <selection pane="bottomRight" activeCell="B6" activeCellId="0" sqref="B6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31.99"/>
    <col collapsed="false" customWidth="true" hidden="false" outlineLevel="0" max="21" min="2" style="1" width="10.71"/>
    <col collapsed="false" customWidth="true" hidden="false" outlineLevel="0" max="24" min="22" style="1" width="14.56"/>
    <col collapsed="false" customWidth="false" hidden="false" outlineLevel="0" max="257" min="25" style="1" width="9.14"/>
  </cols>
  <sheetData>
    <row r="1" customFormat="false" ht="12.75" hidden="false" customHeight="false" outlineLevel="0" collapsed="false">
      <c r="A1" s="180"/>
      <c r="C1" s="43"/>
      <c r="D1" s="181"/>
      <c r="E1" s="181"/>
      <c r="F1" s="47"/>
      <c r="G1" s="4"/>
      <c r="H1" s="4"/>
      <c r="I1" s="159"/>
      <c r="J1" s="159"/>
      <c r="K1" s="159"/>
      <c r="L1" s="47"/>
      <c r="M1" s="4"/>
      <c r="N1" s="4"/>
      <c r="O1" s="159"/>
      <c r="P1" s="159"/>
      <c r="Q1" s="159"/>
      <c r="R1" s="47"/>
      <c r="S1" s="4"/>
      <c r="T1" s="4"/>
      <c r="U1" s="4"/>
    </row>
    <row r="2" customFormat="false" ht="18" hidden="false" customHeight="false" outlineLevel="0" collapsed="false">
      <c r="A2" s="149" t="s">
        <v>123</v>
      </c>
      <c r="B2" s="182"/>
      <c r="C2" s="43"/>
      <c r="D2" s="181"/>
      <c r="E2" s="181"/>
      <c r="F2" s="47"/>
      <c r="I2" s="43"/>
      <c r="J2" s="43"/>
      <c r="K2" s="43"/>
      <c r="L2" s="47"/>
      <c r="O2" s="43"/>
      <c r="P2" s="43"/>
      <c r="Q2" s="43"/>
      <c r="R2" s="47"/>
    </row>
    <row r="3" customFormat="false" ht="12.75" hidden="false" customHeight="false" outlineLevel="0" collapsed="false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83"/>
      <c r="Q3" s="183"/>
      <c r="R3" s="183"/>
      <c r="S3" s="183"/>
      <c r="T3" s="183"/>
      <c r="U3" s="183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  <c r="BO3" s="12"/>
      <c r="BP3" s="12"/>
      <c r="BQ3" s="12"/>
      <c r="BR3" s="12"/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12"/>
      <c r="CJ3" s="12"/>
      <c r="CK3" s="12"/>
      <c r="CL3" s="12"/>
      <c r="CM3" s="12"/>
      <c r="CN3" s="12"/>
      <c r="CO3" s="12"/>
      <c r="CP3" s="12"/>
      <c r="CQ3" s="12"/>
      <c r="CR3" s="12"/>
      <c r="CS3" s="12"/>
      <c r="CT3" s="12"/>
      <c r="CU3" s="12"/>
      <c r="CV3" s="12"/>
      <c r="CW3" s="12"/>
      <c r="CX3" s="12"/>
      <c r="CY3" s="12"/>
      <c r="CZ3" s="12"/>
      <c r="DA3" s="12"/>
      <c r="DB3" s="12"/>
      <c r="DC3" s="12"/>
      <c r="DD3" s="12"/>
      <c r="DE3" s="12"/>
      <c r="DF3" s="12"/>
      <c r="DG3" s="12"/>
      <c r="DH3" s="12"/>
      <c r="DI3" s="12"/>
      <c r="DJ3" s="12"/>
      <c r="DK3" s="12"/>
      <c r="DL3" s="12"/>
      <c r="DM3" s="12"/>
      <c r="DN3" s="12"/>
      <c r="DO3" s="12"/>
      <c r="DP3" s="12"/>
      <c r="DQ3" s="12"/>
      <c r="DR3" s="12"/>
      <c r="DS3" s="12"/>
      <c r="DT3" s="12"/>
      <c r="DU3" s="12"/>
      <c r="DV3" s="12"/>
      <c r="DW3" s="12"/>
      <c r="DX3" s="12"/>
      <c r="DY3" s="12"/>
      <c r="DZ3" s="12"/>
      <c r="EA3" s="12"/>
      <c r="EB3" s="12"/>
      <c r="EC3" s="12"/>
      <c r="ED3" s="12"/>
      <c r="EE3" s="12"/>
      <c r="EF3" s="12"/>
      <c r="EG3" s="12"/>
      <c r="EH3" s="12"/>
      <c r="EI3" s="12"/>
      <c r="EJ3" s="12"/>
      <c r="EK3" s="12"/>
      <c r="EL3" s="12"/>
      <c r="EM3" s="12"/>
      <c r="EN3" s="12"/>
      <c r="EO3" s="12"/>
      <c r="EP3" s="12"/>
      <c r="EQ3" s="12"/>
      <c r="ER3" s="12"/>
      <c r="ES3" s="12"/>
      <c r="ET3" s="12"/>
      <c r="EU3" s="12"/>
      <c r="EV3" s="12"/>
      <c r="EW3" s="12"/>
      <c r="EX3" s="12"/>
      <c r="EY3" s="12"/>
      <c r="EZ3" s="12"/>
      <c r="FA3" s="12"/>
      <c r="FB3" s="12"/>
      <c r="FC3" s="12"/>
      <c r="FD3" s="12"/>
      <c r="FE3" s="12"/>
      <c r="FF3" s="12"/>
      <c r="FG3" s="12"/>
      <c r="FH3" s="12"/>
      <c r="FI3" s="12"/>
      <c r="FJ3" s="12"/>
      <c r="FK3" s="12"/>
      <c r="FL3" s="12"/>
      <c r="FM3" s="12"/>
      <c r="FN3" s="12"/>
      <c r="FO3" s="12"/>
      <c r="FP3" s="12"/>
      <c r="FQ3" s="12"/>
      <c r="FR3" s="12"/>
      <c r="FS3" s="12"/>
      <c r="FT3" s="12"/>
      <c r="FU3" s="12"/>
      <c r="FV3" s="12"/>
      <c r="FW3" s="12"/>
      <c r="FX3" s="12"/>
      <c r="FY3" s="12"/>
      <c r="FZ3" s="12"/>
      <c r="GA3" s="12"/>
      <c r="GB3" s="12"/>
      <c r="GC3" s="12"/>
      <c r="GD3" s="12"/>
      <c r="GE3" s="12"/>
      <c r="GF3" s="12"/>
      <c r="GG3" s="12"/>
      <c r="GH3" s="12"/>
      <c r="GI3" s="12"/>
      <c r="GJ3" s="12"/>
      <c r="GK3" s="12"/>
      <c r="GL3" s="12"/>
      <c r="GM3" s="12"/>
      <c r="GN3" s="12"/>
      <c r="GO3" s="12"/>
      <c r="GP3" s="12"/>
      <c r="GQ3" s="12"/>
      <c r="GR3" s="12"/>
      <c r="GS3" s="12"/>
      <c r="GT3" s="12"/>
      <c r="GU3" s="12"/>
      <c r="GV3" s="12"/>
      <c r="GW3" s="12"/>
      <c r="GX3" s="12"/>
      <c r="GY3" s="12"/>
      <c r="GZ3" s="12"/>
      <c r="HA3" s="12"/>
      <c r="HB3" s="12"/>
      <c r="HC3" s="12"/>
      <c r="HD3" s="12"/>
      <c r="HE3" s="12"/>
      <c r="HF3" s="12"/>
      <c r="HG3" s="12"/>
      <c r="HH3" s="12"/>
      <c r="HI3" s="12"/>
      <c r="HJ3" s="12"/>
      <c r="HK3" s="12"/>
      <c r="HL3" s="12"/>
      <c r="HM3" s="12"/>
      <c r="HN3" s="12"/>
      <c r="HO3" s="12"/>
      <c r="HP3" s="12"/>
      <c r="HQ3" s="12"/>
      <c r="HR3" s="12"/>
      <c r="HS3" s="12"/>
      <c r="HT3" s="12"/>
      <c r="HU3" s="12"/>
      <c r="HV3" s="12"/>
      <c r="HW3" s="12"/>
      <c r="HX3" s="12"/>
      <c r="HY3" s="12"/>
      <c r="HZ3" s="12"/>
      <c r="IA3" s="12"/>
      <c r="IB3" s="12"/>
      <c r="IC3" s="12"/>
      <c r="ID3" s="12"/>
      <c r="IE3" s="12"/>
      <c r="IF3" s="12"/>
      <c r="IG3" s="12"/>
      <c r="IH3" s="12"/>
      <c r="II3" s="12"/>
      <c r="IJ3" s="12"/>
      <c r="IK3" s="12"/>
      <c r="IL3" s="12"/>
      <c r="IM3" s="12"/>
      <c r="IN3" s="12"/>
      <c r="IO3" s="12"/>
      <c r="IP3" s="12"/>
      <c r="IQ3" s="12"/>
      <c r="IR3" s="12"/>
      <c r="IS3" s="12"/>
      <c r="IT3" s="12"/>
      <c r="IU3" s="12"/>
      <c r="IV3" s="12"/>
      <c r="IW3" s="12"/>
    </row>
    <row r="4" customFormat="false" ht="12.75" hidden="false" customHeight="false" outlineLevel="0" collapsed="false">
      <c r="A4" s="184"/>
      <c r="B4" s="185"/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185"/>
      <c r="N4" s="185"/>
      <c r="O4" s="185"/>
      <c r="P4" s="185"/>
      <c r="Q4" s="185"/>
      <c r="R4" s="185"/>
      <c r="S4" s="185"/>
      <c r="T4" s="185"/>
      <c r="U4" s="185"/>
      <c r="V4" s="186"/>
      <c r="W4" s="186"/>
      <c r="X4" s="186"/>
      <c r="Y4" s="186"/>
      <c r="Z4" s="186"/>
      <c r="AA4" s="186"/>
      <c r="AB4" s="186"/>
      <c r="AC4" s="186"/>
      <c r="AD4" s="186"/>
      <c r="AE4" s="186"/>
      <c r="AF4" s="186"/>
      <c r="AG4" s="186"/>
      <c r="AH4" s="186"/>
      <c r="AI4" s="186"/>
      <c r="AJ4" s="186"/>
      <c r="AK4" s="186"/>
      <c r="AL4" s="186"/>
      <c r="AM4" s="186"/>
      <c r="AN4" s="186"/>
      <c r="AO4" s="186"/>
      <c r="AP4" s="186"/>
      <c r="AQ4" s="186"/>
      <c r="AR4" s="186"/>
      <c r="AS4" s="186"/>
      <c r="AT4" s="186"/>
      <c r="AU4" s="186"/>
      <c r="AV4" s="186"/>
      <c r="AW4" s="186"/>
      <c r="AX4" s="186"/>
      <c r="AY4" s="186"/>
      <c r="AZ4" s="186"/>
      <c r="BA4" s="186"/>
      <c r="BB4" s="186"/>
      <c r="BC4" s="186"/>
      <c r="BD4" s="186"/>
      <c r="BE4" s="186"/>
      <c r="BF4" s="186"/>
      <c r="BG4" s="186"/>
      <c r="BH4" s="186"/>
      <c r="BI4" s="186"/>
      <c r="BJ4" s="186"/>
      <c r="BK4" s="186"/>
      <c r="BL4" s="186"/>
      <c r="BM4" s="186"/>
      <c r="BN4" s="186"/>
      <c r="BO4" s="186"/>
      <c r="BP4" s="186"/>
      <c r="BQ4" s="186"/>
      <c r="BR4" s="186"/>
      <c r="BS4" s="186"/>
      <c r="BT4" s="186"/>
      <c r="BU4" s="186"/>
      <c r="BV4" s="186"/>
      <c r="BW4" s="186"/>
      <c r="BX4" s="186"/>
      <c r="BY4" s="186"/>
      <c r="BZ4" s="186"/>
      <c r="CA4" s="186"/>
      <c r="CB4" s="186"/>
      <c r="CC4" s="186"/>
      <c r="CD4" s="186"/>
      <c r="CE4" s="186"/>
      <c r="CF4" s="186"/>
      <c r="CG4" s="186"/>
      <c r="CH4" s="186"/>
      <c r="CI4" s="186"/>
      <c r="CJ4" s="186"/>
      <c r="CK4" s="186"/>
      <c r="CL4" s="186"/>
      <c r="CM4" s="186"/>
      <c r="CN4" s="186"/>
      <c r="CO4" s="186"/>
      <c r="CP4" s="186"/>
      <c r="CQ4" s="186"/>
      <c r="CR4" s="186"/>
      <c r="CS4" s="186"/>
      <c r="CT4" s="186"/>
      <c r="CU4" s="186"/>
      <c r="CV4" s="186"/>
      <c r="CW4" s="186"/>
      <c r="CX4" s="186"/>
      <c r="CY4" s="186"/>
      <c r="CZ4" s="186"/>
      <c r="DA4" s="186"/>
      <c r="DB4" s="186"/>
      <c r="DC4" s="186"/>
      <c r="DD4" s="186"/>
      <c r="DE4" s="186"/>
      <c r="DF4" s="186"/>
      <c r="DG4" s="186"/>
      <c r="DH4" s="186"/>
      <c r="DI4" s="186"/>
      <c r="DJ4" s="186"/>
      <c r="DK4" s="186"/>
      <c r="DL4" s="186"/>
      <c r="DM4" s="186"/>
      <c r="DN4" s="186"/>
      <c r="DO4" s="186"/>
      <c r="DP4" s="186"/>
      <c r="DQ4" s="186"/>
      <c r="DR4" s="186"/>
      <c r="DS4" s="186"/>
      <c r="DT4" s="186"/>
      <c r="DU4" s="186"/>
      <c r="DV4" s="186"/>
      <c r="DW4" s="186"/>
      <c r="DX4" s="186"/>
      <c r="DY4" s="186"/>
      <c r="DZ4" s="186"/>
      <c r="EA4" s="186"/>
      <c r="EB4" s="186"/>
      <c r="EC4" s="186"/>
      <c r="ED4" s="186"/>
      <c r="EE4" s="186"/>
      <c r="EF4" s="186"/>
      <c r="EG4" s="186"/>
      <c r="EH4" s="186"/>
      <c r="EI4" s="186"/>
      <c r="EJ4" s="186"/>
      <c r="EK4" s="186"/>
      <c r="EL4" s="186"/>
      <c r="EM4" s="186"/>
      <c r="EN4" s="186"/>
      <c r="EO4" s="186"/>
      <c r="EP4" s="186"/>
      <c r="EQ4" s="186"/>
      <c r="ER4" s="186"/>
      <c r="ES4" s="186"/>
      <c r="ET4" s="186"/>
      <c r="EU4" s="186"/>
      <c r="EV4" s="186"/>
      <c r="EW4" s="186"/>
      <c r="EX4" s="186"/>
      <c r="EY4" s="186"/>
      <c r="EZ4" s="186"/>
      <c r="FA4" s="186"/>
      <c r="FB4" s="186"/>
      <c r="FC4" s="186"/>
      <c r="FD4" s="186"/>
      <c r="FE4" s="186"/>
      <c r="FF4" s="186"/>
      <c r="FG4" s="186"/>
      <c r="FH4" s="186"/>
      <c r="FI4" s="186"/>
      <c r="FJ4" s="186"/>
      <c r="FK4" s="186"/>
      <c r="FL4" s="186"/>
      <c r="FM4" s="186"/>
      <c r="FN4" s="186"/>
      <c r="FO4" s="186"/>
      <c r="FP4" s="186"/>
      <c r="FQ4" s="186"/>
      <c r="FR4" s="186"/>
      <c r="FS4" s="186"/>
      <c r="FT4" s="186"/>
      <c r="FU4" s="186"/>
      <c r="FV4" s="186"/>
      <c r="FW4" s="186"/>
      <c r="FX4" s="186"/>
      <c r="FY4" s="186"/>
      <c r="FZ4" s="186"/>
      <c r="GA4" s="186"/>
      <c r="GB4" s="186"/>
      <c r="GC4" s="186"/>
      <c r="GD4" s="186"/>
      <c r="GE4" s="186"/>
      <c r="GF4" s="186"/>
      <c r="GG4" s="186"/>
      <c r="GH4" s="186"/>
      <c r="GI4" s="186"/>
      <c r="GJ4" s="186"/>
      <c r="GK4" s="186"/>
      <c r="GL4" s="186"/>
      <c r="GM4" s="186"/>
      <c r="GN4" s="186"/>
      <c r="GO4" s="186"/>
      <c r="GP4" s="186"/>
      <c r="GQ4" s="186"/>
      <c r="GR4" s="186"/>
      <c r="GS4" s="186"/>
      <c r="GT4" s="186"/>
      <c r="GU4" s="186"/>
      <c r="GV4" s="186"/>
      <c r="GW4" s="186"/>
      <c r="GX4" s="186"/>
      <c r="GY4" s="186"/>
      <c r="GZ4" s="186"/>
      <c r="HA4" s="186"/>
      <c r="HB4" s="186"/>
      <c r="HC4" s="186"/>
      <c r="HD4" s="186"/>
      <c r="HE4" s="186"/>
      <c r="HF4" s="186"/>
      <c r="HG4" s="186"/>
      <c r="HH4" s="186"/>
      <c r="HI4" s="186"/>
      <c r="HJ4" s="186"/>
      <c r="HK4" s="186"/>
      <c r="HL4" s="186"/>
      <c r="HM4" s="186"/>
      <c r="HN4" s="186"/>
      <c r="HO4" s="186"/>
      <c r="HP4" s="186"/>
      <c r="HQ4" s="186"/>
      <c r="HR4" s="186"/>
      <c r="HS4" s="186"/>
      <c r="HT4" s="186"/>
      <c r="HU4" s="186"/>
      <c r="HV4" s="186"/>
      <c r="HW4" s="186"/>
      <c r="HX4" s="186"/>
      <c r="HY4" s="186"/>
      <c r="HZ4" s="186"/>
      <c r="IA4" s="186"/>
      <c r="IB4" s="186"/>
      <c r="IC4" s="186"/>
      <c r="ID4" s="186"/>
      <c r="IE4" s="186"/>
      <c r="IF4" s="186"/>
      <c r="IG4" s="186"/>
      <c r="IH4" s="186"/>
      <c r="II4" s="186"/>
      <c r="IJ4" s="186"/>
      <c r="IK4" s="186"/>
      <c r="IL4" s="186"/>
      <c r="IM4" s="186"/>
      <c r="IN4" s="186"/>
      <c r="IO4" s="186"/>
      <c r="IP4" s="186"/>
      <c r="IQ4" s="186"/>
      <c r="IR4" s="186"/>
      <c r="IS4" s="186"/>
      <c r="IT4" s="186"/>
      <c r="IU4" s="186"/>
      <c r="IV4" s="186"/>
      <c r="IW4" s="186"/>
    </row>
    <row r="5" customFormat="false" ht="13.5" hidden="false" customHeight="false" outlineLevel="0" collapsed="false">
      <c r="A5" s="154" t="s">
        <v>103</v>
      </c>
      <c r="B5" s="187" t="n">
        <v>2001</v>
      </c>
      <c r="C5" s="187" t="n">
        <f aca="false">B5+1</f>
        <v>2002</v>
      </c>
      <c r="D5" s="187" t="n">
        <f aca="false">C5+1</f>
        <v>2003</v>
      </c>
      <c r="E5" s="187" t="n">
        <f aca="false">D5+1</f>
        <v>2004</v>
      </c>
      <c r="F5" s="187" t="n">
        <f aca="false">E5+1</f>
        <v>2005</v>
      </c>
      <c r="G5" s="187" t="n">
        <f aca="false">F5+1</f>
        <v>2006</v>
      </c>
      <c r="H5" s="187" t="n">
        <f aca="false">G5+1</f>
        <v>2007</v>
      </c>
      <c r="I5" s="187" t="n">
        <f aca="false">H5+1</f>
        <v>2008</v>
      </c>
      <c r="J5" s="187" t="n">
        <f aca="false">I5+1</f>
        <v>2009</v>
      </c>
      <c r="K5" s="187" t="n">
        <f aca="false">J5+1</f>
        <v>2010</v>
      </c>
      <c r="L5" s="187" t="n">
        <f aca="false">K5+1</f>
        <v>2011</v>
      </c>
      <c r="M5" s="187" t="n">
        <f aca="false">L5+1</f>
        <v>2012</v>
      </c>
      <c r="N5" s="187" t="n">
        <f aca="false">M5+1</f>
        <v>2013</v>
      </c>
      <c r="O5" s="187" t="n">
        <f aca="false">N5+1</f>
        <v>2014</v>
      </c>
      <c r="P5" s="187" t="n">
        <f aca="false">O5+1</f>
        <v>2015</v>
      </c>
      <c r="Q5" s="187" t="n">
        <f aca="false">P5+1</f>
        <v>2016</v>
      </c>
      <c r="R5" s="187" t="n">
        <f aca="false">Q5+1</f>
        <v>2017</v>
      </c>
      <c r="S5" s="187" t="n">
        <f aca="false">R5+1</f>
        <v>2018</v>
      </c>
      <c r="T5" s="187" t="n">
        <f aca="false">S5+1</f>
        <v>2019</v>
      </c>
      <c r="U5" s="187" t="n">
        <f aca="false">T5+1</f>
        <v>2020</v>
      </c>
    </row>
    <row r="6" customFormat="false" ht="12.75" hidden="false" customHeight="false" outlineLevel="0" collapsed="false">
      <c r="A6" s="188"/>
      <c r="B6" s="189" t="n">
        <v>37256</v>
      </c>
      <c r="C6" s="189" t="n">
        <v>37621</v>
      </c>
      <c r="D6" s="189" t="n">
        <v>37986</v>
      </c>
      <c r="E6" s="189" t="n">
        <v>38352</v>
      </c>
      <c r="F6" s="189" t="n">
        <v>38717</v>
      </c>
      <c r="G6" s="189" t="n">
        <v>39082</v>
      </c>
      <c r="H6" s="189" t="n">
        <v>39447</v>
      </c>
      <c r="I6" s="189" t="n">
        <v>39813</v>
      </c>
      <c r="J6" s="189" t="n">
        <v>40178</v>
      </c>
      <c r="K6" s="189" t="n">
        <v>40543</v>
      </c>
      <c r="L6" s="189" t="n">
        <v>40908</v>
      </c>
      <c r="M6" s="189" t="n">
        <v>41274</v>
      </c>
      <c r="N6" s="189" t="n">
        <v>41639</v>
      </c>
      <c r="O6" s="189" t="n">
        <v>42004</v>
      </c>
      <c r="P6" s="189" t="n">
        <v>42369</v>
      </c>
      <c r="Q6" s="189" t="n">
        <v>42735</v>
      </c>
      <c r="R6" s="189" t="n">
        <v>43100</v>
      </c>
      <c r="S6" s="189" t="n">
        <v>43465</v>
      </c>
      <c r="T6" s="189" t="n">
        <v>43830</v>
      </c>
      <c r="U6" s="189" t="n">
        <v>44196</v>
      </c>
      <c r="V6" s="190"/>
      <c r="W6" s="190"/>
      <c r="X6" s="190"/>
      <c r="Y6" s="190"/>
      <c r="Z6" s="190"/>
      <c r="AA6" s="190"/>
      <c r="AB6" s="190"/>
      <c r="AC6" s="190"/>
      <c r="AD6" s="190"/>
      <c r="AE6" s="190"/>
      <c r="AF6" s="190"/>
      <c r="AG6" s="190"/>
      <c r="AH6" s="190"/>
      <c r="AI6" s="190"/>
      <c r="AJ6" s="190"/>
      <c r="AK6" s="190"/>
      <c r="AL6" s="190"/>
      <c r="AM6" s="190"/>
      <c r="AN6" s="190"/>
      <c r="AO6" s="190"/>
      <c r="AP6" s="190"/>
      <c r="AQ6" s="190"/>
      <c r="AR6" s="190"/>
      <c r="AS6" s="190"/>
      <c r="AT6" s="190"/>
      <c r="AU6" s="190"/>
      <c r="AV6" s="190"/>
      <c r="AW6" s="190"/>
      <c r="AX6" s="190"/>
      <c r="AY6" s="190"/>
      <c r="AZ6" s="190"/>
      <c r="BA6" s="190"/>
      <c r="BB6" s="190"/>
      <c r="BC6" s="190"/>
      <c r="BD6" s="190"/>
      <c r="BE6" s="190"/>
      <c r="BF6" s="190"/>
      <c r="BG6" s="190"/>
      <c r="BH6" s="190"/>
      <c r="BI6" s="190"/>
      <c r="BJ6" s="190"/>
      <c r="BK6" s="190"/>
      <c r="BL6" s="190"/>
      <c r="BM6" s="190"/>
      <c r="BN6" s="190"/>
      <c r="BO6" s="190"/>
      <c r="BP6" s="190"/>
      <c r="BQ6" s="190"/>
      <c r="BR6" s="190"/>
      <c r="BS6" s="190"/>
      <c r="BT6" s="190"/>
      <c r="BU6" s="190"/>
      <c r="BV6" s="190"/>
      <c r="BW6" s="190"/>
      <c r="BX6" s="190"/>
      <c r="BY6" s="190"/>
      <c r="BZ6" s="190"/>
      <c r="CA6" s="190"/>
      <c r="CB6" s="190"/>
      <c r="CC6" s="190"/>
      <c r="CD6" s="190"/>
      <c r="CE6" s="190"/>
      <c r="CF6" s="190"/>
      <c r="CG6" s="190"/>
      <c r="CH6" s="190"/>
      <c r="CI6" s="190"/>
      <c r="CJ6" s="190"/>
      <c r="CK6" s="190"/>
      <c r="CL6" s="190"/>
      <c r="CM6" s="190"/>
      <c r="CN6" s="190"/>
      <c r="CO6" s="190"/>
      <c r="CP6" s="190"/>
      <c r="CQ6" s="190"/>
      <c r="CR6" s="190"/>
      <c r="CS6" s="190"/>
      <c r="CT6" s="190"/>
      <c r="CU6" s="190"/>
      <c r="CV6" s="190"/>
      <c r="CW6" s="190"/>
      <c r="CX6" s="190"/>
      <c r="CY6" s="190"/>
      <c r="CZ6" s="190"/>
      <c r="DA6" s="190"/>
      <c r="DB6" s="190"/>
      <c r="DC6" s="190"/>
      <c r="DD6" s="190"/>
      <c r="DE6" s="190"/>
      <c r="DF6" s="190"/>
      <c r="DG6" s="190"/>
      <c r="DH6" s="190"/>
      <c r="DI6" s="190"/>
      <c r="DJ6" s="190"/>
      <c r="DK6" s="190"/>
      <c r="DL6" s="190"/>
      <c r="DM6" s="190"/>
      <c r="DN6" s="190"/>
      <c r="DO6" s="190"/>
      <c r="DP6" s="190"/>
      <c r="DQ6" s="190"/>
      <c r="DR6" s="190"/>
      <c r="DS6" s="190"/>
      <c r="DT6" s="190"/>
      <c r="DU6" s="190"/>
      <c r="DV6" s="190"/>
      <c r="DW6" s="190"/>
      <c r="DX6" s="190"/>
      <c r="DY6" s="190"/>
      <c r="DZ6" s="190"/>
      <c r="EA6" s="190"/>
      <c r="EB6" s="190"/>
      <c r="EC6" s="190"/>
      <c r="ED6" s="190"/>
      <c r="EE6" s="190"/>
      <c r="EF6" s="190"/>
      <c r="EG6" s="190"/>
      <c r="EH6" s="190"/>
      <c r="EI6" s="190"/>
      <c r="EJ6" s="190"/>
      <c r="EK6" s="190"/>
      <c r="EL6" s="190"/>
      <c r="EM6" s="190"/>
      <c r="EN6" s="190"/>
      <c r="EO6" s="190"/>
      <c r="EP6" s="190"/>
      <c r="EQ6" s="190"/>
      <c r="ER6" s="190"/>
      <c r="ES6" s="190"/>
      <c r="ET6" s="190"/>
      <c r="EU6" s="190"/>
      <c r="EV6" s="190"/>
      <c r="EW6" s="190"/>
      <c r="EX6" s="190"/>
      <c r="EY6" s="190"/>
      <c r="EZ6" s="190"/>
      <c r="FA6" s="190"/>
      <c r="FB6" s="190"/>
      <c r="FC6" s="190"/>
      <c r="FD6" s="190"/>
      <c r="FE6" s="190"/>
      <c r="FF6" s="190"/>
      <c r="FG6" s="190"/>
      <c r="FH6" s="190"/>
      <c r="FI6" s="190"/>
      <c r="FJ6" s="190"/>
      <c r="FK6" s="190"/>
      <c r="FL6" s="190"/>
      <c r="FM6" s="190"/>
      <c r="FN6" s="190"/>
      <c r="FO6" s="190"/>
      <c r="FP6" s="190"/>
      <c r="FQ6" s="190"/>
      <c r="FR6" s="190"/>
      <c r="FS6" s="190"/>
      <c r="FT6" s="190"/>
      <c r="FU6" s="190"/>
      <c r="FV6" s="190"/>
      <c r="FW6" s="190"/>
      <c r="FX6" s="190"/>
      <c r="FY6" s="190"/>
      <c r="FZ6" s="190"/>
      <c r="GA6" s="190"/>
      <c r="GB6" s="190"/>
      <c r="GC6" s="190"/>
      <c r="GD6" s="190"/>
      <c r="GE6" s="190"/>
      <c r="GF6" s="190"/>
      <c r="GG6" s="190"/>
      <c r="GH6" s="190"/>
      <c r="GI6" s="190"/>
      <c r="GJ6" s="190"/>
      <c r="GK6" s="190"/>
      <c r="GL6" s="190"/>
      <c r="GM6" s="190"/>
      <c r="GN6" s="190"/>
      <c r="GO6" s="190"/>
      <c r="GP6" s="190"/>
      <c r="GQ6" s="190"/>
      <c r="GR6" s="190"/>
      <c r="GS6" s="190"/>
      <c r="GT6" s="190"/>
      <c r="GU6" s="190"/>
      <c r="GV6" s="190"/>
      <c r="GW6" s="190"/>
      <c r="GX6" s="190"/>
      <c r="GY6" s="190"/>
      <c r="GZ6" s="190"/>
      <c r="HA6" s="190"/>
      <c r="HB6" s="190"/>
      <c r="HC6" s="190"/>
      <c r="HD6" s="190"/>
      <c r="HE6" s="190"/>
      <c r="HF6" s="190"/>
      <c r="HG6" s="190"/>
      <c r="HH6" s="190"/>
      <c r="HI6" s="190"/>
      <c r="HJ6" s="190"/>
      <c r="HK6" s="190"/>
      <c r="HL6" s="190"/>
      <c r="HM6" s="190"/>
      <c r="HN6" s="190"/>
      <c r="HO6" s="190"/>
      <c r="HP6" s="190"/>
      <c r="HQ6" s="190"/>
      <c r="HR6" s="190"/>
      <c r="HS6" s="190"/>
      <c r="HT6" s="190"/>
      <c r="HU6" s="190"/>
      <c r="HV6" s="190"/>
      <c r="HW6" s="190"/>
      <c r="HX6" s="190"/>
      <c r="HY6" s="190"/>
      <c r="HZ6" s="190"/>
      <c r="IA6" s="190"/>
      <c r="IB6" s="190"/>
      <c r="IC6" s="190"/>
      <c r="ID6" s="190"/>
      <c r="IE6" s="190"/>
      <c r="IF6" s="190"/>
      <c r="IG6" s="190"/>
      <c r="IH6" s="190"/>
      <c r="II6" s="190"/>
      <c r="IJ6" s="190"/>
      <c r="IK6" s="190"/>
      <c r="IL6" s="190"/>
      <c r="IM6" s="190"/>
      <c r="IN6" s="190"/>
      <c r="IO6" s="190"/>
      <c r="IP6" s="190"/>
      <c r="IQ6" s="190"/>
      <c r="IR6" s="190"/>
      <c r="IS6" s="190"/>
      <c r="IT6" s="190"/>
      <c r="IU6" s="190"/>
      <c r="IV6" s="190"/>
      <c r="IW6" s="190"/>
    </row>
    <row r="7" customFormat="false" ht="12.75" hidden="false" customHeight="false" outlineLevel="0" collapsed="false">
      <c r="R7" s="12"/>
      <c r="S7" s="12"/>
      <c r="T7" s="12"/>
      <c r="U7" s="12"/>
    </row>
    <row r="8" customFormat="false" ht="12.75" hidden="false" customHeight="false" outlineLevel="0" collapsed="false">
      <c r="A8" s="2" t="s">
        <v>115</v>
      </c>
      <c r="B8" s="166" t="n">
        <f aca="false">IS!B27</f>
        <v>102546.924261271</v>
      </c>
      <c r="C8" s="166" t="n">
        <f aca="false">IS!C27</f>
        <v>107648.828283462</v>
      </c>
      <c r="D8" s="166" t="n">
        <f aca="false">IS!D27</f>
        <v>113025.540021213</v>
      </c>
      <c r="E8" s="166" t="n">
        <f aca="false">IS!E27</f>
        <v>118790.461398574</v>
      </c>
      <c r="F8" s="166" t="n">
        <f aca="false">IS!F27</f>
        <v>124878.625115702</v>
      </c>
      <c r="G8" s="166" t="n">
        <f aca="false">IS!G27</f>
        <v>126862.519872687</v>
      </c>
      <c r="H8" s="166" t="n">
        <f aca="false">IS!H27</f>
        <v>128934.872171949</v>
      </c>
      <c r="I8" s="166" t="n">
        <f aca="false">IS!I27</f>
        <v>131107.067706649</v>
      </c>
      <c r="J8" s="166" t="n">
        <f aca="false">IS!J27</f>
        <v>133420.149936338</v>
      </c>
      <c r="K8" s="166" t="n">
        <f aca="false">IS!K27</f>
        <v>135852.528838871</v>
      </c>
      <c r="L8" s="166" t="n">
        <f aca="false">IS!L27</f>
        <v>138007.920917578</v>
      </c>
      <c r="M8" s="166" t="n">
        <f aca="false">IS!M27</f>
        <v>140358.282208866</v>
      </c>
      <c r="N8" s="166" t="n">
        <f aca="false">IS!N27</f>
        <v>142393.856197657</v>
      </c>
      <c r="O8" s="166" t="n">
        <f aca="false">IS!O27</f>
        <v>144821.853232607</v>
      </c>
      <c r="P8" s="166" t="n">
        <f aca="false">IS!P27</f>
        <v>146848.012651711</v>
      </c>
      <c r="Q8" s="166" t="n">
        <f aca="false">IS!Q27</f>
        <v>149540.457012641</v>
      </c>
      <c r="R8" s="166" t="n">
        <f aca="false">IS!R27</f>
        <v>151673.364120372</v>
      </c>
      <c r="S8" s="166" t="n">
        <f aca="false">IS!S27</f>
        <v>153833.34783492</v>
      </c>
      <c r="T8" s="166" t="n">
        <f aca="false">IS!T27</f>
        <v>156020.677431687</v>
      </c>
      <c r="U8" s="166" t="n">
        <f aca="false">IS!U27</f>
        <v>158235.622145328</v>
      </c>
    </row>
    <row r="9" customFormat="false" ht="12.75" hidden="false" customHeight="false" outlineLevel="0" collapsed="false">
      <c r="B9" s="4"/>
      <c r="C9" s="191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</row>
    <row r="10" customFormat="false" ht="12.75" hidden="false" customHeight="false" outlineLevel="0" collapsed="false">
      <c r="A10" s="192" t="s">
        <v>12</v>
      </c>
      <c r="B10" s="4"/>
      <c r="C10" s="191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</row>
    <row r="11" customFormat="false" ht="12.75" hidden="false" customHeight="false" outlineLevel="0" collapsed="false">
      <c r="B11" s="193" t="n">
        <f aca="false">'Summary Output'!$B$14</f>
        <v>36892</v>
      </c>
      <c r="C11" s="193" t="n">
        <v>37257</v>
      </c>
      <c r="D11" s="193" t="n">
        <v>37622</v>
      </c>
      <c r="E11" s="193" t="n">
        <v>37987</v>
      </c>
      <c r="F11" s="193" t="n">
        <v>38353</v>
      </c>
      <c r="G11" s="193" t="n">
        <v>38718</v>
      </c>
      <c r="H11" s="193" t="n">
        <v>39083</v>
      </c>
      <c r="I11" s="193" t="n">
        <v>39448</v>
      </c>
      <c r="J11" s="193" t="n">
        <v>39814</v>
      </c>
      <c r="K11" s="193" t="n">
        <v>40179</v>
      </c>
      <c r="L11" s="193" t="n">
        <v>40544</v>
      </c>
      <c r="M11" s="193" t="n">
        <v>40909</v>
      </c>
      <c r="N11" s="193" t="n">
        <v>41275</v>
      </c>
      <c r="O11" s="193" t="n">
        <v>41640</v>
      </c>
      <c r="P11" s="193" t="n">
        <v>42005</v>
      </c>
      <c r="Q11" s="193" t="n">
        <v>42370</v>
      </c>
      <c r="R11" s="193" t="n">
        <v>42736</v>
      </c>
      <c r="S11" s="193" t="n">
        <v>43101</v>
      </c>
      <c r="T11" s="193" t="n">
        <v>43466</v>
      </c>
      <c r="U11" s="193" t="n">
        <v>43831</v>
      </c>
      <c r="W11" s="194" t="s">
        <v>124</v>
      </c>
      <c r="X11" s="194" t="s">
        <v>125</v>
      </c>
    </row>
    <row r="12" customFormat="false" ht="12.75" hidden="false" customHeight="false" outlineLevel="0" collapsed="false">
      <c r="A12" s="195" t="s">
        <v>126</v>
      </c>
      <c r="B12" s="172" t="n">
        <v>0</v>
      </c>
      <c r="C12" s="172" t="n">
        <f aca="false">B28</f>
        <v>0</v>
      </c>
      <c r="D12" s="172" t="n">
        <f aca="false">C28</f>
        <v>0</v>
      </c>
      <c r="E12" s="172" t="n">
        <f aca="false">D28</f>
        <v>0</v>
      </c>
      <c r="F12" s="172" t="n">
        <f aca="false">E28</f>
        <v>0</v>
      </c>
      <c r="G12" s="172" t="n">
        <f aca="false">F28</f>
        <v>0</v>
      </c>
      <c r="H12" s="172" t="n">
        <f aca="false">G28</f>
        <v>0</v>
      </c>
      <c r="I12" s="172" t="n">
        <f aca="false">H28</f>
        <v>0</v>
      </c>
      <c r="J12" s="172" t="n">
        <f aca="false">I28</f>
        <v>0</v>
      </c>
      <c r="K12" s="172" t="n">
        <f aca="false">J28</f>
        <v>0</v>
      </c>
      <c r="L12" s="172" t="n">
        <f aca="false">K28</f>
        <v>0</v>
      </c>
      <c r="M12" s="172" t="n">
        <f aca="false">L28</f>
        <v>0</v>
      </c>
      <c r="N12" s="172" t="n">
        <f aca="false">M28</f>
        <v>0</v>
      </c>
      <c r="O12" s="172" t="n">
        <f aca="false">N28</f>
        <v>0</v>
      </c>
      <c r="P12" s="172" t="n">
        <f aca="false">O28</f>
        <v>0</v>
      </c>
      <c r="Q12" s="172" t="n">
        <f aca="false">P28</f>
        <v>0</v>
      </c>
      <c r="R12" s="172" t="n">
        <f aca="false">Q28</f>
        <v>0</v>
      </c>
      <c r="S12" s="172" t="n">
        <f aca="false">R28</f>
        <v>0</v>
      </c>
      <c r="T12" s="172" t="n">
        <f aca="false">S28</f>
        <v>0</v>
      </c>
      <c r="U12" s="172" t="n">
        <f aca="false">T28</f>
        <v>0</v>
      </c>
      <c r="W12" s="196"/>
      <c r="X12" s="196"/>
    </row>
    <row r="13" customFormat="false" ht="12.75" hidden="false" customHeight="false" outlineLevel="0" collapsed="false">
      <c r="A13" s="195" t="s">
        <v>127</v>
      </c>
      <c r="B13" s="197" t="n">
        <v>0</v>
      </c>
      <c r="C13" s="197" t="n">
        <f aca="false">C12*$E$97*(C11-B23)/365.25</f>
        <v>0</v>
      </c>
      <c r="D13" s="197" t="n">
        <f aca="false">D12*$E$97*(D11-C23)/365.25</f>
        <v>0</v>
      </c>
      <c r="E13" s="197" t="n">
        <f aca="false">E12*$E$97*(E11-D23)/365.25</f>
        <v>0</v>
      </c>
      <c r="F13" s="197" t="n">
        <f aca="false">F12*$E$97*(F11-E23)/365.25</f>
        <v>0</v>
      </c>
      <c r="G13" s="197" t="n">
        <f aca="false">G12*$E$97*(G11-F23)/365.25</f>
        <v>0</v>
      </c>
      <c r="H13" s="197" t="n">
        <f aca="false">H12*$E$97*(H11-G23)/365.25</f>
        <v>0</v>
      </c>
      <c r="I13" s="197" t="n">
        <f aca="false">I12*$E$97*(I11-H23)/365.25</f>
        <v>0</v>
      </c>
      <c r="J13" s="197" t="n">
        <f aca="false">J12*$E$97*(J11-I23)/365.25</f>
        <v>0</v>
      </c>
      <c r="K13" s="197" t="n">
        <f aca="false">K12*$E$97*(K11-J23)/365.25</f>
        <v>0</v>
      </c>
      <c r="L13" s="197" t="n">
        <f aca="false">L12*$E$97*(L11-K23)/365.25</f>
        <v>0</v>
      </c>
      <c r="M13" s="197" t="n">
        <f aca="false">M12*$E$97*(M11-L23)/365.25</f>
        <v>0</v>
      </c>
      <c r="N13" s="197" t="n">
        <f aca="false">N12*$E$97*(N11-M23)/365.25</f>
        <v>0</v>
      </c>
      <c r="O13" s="197" t="n">
        <f aca="false">O12*$E$97*(O11-N23)/365.25</f>
        <v>0</v>
      </c>
      <c r="P13" s="197" t="n">
        <f aca="false">P12*$E$97*(P11-O23)/365.25</f>
        <v>0</v>
      </c>
      <c r="Q13" s="197" t="n">
        <f aca="false">Q12*$E$97*(Q11-P23)/365.25</f>
        <v>0</v>
      </c>
      <c r="R13" s="197" t="n">
        <f aca="false">R12*$E$97*(R11-Q23)/365.25</f>
        <v>0</v>
      </c>
      <c r="S13" s="197" t="n">
        <f aca="false">S12*$E$97*(S11-R23)/365.25</f>
        <v>0</v>
      </c>
      <c r="T13" s="197" t="n">
        <f aca="false">T12*$E$97*(T11-S23)/365.25</f>
        <v>0</v>
      </c>
      <c r="U13" s="197" t="n">
        <f aca="false">U12*$E$97*(U11-T23)/365.25</f>
        <v>0</v>
      </c>
      <c r="W13" s="196"/>
      <c r="X13" s="196"/>
    </row>
    <row r="14" customFormat="false" ht="12.75" hidden="false" customHeight="false" outlineLevel="0" collapsed="false">
      <c r="A14" s="195" t="s">
        <v>128</v>
      </c>
      <c r="B14" s="160" t="n">
        <f aca="false">'Summary Output'!B15</f>
        <v>0</v>
      </c>
      <c r="C14" s="172" t="n">
        <f aca="false">C12</f>
        <v>0</v>
      </c>
      <c r="D14" s="172" t="n">
        <f aca="false">D12</f>
        <v>0</v>
      </c>
      <c r="E14" s="172" t="n">
        <f aca="false">E12</f>
        <v>0</v>
      </c>
      <c r="F14" s="172" t="n">
        <f aca="false">F12</f>
        <v>0</v>
      </c>
      <c r="G14" s="172" t="n">
        <f aca="false">G12</f>
        <v>0</v>
      </c>
      <c r="H14" s="172" t="n">
        <f aca="false">H12</f>
        <v>0</v>
      </c>
      <c r="I14" s="172" t="n">
        <f aca="false">I12</f>
        <v>0</v>
      </c>
      <c r="J14" s="172" t="n">
        <f aca="false">J12</f>
        <v>0</v>
      </c>
      <c r="K14" s="172" t="n">
        <f aca="false">K12</f>
        <v>0</v>
      </c>
      <c r="L14" s="172" t="n">
        <f aca="false">L12</f>
        <v>0</v>
      </c>
      <c r="M14" s="172" t="n">
        <f aca="false">M12</f>
        <v>0</v>
      </c>
      <c r="N14" s="172" t="n">
        <f aca="false">N12</f>
        <v>0</v>
      </c>
      <c r="O14" s="172" t="n">
        <f aca="false">O12</f>
        <v>0</v>
      </c>
      <c r="P14" s="172" t="n">
        <f aca="false">P12</f>
        <v>0</v>
      </c>
      <c r="Q14" s="172" t="n">
        <f aca="false">Q12</f>
        <v>0</v>
      </c>
      <c r="R14" s="172" t="n">
        <f aca="false">R12</f>
        <v>0</v>
      </c>
      <c r="S14" s="172" t="n">
        <f aca="false">S12</f>
        <v>0</v>
      </c>
      <c r="T14" s="172" t="n">
        <f aca="false">T12</f>
        <v>0</v>
      </c>
      <c r="U14" s="172" t="n">
        <f aca="false">U12</f>
        <v>0</v>
      </c>
      <c r="W14" s="198" t="n">
        <f aca="false">SUM(B19:U19,B26:U26)</f>
        <v>0</v>
      </c>
      <c r="X14" s="199" t="n">
        <f aca="false">B14-W14</f>
        <v>0</v>
      </c>
    </row>
    <row r="15" customFormat="false" ht="12.75" hidden="false" customHeight="false" outlineLevel="0" collapsed="false">
      <c r="B15" s="200"/>
      <c r="C15" s="191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W15" s="196"/>
      <c r="X15" s="196"/>
    </row>
    <row r="16" customFormat="false" ht="12.75" hidden="false" customHeight="false" outlineLevel="0" collapsed="false">
      <c r="A16" s="168"/>
      <c r="B16" s="193" t="n">
        <v>37072</v>
      </c>
      <c r="C16" s="193" t="n">
        <v>37437</v>
      </c>
      <c r="D16" s="193" t="n">
        <v>37802</v>
      </c>
      <c r="E16" s="193" t="n">
        <v>38168</v>
      </c>
      <c r="F16" s="193" t="n">
        <v>38533</v>
      </c>
      <c r="G16" s="193" t="n">
        <v>38898</v>
      </c>
      <c r="H16" s="193" t="n">
        <v>39263</v>
      </c>
      <c r="I16" s="193" t="n">
        <v>39629</v>
      </c>
      <c r="J16" s="193" t="n">
        <v>39994</v>
      </c>
      <c r="K16" s="193" t="n">
        <v>40359</v>
      </c>
      <c r="L16" s="193" t="n">
        <v>40724</v>
      </c>
      <c r="M16" s="193" t="n">
        <v>41090</v>
      </c>
      <c r="N16" s="193" t="n">
        <v>41455</v>
      </c>
      <c r="O16" s="193" t="n">
        <v>41820</v>
      </c>
      <c r="P16" s="193" t="n">
        <v>42185</v>
      </c>
      <c r="Q16" s="193" t="n">
        <v>42551</v>
      </c>
      <c r="R16" s="193" t="n">
        <v>42916</v>
      </c>
      <c r="S16" s="193" t="n">
        <v>43281</v>
      </c>
      <c r="T16" s="193" t="n">
        <v>43646</v>
      </c>
      <c r="U16" s="193" t="n">
        <v>44012</v>
      </c>
      <c r="W16" s="196"/>
      <c r="X16" s="196"/>
    </row>
    <row r="17" customFormat="false" ht="12.75" hidden="false" customHeight="false" outlineLevel="0" collapsed="false">
      <c r="A17" s="195" t="s">
        <v>126</v>
      </c>
      <c r="B17" s="172" t="n">
        <f aca="false">B14</f>
        <v>0</v>
      </c>
      <c r="C17" s="172" t="n">
        <f aca="false">C14</f>
        <v>0</v>
      </c>
      <c r="D17" s="172" t="n">
        <f aca="false">D14</f>
        <v>0</v>
      </c>
      <c r="E17" s="172" t="n">
        <f aca="false">E14</f>
        <v>0</v>
      </c>
      <c r="F17" s="172" t="n">
        <f aca="false">F14</f>
        <v>0</v>
      </c>
      <c r="G17" s="172" t="n">
        <f aca="false">G14</f>
        <v>0</v>
      </c>
      <c r="H17" s="172" t="n">
        <f aca="false">H14</f>
        <v>0</v>
      </c>
      <c r="I17" s="172" t="n">
        <f aca="false">I14</f>
        <v>0</v>
      </c>
      <c r="J17" s="172" t="n">
        <f aca="false">J14</f>
        <v>0</v>
      </c>
      <c r="K17" s="172" t="n">
        <f aca="false">K14</f>
        <v>0</v>
      </c>
      <c r="L17" s="172" t="n">
        <f aca="false">L14</f>
        <v>0</v>
      </c>
      <c r="M17" s="172" t="n">
        <f aca="false">M14</f>
        <v>0</v>
      </c>
      <c r="N17" s="172" t="n">
        <f aca="false">N14</f>
        <v>0</v>
      </c>
      <c r="O17" s="172" t="n">
        <f aca="false">O14</f>
        <v>0</v>
      </c>
      <c r="P17" s="172" t="n">
        <f aca="false">P14</f>
        <v>0</v>
      </c>
      <c r="Q17" s="172" t="n">
        <f aca="false">Q14</f>
        <v>0</v>
      </c>
      <c r="R17" s="172" t="n">
        <f aca="false">R14</f>
        <v>0</v>
      </c>
      <c r="S17" s="172" t="n">
        <f aca="false">S14</f>
        <v>0</v>
      </c>
      <c r="T17" s="172" t="n">
        <f aca="false">T14</f>
        <v>0</v>
      </c>
      <c r="U17" s="172" t="n">
        <f aca="false">U14</f>
        <v>0</v>
      </c>
      <c r="W17" s="196"/>
      <c r="X17" s="196"/>
    </row>
    <row r="18" customFormat="false" ht="12.75" hidden="false" customHeight="false" outlineLevel="0" collapsed="false">
      <c r="A18" s="195" t="s">
        <v>129</v>
      </c>
      <c r="B18" s="201" t="n">
        <v>0.155</v>
      </c>
      <c r="C18" s="201" t="n">
        <v>0.165</v>
      </c>
      <c r="D18" s="201" t="n">
        <v>0.25</v>
      </c>
      <c r="E18" s="172"/>
      <c r="F18" s="172"/>
      <c r="G18" s="172"/>
      <c r="H18" s="172"/>
      <c r="I18" s="172"/>
      <c r="J18" s="172"/>
      <c r="K18" s="172"/>
      <c r="L18" s="172"/>
      <c r="M18" s="172"/>
      <c r="N18" s="172"/>
      <c r="O18" s="172"/>
      <c r="P18" s="172"/>
      <c r="Q18" s="172"/>
      <c r="R18" s="172"/>
      <c r="S18" s="172"/>
      <c r="T18" s="172"/>
      <c r="U18" s="172"/>
      <c r="W18" s="196"/>
      <c r="X18" s="196"/>
    </row>
    <row r="19" customFormat="false" ht="12.75" hidden="false" customHeight="false" outlineLevel="0" collapsed="false">
      <c r="A19" s="195" t="s">
        <v>130</v>
      </c>
      <c r="B19" s="172" t="n">
        <f aca="false">$B$14*B18</f>
        <v>0</v>
      </c>
      <c r="C19" s="172" t="n">
        <f aca="false">$B$14*C18</f>
        <v>0</v>
      </c>
      <c r="D19" s="172" t="n">
        <f aca="false">$B$14*D18</f>
        <v>0</v>
      </c>
      <c r="E19" s="172" t="n">
        <f aca="false">$B$14*E18</f>
        <v>0</v>
      </c>
      <c r="F19" s="172" t="n">
        <f aca="false">$B$14*F18</f>
        <v>0</v>
      </c>
      <c r="G19" s="172" t="n">
        <f aca="false">$B$14*G18</f>
        <v>0</v>
      </c>
      <c r="H19" s="172" t="n">
        <f aca="false">$B$14*H18</f>
        <v>0</v>
      </c>
      <c r="I19" s="172" t="n">
        <f aca="false">$B$14*I18</f>
        <v>0</v>
      </c>
      <c r="J19" s="172" t="n">
        <f aca="false">$B$14*J18</f>
        <v>0</v>
      </c>
      <c r="K19" s="172" t="n">
        <f aca="false">$B$14*K18</f>
        <v>0</v>
      </c>
      <c r="L19" s="172" t="n">
        <f aca="false">$B$14*L18</f>
        <v>0</v>
      </c>
      <c r="M19" s="172" t="n">
        <f aca="false">$B$14*M18</f>
        <v>0</v>
      </c>
      <c r="N19" s="172" t="n">
        <f aca="false">$B$14*N18</f>
        <v>0</v>
      </c>
      <c r="O19" s="172" t="n">
        <f aca="false">$B$14*O18</f>
        <v>0</v>
      </c>
      <c r="P19" s="172" t="n">
        <f aca="false">$B$14*P18</f>
        <v>0</v>
      </c>
      <c r="Q19" s="172" t="n">
        <f aca="false">$B$14*Q18</f>
        <v>0</v>
      </c>
      <c r="R19" s="172" t="n">
        <f aca="false">$B$14*R18</f>
        <v>0</v>
      </c>
      <c r="S19" s="172" t="n">
        <f aca="false">$B$14*S18</f>
        <v>0</v>
      </c>
      <c r="T19" s="172" t="n">
        <f aca="false">$B$14*T18</f>
        <v>0</v>
      </c>
      <c r="U19" s="172" t="n">
        <f aca="false">$B$14*U18</f>
        <v>0</v>
      </c>
      <c r="V19" s="4"/>
      <c r="W19" s="202"/>
      <c r="X19" s="202"/>
    </row>
    <row r="20" customFormat="false" ht="12.75" hidden="false" customHeight="false" outlineLevel="0" collapsed="false">
      <c r="A20" s="195" t="s">
        <v>127</v>
      </c>
      <c r="B20" s="197" t="n">
        <f aca="false">B17*$E$97*(B16-B11)/365.25</f>
        <v>0</v>
      </c>
      <c r="C20" s="197" t="n">
        <f aca="false">C17*$E$97*(C16-C11)/365.25</f>
        <v>0</v>
      </c>
      <c r="D20" s="197" t="n">
        <f aca="false">D17*$E$97*(D16-D11)/365.25</f>
        <v>0</v>
      </c>
      <c r="E20" s="197" t="n">
        <f aca="false">E17*$E$97*(E16-E11)/365.25</f>
        <v>0</v>
      </c>
      <c r="F20" s="197" t="n">
        <f aca="false">F17*$E$97*(F16-F11)/365.25</f>
        <v>0</v>
      </c>
      <c r="G20" s="197" t="n">
        <f aca="false">G17*$E$97*(G16-G11)/365.25</f>
        <v>0</v>
      </c>
      <c r="H20" s="197" t="n">
        <f aca="false">H17*$E$97*(H16-H11)/365.25</f>
        <v>0</v>
      </c>
      <c r="I20" s="197" t="n">
        <f aca="false">I17*$E$97*(I16-I11)/365.25</f>
        <v>0</v>
      </c>
      <c r="J20" s="197" t="n">
        <f aca="false">J17*$E$97*(J16-J11)/365.25</f>
        <v>0</v>
      </c>
      <c r="K20" s="197" t="n">
        <f aca="false">K17*$E$97*(K16-K11)/365.25</f>
        <v>0</v>
      </c>
      <c r="L20" s="197" t="n">
        <f aca="false">L17*$E$97*(L16-L11)/365.25</f>
        <v>0</v>
      </c>
      <c r="M20" s="197" t="n">
        <f aca="false">M17*$E$97*(M16-M11)/365.25</f>
        <v>0</v>
      </c>
      <c r="N20" s="197" t="n">
        <f aca="false">N17*$E$97*(N16-N11)/365.25</f>
        <v>0</v>
      </c>
      <c r="O20" s="197" t="n">
        <f aca="false">O17*$E$97*(O16-O11)/365.25</f>
        <v>0</v>
      </c>
      <c r="P20" s="197" t="n">
        <f aca="false">P17*$E$97*(P16-P11)/365.25</f>
        <v>0</v>
      </c>
      <c r="Q20" s="197" t="n">
        <f aca="false">Q17*$E$97*(Q16-Q11)/365.25</f>
        <v>0</v>
      </c>
      <c r="R20" s="197" t="n">
        <f aca="false">R17*$E$97*(R16-R11)/365.25</f>
        <v>0</v>
      </c>
      <c r="S20" s="197" t="n">
        <f aca="false">S17*$E$97*(S16-S11)/365.25</f>
        <v>0</v>
      </c>
      <c r="T20" s="197" t="n">
        <f aca="false">T17*$E$97*(T16-T11)/365.25</f>
        <v>0</v>
      </c>
      <c r="U20" s="197" t="n">
        <f aca="false">U17*$E$97*(U16-U11)/365.25</f>
        <v>0</v>
      </c>
      <c r="V20" s="4"/>
      <c r="W20" s="202"/>
      <c r="X20" s="202"/>
    </row>
    <row r="21" customFormat="false" ht="12.75" hidden="false" customHeight="false" outlineLevel="0" collapsed="false">
      <c r="A21" s="195" t="s">
        <v>128</v>
      </c>
      <c r="B21" s="172" t="n">
        <f aca="false">B17-B19</f>
        <v>0</v>
      </c>
      <c r="C21" s="172" t="n">
        <f aca="false">C17-C19</f>
        <v>0</v>
      </c>
      <c r="D21" s="172" t="n">
        <f aca="false">D17-D19</f>
        <v>0</v>
      </c>
      <c r="E21" s="172" t="n">
        <f aca="false">E17-E19</f>
        <v>0</v>
      </c>
      <c r="F21" s="172" t="n">
        <f aca="false">F17-F19</f>
        <v>0</v>
      </c>
      <c r="G21" s="172" t="n">
        <f aca="false">G17-G19</f>
        <v>0</v>
      </c>
      <c r="H21" s="172" t="n">
        <f aca="false">H17-H19</f>
        <v>0</v>
      </c>
      <c r="I21" s="172" t="n">
        <f aca="false">I17-I19</f>
        <v>0</v>
      </c>
      <c r="J21" s="172" t="n">
        <f aca="false">J17-J19</f>
        <v>0</v>
      </c>
      <c r="K21" s="172" t="n">
        <f aca="false">K17-K19</f>
        <v>0</v>
      </c>
      <c r="L21" s="172" t="n">
        <f aca="false">L17-L19</f>
        <v>0</v>
      </c>
      <c r="M21" s="172" t="n">
        <f aca="false">M17-M19</f>
        <v>0</v>
      </c>
      <c r="N21" s="172" t="n">
        <f aca="false">N17-N19</f>
        <v>0</v>
      </c>
      <c r="O21" s="172" t="n">
        <f aca="false">O17-O19</f>
        <v>0</v>
      </c>
      <c r="P21" s="172" t="n">
        <f aca="false">P17-P19</f>
        <v>0</v>
      </c>
      <c r="Q21" s="172" t="n">
        <f aca="false">Q17-Q19</f>
        <v>0</v>
      </c>
      <c r="R21" s="172" t="n">
        <f aca="false">R17-R19</f>
        <v>0</v>
      </c>
      <c r="S21" s="172" t="n">
        <f aca="false">S17-S19</f>
        <v>0</v>
      </c>
      <c r="T21" s="172" t="n">
        <f aca="false">T17-T19</f>
        <v>0</v>
      </c>
      <c r="U21" s="172" t="n">
        <f aca="false">U17-U19</f>
        <v>0</v>
      </c>
      <c r="V21" s="4"/>
      <c r="W21" s="202"/>
      <c r="X21" s="202"/>
    </row>
    <row r="22" customFormat="false" ht="12.75" hidden="false" customHeight="false" outlineLevel="0" collapsed="false">
      <c r="A22" s="195"/>
      <c r="B22" s="203"/>
      <c r="C22" s="203"/>
      <c r="D22" s="203"/>
      <c r="E22" s="203"/>
      <c r="F22" s="203"/>
      <c r="G22" s="203"/>
      <c r="H22" s="203"/>
      <c r="I22" s="203"/>
      <c r="J22" s="203"/>
      <c r="K22" s="203"/>
      <c r="L22" s="203"/>
      <c r="M22" s="203"/>
      <c r="N22" s="203"/>
      <c r="O22" s="203"/>
      <c r="P22" s="203"/>
      <c r="Q22" s="203"/>
      <c r="R22" s="203"/>
      <c r="S22" s="203"/>
      <c r="T22" s="203"/>
      <c r="U22" s="203"/>
      <c r="V22" s="4"/>
      <c r="W22" s="202"/>
      <c r="X22" s="202"/>
    </row>
    <row r="23" customFormat="false" ht="12.75" hidden="false" customHeight="false" outlineLevel="0" collapsed="false">
      <c r="A23" s="168"/>
      <c r="B23" s="193" t="n">
        <v>37256</v>
      </c>
      <c r="C23" s="193" t="n">
        <v>37621</v>
      </c>
      <c r="D23" s="193" t="n">
        <v>37986</v>
      </c>
      <c r="E23" s="193" t="n">
        <v>38352</v>
      </c>
      <c r="F23" s="193" t="n">
        <v>38717</v>
      </c>
      <c r="G23" s="193" t="n">
        <v>39082</v>
      </c>
      <c r="H23" s="193" t="n">
        <v>39447</v>
      </c>
      <c r="I23" s="193" t="n">
        <v>39813</v>
      </c>
      <c r="J23" s="193" t="n">
        <v>40178</v>
      </c>
      <c r="K23" s="193" t="n">
        <v>40543</v>
      </c>
      <c r="L23" s="193" t="n">
        <v>40908</v>
      </c>
      <c r="M23" s="193" t="n">
        <v>41274</v>
      </c>
      <c r="N23" s="193" t="n">
        <v>41639</v>
      </c>
      <c r="O23" s="193" t="n">
        <v>42004</v>
      </c>
      <c r="P23" s="193" t="n">
        <v>42369</v>
      </c>
      <c r="Q23" s="193" t="n">
        <v>42735</v>
      </c>
      <c r="R23" s="193" t="n">
        <v>43100</v>
      </c>
      <c r="S23" s="193" t="n">
        <v>43465</v>
      </c>
      <c r="T23" s="193" t="n">
        <v>43830</v>
      </c>
      <c r="U23" s="193" t="n">
        <v>44196</v>
      </c>
      <c r="V23" s="4"/>
      <c r="W23" s="202"/>
      <c r="X23" s="202"/>
    </row>
    <row r="24" customFormat="false" ht="12.75" hidden="false" customHeight="false" outlineLevel="0" collapsed="false">
      <c r="A24" s="195" t="s">
        <v>126</v>
      </c>
      <c r="B24" s="172" t="n">
        <f aca="false">B21</f>
        <v>0</v>
      </c>
      <c r="C24" s="172" t="n">
        <f aca="false">C21</f>
        <v>0</v>
      </c>
      <c r="D24" s="172" t="n">
        <f aca="false">D21</f>
        <v>0</v>
      </c>
      <c r="E24" s="172" t="n">
        <f aca="false">E21</f>
        <v>0</v>
      </c>
      <c r="F24" s="172" t="n">
        <f aca="false">F21</f>
        <v>0</v>
      </c>
      <c r="G24" s="172" t="n">
        <f aca="false">G21</f>
        <v>0</v>
      </c>
      <c r="H24" s="172" t="n">
        <f aca="false">H21</f>
        <v>0</v>
      </c>
      <c r="I24" s="172" t="n">
        <f aca="false">I21</f>
        <v>0</v>
      </c>
      <c r="J24" s="172" t="n">
        <f aca="false">J21</f>
        <v>0</v>
      </c>
      <c r="K24" s="172" t="n">
        <f aca="false">K21</f>
        <v>0</v>
      </c>
      <c r="L24" s="172" t="n">
        <f aca="false">L21</f>
        <v>0</v>
      </c>
      <c r="M24" s="172" t="n">
        <f aca="false">M21</f>
        <v>0</v>
      </c>
      <c r="N24" s="172" t="n">
        <f aca="false">N21</f>
        <v>0</v>
      </c>
      <c r="O24" s="172" t="n">
        <f aca="false">O21</f>
        <v>0</v>
      </c>
      <c r="P24" s="172" t="n">
        <f aca="false">P21</f>
        <v>0</v>
      </c>
      <c r="Q24" s="172" t="n">
        <f aca="false">Q21</f>
        <v>0</v>
      </c>
      <c r="R24" s="172" t="n">
        <f aca="false">R21</f>
        <v>0</v>
      </c>
      <c r="S24" s="172" t="n">
        <f aca="false">S21</f>
        <v>0</v>
      </c>
      <c r="T24" s="172" t="n">
        <f aca="false">T21</f>
        <v>0</v>
      </c>
      <c r="U24" s="172" t="n">
        <f aca="false">U21</f>
        <v>0</v>
      </c>
      <c r="V24" s="4"/>
      <c r="W24" s="202"/>
      <c r="X24" s="202"/>
    </row>
    <row r="25" customFormat="false" ht="12.75" hidden="false" customHeight="false" outlineLevel="0" collapsed="false">
      <c r="A25" s="195" t="s">
        <v>129</v>
      </c>
      <c r="B25" s="201" t="n">
        <v>0.155</v>
      </c>
      <c r="C25" s="201" t="n">
        <v>0.1675</v>
      </c>
      <c r="D25" s="201" t="n">
        <v>0.1075</v>
      </c>
      <c r="E25" s="172"/>
      <c r="F25" s="172"/>
      <c r="G25" s="172"/>
      <c r="H25" s="172"/>
      <c r="I25" s="172"/>
      <c r="J25" s="172"/>
      <c r="K25" s="172"/>
      <c r="L25" s="172"/>
      <c r="M25" s="172"/>
      <c r="N25" s="172"/>
      <c r="O25" s="172"/>
      <c r="P25" s="172"/>
      <c r="Q25" s="172"/>
      <c r="R25" s="172"/>
      <c r="S25" s="172"/>
      <c r="T25" s="172"/>
      <c r="U25" s="172"/>
      <c r="V25" s="4"/>
      <c r="W25" s="202"/>
      <c r="X25" s="202"/>
    </row>
    <row r="26" customFormat="false" ht="12.75" hidden="false" customHeight="false" outlineLevel="0" collapsed="false">
      <c r="A26" s="195" t="s">
        <v>130</v>
      </c>
      <c r="B26" s="172" t="n">
        <f aca="false">B25*$B$14</f>
        <v>0</v>
      </c>
      <c r="C26" s="172" t="n">
        <f aca="false">C25*$B$14</f>
        <v>0</v>
      </c>
      <c r="D26" s="172" t="n">
        <f aca="false">D25*$B$14</f>
        <v>0</v>
      </c>
      <c r="E26" s="172" t="n">
        <f aca="false">E25*$B$14</f>
        <v>0</v>
      </c>
      <c r="F26" s="172" t="n">
        <f aca="false">F25*$B$14</f>
        <v>0</v>
      </c>
      <c r="G26" s="172" t="n">
        <f aca="false">G25*$B$14</f>
        <v>0</v>
      </c>
      <c r="H26" s="172" t="n">
        <f aca="false">H25*$B$14</f>
        <v>0</v>
      </c>
      <c r="I26" s="172" t="n">
        <f aca="false">I25*$B$14</f>
        <v>0</v>
      </c>
      <c r="J26" s="172" t="n">
        <f aca="false">J25*$B$14</f>
        <v>0</v>
      </c>
      <c r="K26" s="172" t="n">
        <f aca="false">K25*$B$14</f>
        <v>0</v>
      </c>
      <c r="L26" s="172" t="n">
        <f aca="false">L25*$B$14</f>
        <v>0</v>
      </c>
      <c r="M26" s="172" t="n">
        <f aca="false">M25*$B$14</f>
        <v>0</v>
      </c>
      <c r="N26" s="172" t="n">
        <f aca="false">N25*$B$14</f>
        <v>0</v>
      </c>
      <c r="O26" s="172" t="n">
        <f aca="false">O25*$B$14</f>
        <v>0</v>
      </c>
      <c r="P26" s="172" t="n">
        <f aca="false">P25*$B$14</f>
        <v>0</v>
      </c>
      <c r="Q26" s="172" t="n">
        <f aca="false">Q25*$B$14</f>
        <v>0</v>
      </c>
      <c r="R26" s="172" t="n">
        <f aca="false">R25*$B$14</f>
        <v>0</v>
      </c>
      <c r="S26" s="172" t="n">
        <f aca="false">S25*$B$14</f>
        <v>0</v>
      </c>
      <c r="T26" s="172" t="n">
        <f aca="false">T25*$B$14</f>
        <v>0</v>
      </c>
      <c r="U26" s="172" t="n">
        <f aca="false">U25*$B$14</f>
        <v>0</v>
      </c>
      <c r="V26" s="4"/>
      <c r="W26" s="202"/>
      <c r="X26" s="202"/>
    </row>
    <row r="27" customFormat="false" ht="12.75" hidden="false" customHeight="false" outlineLevel="0" collapsed="false">
      <c r="A27" s="195" t="s">
        <v>127</v>
      </c>
      <c r="B27" s="197" t="n">
        <f aca="false">B24*$E$97*(B23-B16)/365.25</f>
        <v>0</v>
      </c>
      <c r="C27" s="197" t="n">
        <f aca="false">C24*$E$97*(C23-C16)/365.25</f>
        <v>0</v>
      </c>
      <c r="D27" s="197" t="n">
        <f aca="false">D24*$E$97*(D23-D16)/365.25</f>
        <v>0</v>
      </c>
      <c r="E27" s="197" t="n">
        <f aca="false">E24*$E$97*(E23-E16)/365.25</f>
        <v>0</v>
      </c>
      <c r="F27" s="197" t="n">
        <f aca="false">F24*$E$97*(F23-F16)/365.25</f>
        <v>0</v>
      </c>
      <c r="G27" s="197" t="n">
        <f aca="false">G24*$E$97*(G23-G16)/365.25</f>
        <v>0</v>
      </c>
      <c r="H27" s="197" t="n">
        <f aca="false">H24*$E$97*(H23-H16)/365.25</f>
        <v>0</v>
      </c>
      <c r="I27" s="197" t="n">
        <f aca="false">I24*$E$97*(I23-I16)/365.25</f>
        <v>0</v>
      </c>
      <c r="J27" s="197" t="n">
        <f aca="false">J24*$E$97*(J23-J16)/365.25</f>
        <v>0</v>
      </c>
      <c r="K27" s="197" t="n">
        <f aca="false">K24*$E$97*(K23-K16)/365.25</f>
        <v>0</v>
      </c>
      <c r="L27" s="197" t="n">
        <f aca="false">L24*$E$97*(L23-L16)/365.25</f>
        <v>0</v>
      </c>
      <c r="M27" s="197" t="n">
        <f aca="false">M24*$E$97*(M23-M16)/365.25</f>
        <v>0</v>
      </c>
      <c r="N27" s="197" t="n">
        <f aca="false">N24*$E$97*(N23-N16)/365.25</f>
        <v>0</v>
      </c>
      <c r="O27" s="197" t="n">
        <f aca="false">O24*$E$97*(O23-O16)/365.25</f>
        <v>0</v>
      </c>
      <c r="P27" s="197" t="n">
        <f aca="false">P24*$E$97*(P23-P16)/365.25</f>
        <v>0</v>
      </c>
      <c r="Q27" s="197" t="n">
        <f aca="false">Q24*$E$97*(Q23-Q16)/365.25</f>
        <v>0</v>
      </c>
      <c r="R27" s="197" t="n">
        <f aca="false">R24*$E$97*(R23-R16)/365.25</f>
        <v>0</v>
      </c>
      <c r="S27" s="197" t="n">
        <f aca="false">S24*$E$97*(S23-S16)/365.25</f>
        <v>0</v>
      </c>
      <c r="T27" s="197" t="n">
        <f aca="false">T24*$E$97*(T23-T16)/365.25</f>
        <v>0</v>
      </c>
      <c r="U27" s="197" t="n">
        <f aca="false">U24*$E$97*(U23-U16)/365.25</f>
        <v>0</v>
      </c>
      <c r="V27" s="4"/>
      <c r="W27" s="202"/>
      <c r="X27" s="202"/>
    </row>
    <row r="28" customFormat="false" ht="12.75" hidden="false" customHeight="false" outlineLevel="0" collapsed="false">
      <c r="A28" s="195" t="s">
        <v>128</v>
      </c>
      <c r="B28" s="172" t="n">
        <f aca="false">B24-B26</f>
        <v>0</v>
      </c>
      <c r="C28" s="172" t="n">
        <f aca="false">C24-C26</f>
        <v>0</v>
      </c>
      <c r="D28" s="172" t="n">
        <f aca="false">D24-D26</f>
        <v>0</v>
      </c>
      <c r="E28" s="172" t="n">
        <f aca="false">E24-E26</f>
        <v>0</v>
      </c>
      <c r="F28" s="172" t="n">
        <f aca="false">F24-F26</f>
        <v>0</v>
      </c>
      <c r="G28" s="172" t="n">
        <f aca="false">G24-G26</f>
        <v>0</v>
      </c>
      <c r="H28" s="172" t="n">
        <f aca="false">H24-H26</f>
        <v>0</v>
      </c>
      <c r="I28" s="172" t="n">
        <f aca="false">I24-I26</f>
        <v>0</v>
      </c>
      <c r="J28" s="172" t="n">
        <f aca="false">J24-J26</f>
        <v>0</v>
      </c>
      <c r="K28" s="172" t="n">
        <f aca="false">K24-K26</f>
        <v>0</v>
      </c>
      <c r="L28" s="172" t="n">
        <f aca="false">L24-L26</f>
        <v>0</v>
      </c>
      <c r="M28" s="172" t="n">
        <f aca="false">M24-M26</f>
        <v>0</v>
      </c>
      <c r="N28" s="172" t="n">
        <f aca="false">N24-N26</f>
        <v>0</v>
      </c>
      <c r="O28" s="172" t="n">
        <f aca="false">O24-O26</f>
        <v>0</v>
      </c>
      <c r="P28" s="172" t="n">
        <f aca="false">P24-P26</f>
        <v>0</v>
      </c>
      <c r="Q28" s="172" t="n">
        <f aca="false">Q24-Q26</f>
        <v>0</v>
      </c>
      <c r="R28" s="172" t="n">
        <f aca="false">R24-R26</f>
        <v>0</v>
      </c>
      <c r="S28" s="172" t="n">
        <f aca="false">S24-S26</f>
        <v>0</v>
      </c>
      <c r="T28" s="172" t="n">
        <f aca="false">T24-T26</f>
        <v>0</v>
      </c>
      <c r="U28" s="172" t="n">
        <f aca="false">U24-U26</f>
        <v>0</v>
      </c>
      <c r="W28" s="196"/>
      <c r="X28" s="196"/>
    </row>
    <row r="29" customFormat="false" ht="12.75" hidden="false" customHeight="false" outlineLevel="0" collapsed="false">
      <c r="A29" s="195"/>
      <c r="B29" s="203"/>
      <c r="C29" s="203"/>
      <c r="D29" s="203"/>
      <c r="E29" s="203"/>
      <c r="F29" s="203"/>
      <c r="G29" s="203"/>
      <c r="H29" s="203"/>
      <c r="I29" s="203"/>
      <c r="J29" s="203"/>
      <c r="K29" s="203"/>
      <c r="L29" s="203"/>
      <c r="M29" s="203"/>
      <c r="N29" s="203"/>
      <c r="O29" s="203"/>
      <c r="P29" s="203"/>
      <c r="Q29" s="203"/>
      <c r="R29" s="203"/>
      <c r="S29" s="203"/>
      <c r="T29" s="203"/>
      <c r="U29" s="203"/>
      <c r="W29" s="196"/>
      <c r="X29" s="196"/>
    </row>
    <row r="30" customFormat="false" ht="12.75" hidden="false" customHeight="false" outlineLevel="0" collapsed="false">
      <c r="A30" s="192" t="s">
        <v>13</v>
      </c>
      <c r="B30" s="4"/>
      <c r="C30" s="191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W30" s="196"/>
      <c r="X30" s="196"/>
    </row>
    <row r="31" customFormat="false" ht="12.75" hidden="false" customHeight="false" outlineLevel="0" collapsed="false">
      <c r="B31" s="193" t="n">
        <f aca="false">'Summary Output'!$B$14</f>
        <v>36892</v>
      </c>
      <c r="C31" s="193" t="n">
        <v>37257</v>
      </c>
      <c r="D31" s="193" t="n">
        <v>37622</v>
      </c>
      <c r="E31" s="193" t="n">
        <v>37987</v>
      </c>
      <c r="F31" s="193" t="n">
        <v>38353</v>
      </c>
      <c r="G31" s="193" t="n">
        <v>38718</v>
      </c>
      <c r="H31" s="193" t="n">
        <v>39083</v>
      </c>
      <c r="I31" s="193" t="n">
        <v>39448</v>
      </c>
      <c r="J31" s="193" t="n">
        <v>39814</v>
      </c>
      <c r="K31" s="193" t="n">
        <v>40179</v>
      </c>
      <c r="L31" s="193" t="n">
        <v>40544</v>
      </c>
      <c r="M31" s="193" t="n">
        <v>40909</v>
      </c>
      <c r="N31" s="193" t="n">
        <v>41275</v>
      </c>
      <c r="O31" s="193" t="n">
        <v>41640</v>
      </c>
      <c r="P31" s="193" t="n">
        <v>42005</v>
      </c>
      <c r="Q31" s="193" t="n">
        <v>42370</v>
      </c>
      <c r="R31" s="193" t="n">
        <v>42736</v>
      </c>
      <c r="S31" s="193" t="n">
        <v>43101</v>
      </c>
      <c r="T31" s="193" t="n">
        <v>43466</v>
      </c>
      <c r="U31" s="193" t="n">
        <v>43831</v>
      </c>
      <c r="W31" s="196"/>
      <c r="X31" s="196"/>
    </row>
    <row r="32" customFormat="false" ht="12.75" hidden="false" customHeight="false" outlineLevel="0" collapsed="false">
      <c r="A32" s="195" t="s">
        <v>126</v>
      </c>
      <c r="B32" s="172" t="n">
        <v>0</v>
      </c>
      <c r="C32" s="172" t="n">
        <f aca="false">B48</f>
        <v>55000</v>
      </c>
      <c r="D32" s="172" t="n">
        <f aca="false">C48</f>
        <v>55000</v>
      </c>
      <c r="E32" s="172" t="n">
        <f aca="false">D48</f>
        <v>55000</v>
      </c>
      <c r="F32" s="172" t="n">
        <f aca="false">E48</f>
        <v>50325</v>
      </c>
      <c r="G32" s="172" t="n">
        <f aca="false">F48</f>
        <v>43890</v>
      </c>
      <c r="H32" s="172" t="n">
        <f aca="false">G48</f>
        <v>36575</v>
      </c>
      <c r="I32" s="172" t="n">
        <f aca="false">H48</f>
        <v>28600</v>
      </c>
      <c r="J32" s="172" t="n">
        <f aca="false">I48</f>
        <v>19525</v>
      </c>
      <c r="K32" s="172" t="n">
        <f aca="false">J48</f>
        <v>9570</v>
      </c>
      <c r="L32" s="172" t="n">
        <f aca="false">K48</f>
        <v>0</v>
      </c>
      <c r="M32" s="172" t="n">
        <f aca="false">L48</f>
        <v>0</v>
      </c>
      <c r="N32" s="172" t="n">
        <f aca="false">M48</f>
        <v>0</v>
      </c>
      <c r="O32" s="172" t="n">
        <f aca="false">N48</f>
        <v>0</v>
      </c>
      <c r="P32" s="172" t="n">
        <f aca="false">O48</f>
        <v>0</v>
      </c>
      <c r="Q32" s="172" t="n">
        <f aca="false">P48</f>
        <v>0</v>
      </c>
      <c r="R32" s="172" t="n">
        <f aca="false">Q48</f>
        <v>0</v>
      </c>
      <c r="S32" s="172" t="n">
        <f aca="false">R48</f>
        <v>0</v>
      </c>
      <c r="T32" s="172" t="n">
        <f aca="false">S48</f>
        <v>0</v>
      </c>
      <c r="U32" s="172" t="n">
        <f aca="false">T48</f>
        <v>0</v>
      </c>
      <c r="W32" s="196"/>
      <c r="X32" s="196"/>
    </row>
    <row r="33" customFormat="false" ht="12.75" hidden="false" customHeight="false" outlineLevel="0" collapsed="false">
      <c r="A33" s="195" t="s">
        <v>127</v>
      </c>
      <c r="B33" s="197" t="n">
        <v>0</v>
      </c>
      <c r="C33" s="197" t="n">
        <f aca="false">C32*$J$97*(C31-B43)/365.25</f>
        <v>16.5639972621492</v>
      </c>
      <c r="D33" s="197" t="n">
        <f aca="false">D32*$J$97*(D31-C43)/365.25</f>
        <v>16.5639972621492</v>
      </c>
      <c r="E33" s="197" t="n">
        <f aca="false">E32*$J$97*(E31-D43)/365.25</f>
        <v>16.5639972621492</v>
      </c>
      <c r="F33" s="197" t="n">
        <f aca="false">F32*$J$97*(F31-E43)/365.25</f>
        <v>15.1560574948665</v>
      </c>
      <c r="G33" s="197" t="n">
        <f aca="false">G32*$J$97*(G31-F43)/365.25</f>
        <v>13.2180698151951</v>
      </c>
      <c r="H33" s="197" t="n">
        <f aca="false">H32*$J$97*(H31-G43)/365.25</f>
        <v>11.0150581793292</v>
      </c>
      <c r="I33" s="197" t="n">
        <f aca="false">I32*$J$97*(I31-H43)/365.25</f>
        <v>8.61327857631759</v>
      </c>
      <c r="J33" s="197" t="n">
        <f aca="false">J32*$J$97*(J31-I43)/365.25</f>
        <v>5.88021902806297</v>
      </c>
      <c r="K33" s="197" t="n">
        <f aca="false">K32*$J$97*(K31-J43)/365.25</f>
        <v>2.88213552361396</v>
      </c>
      <c r="L33" s="197" t="n">
        <f aca="false">L32*$J$97*(L31-K43)/365.25</f>
        <v>0</v>
      </c>
      <c r="M33" s="197" t="n">
        <f aca="false">M32*$J$97*(M31-L43)/365.25</f>
        <v>0</v>
      </c>
      <c r="N33" s="197" t="n">
        <f aca="false">N32*$J$97*(N31-M43)/365.25</f>
        <v>0</v>
      </c>
      <c r="O33" s="197" t="n">
        <f aca="false">O32*$J$97*(O31-N43)/365.25</f>
        <v>0</v>
      </c>
      <c r="P33" s="197" t="n">
        <f aca="false">P32*$J$97*(P31-O43)/365.25</f>
        <v>0</v>
      </c>
      <c r="Q33" s="197" t="n">
        <f aca="false">Q32*$J$97*(Q31-P43)/365.25</f>
        <v>0</v>
      </c>
      <c r="R33" s="197" t="n">
        <f aca="false">R32*$J$97*(R31-Q43)/365.25</f>
        <v>0</v>
      </c>
      <c r="S33" s="197" t="n">
        <f aca="false">S32*$J$97*(S31-R43)/365.25</f>
        <v>0</v>
      </c>
      <c r="T33" s="197" t="n">
        <f aca="false">T32*$J$97*(T31-S43)/365.25</f>
        <v>0</v>
      </c>
      <c r="U33" s="197" t="n">
        <f aca="false">U32*$J$97*(U31-T43)/365.25</f>
        <v>0</v>
      </c>
      <c r="V33" s="4"/>
      <c r="W33" s="202"/>
      <c r="X33" s="202"/>
    </row>
    <row r="34" customFormat="false" ht="12.75" hidden="false" customHeight="false" outlineLevel="0" collapsed="false">
      <c r="A34" s="195" t="s">
        <v>128</v>
      </c>
      <c r="B34" s="160" t="n">
        <f aca="false">'Summary Output'!C15</f>
        <v>55000</v>
      </c>
      <c r="C34" s="172" t="n">
        <f aca="false">C32</f>
        <v>55000</v>
      </c>
      <c r="D34" s="172" t="n">
        <f aca="false">D32</f>
        <v>55000</v>
      </c>
      <c r="E34" s="172" t="n">
        <f aca="false">E32</f>
        <v>55000</v>
      </c>
      <c r="F34" s="172" t="n">
        <f aca="false">F32</f>
        <v>50325</v>
      </c>
      <c r="G34" s="172" t="n">
        <f aca="false">G32</f>
        <v>43890</v>
      </c>
      <c r="H34" s="172" t="n">
        <f aca="false">H32</f>
        <v>36575</v>
      </c>
      <c r="I34" s="172" t="n">
        <f aca="false">I32</f>
        <v>28600</v>
      </c>
      <c r="J34" s="172" t="n">
        <f aca="false">J32</f>
        <v>19525</v>
      </c>
      <c r="K34" s="172" t="n">
        <f aca="false">K32</f>
        <v>9570</v>
      </c>
      <c r="L34" s="172" t="n">
        <f aca="false">L32</f>
        <v>0</v>
      </c>
      <c r="M34" s="172" t="n">
        <f aca="false">M32</f>
        <v>0</v>
      </c>
      <c r="N34" s="172" t="n">
        <f aca="false">N32</f>
        <v>0</v>
      </c>
      <c r="O34" s="172" t="n">
        <f aca="false">O32</f>
        <v>0</v>
      </c>
      <c r="P34" s="172" t="n">
        <f aca="false">P32</f>
        <v>0</v>
      </c>
      <c r="Q34" s="172" t="n">
        <f aca="false">Q32</f>
        <v>0</v>
      </c>
      <c r="R34" s="172" t="n">
        <f aca="false">R32</f>
        <v>0</v>
      </c>
      <c r="S34" s="172" t="n">
        <f aca="false">S32</f>
        <v>0</v>
      </c>
      <c r="T34" s="172" t="n">
        <f aca="false">T32</f>
        <v>0</v>
      </c>
      <c r="U34" s="172" t="n">
        <f aca="false">U32</f>
        <v>0</v>
      </c>
      <c r="V34" s="4"/>
      <c r="W34" s="198" t="n">
        <f aca="false">SUM(B39:U39,B46:U46)</f>
        <v>55000</v>
      </c>
      <c r="X34" s="199" t="n">
        <f aca="false">B34-W34</f>
        <v>0</v>
      </c>
    </row>
    <row r="35" customFormat="false" ht="12.75" hidden="false" customHeight="false" outlineLevel="0" collapsed="false">
      <c r="B35" s="200"/>
      <c r="C35" s="191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202"/>
      <c r="X35" s="202"/>
    </row>
    <row r="36" customFormat="false" ht="12.75" hidden="false" customHeight="false" outlineLevel="0" collapsed="false">
      <c r="A36" s="168"/>
      <c r="B36" s="193" t="n">
        <v>37072</v>
      </c>
      <c r="C36" s="193" t="n">
        <v>37437</v>
      </c>
      <c r="D36" s="193" t="n">
        <v>37802</v>
      </c>
      <c r="E36" s="193" t="n">
        <v>38168</v>
      </c>
      <c r="F36" s="193" t="n">
        <v>38533</v>
      </c>
      <c r="G36" s="193" t="n">
        <v>38898</v>
      </c>
      <c r="H36" s="193" t="n">
        <v>39263</v>
      </c>
      <c r="I36" s="193" t="n">
        <v>39629</v>
      </c>
      <c r="J36" s="193" t="n">
        <v>39994</v>
      </c>
      <c r="K36" s="193" t="n">
        <v>40359</v>
      </c>
      <c r="L36" s="193" t="n">
        <v>40724</v>
      </c>
      <c r="M36" s="193" t="n">
        <v>41090</v>
      </c>
      <c r="N36" s="193" t="n">
        <v>41455</v>
      </c>
      <c r="O36" s="193" t="n">
        <v>41820</v>
      </c>
      <c r="P36" s="193" t="n">
        <v>42185</v>
      </c>
      <c r="Q36" s="193" t="n">
        <v>42551</v>
      </c>
      <c r="R36" s="193" t="n">
        <v>42916</v>
      </c>
      <c r="S36" s="193" t="n">
        <v>43281</v>
      </c>
      <c r="T36" s="193" t="n">
        <v>43646</v>
      </c>
      <c r="U36" s="193" t="n">
        <v>44012</v>
      </c>
      <c r="V36" s="4"/>
      <c r="W36" s="202"/>
      <c r="X36" s="202"/>
    </row>
    <row r="37" customFormat="false" ht="12.75" hidden="false" customHeight="false" outlineLevel="0" collapsed="false">
      <c r="A37" s="195" t="s">
        <v>126</v>
      </c>
      <c r="B37" s="172" t="n">
        <f aca="false">B34</f>
        <v>55000</v>
      </c>
      <c r="C37" s="172" t="n">
        <f aca="false">C34</f>
        <v>55000</v>
      </c>
      <c r="D37" s="172" t="n">
        <f aca="false">D34</f>
        <v>55000</v>
      </c>
      <c r="E37" s="172" t="n">
        <f aca="false">E34</f>
        <v>55000</v>
      </c>
      <c r="F37" s="172" t="n">
        <f aca="false">F34</f>
        <v>50325</v>
      </c>
      <c r="G37" s="172" t="n">
        <f aca="false">G34</f>
        <v>43890</v>
      </c>
      <c r="H37" s="172" t="n">
        <f aca="false">H34</f>
        <v>36575</v>
      </c>
      <c r="I37" s="172" t="n">
        <f aca="false">I34</f>
        <v>28600</v>
      </c>
      <c r="J37" s="172" t="n">
        <f aca="false">J34</f>
        <v>19525</v>
      </c>
      <c r="K37" s="172" t="n">
        <f aca="false">K34</f>
        <v>9570</v>
      </c>
      <c r="L37" s="172" t="n">
        <f aca="false">L34</f>
        <v>0</v>
      </c>
      <c r="M37" s="172" t="n">
        <f aca="false">M34</f>
        <v>0</v>
      </c>
      <c r="N37" s="172" t="n">
        <f aca="false">N34</f>
        <v>0</v>
      </c>
      <c r="O37" s="172" t="n">
        <f aca="false">O34</f>
        <v>0</v>
      </c>
      <c r="P37" s="172" t="n">
        <f aca="false">P34</f>
        <v>0</v>
      </c>
      <c r="Q37" s="172" t="n">
        <f aca="false">Q34</f>
        <v>0</v>
      </c>
      <c r="R37" s="172" t="n">
        <f aca="false">R34</f>
        <v>0</v>
      </c>
      <c r="S37" s="172" t="n">
        <f aca="false">S34</f>
        <v>0</v>
      </c>
      <c r="T37" s="172" t="n">
        <f aca="false">T34</f>
        <v>0</v>
      </c>
      <c r="U37" s="172" t="n">
        <f aca="false">U34</f>
        <v>0</v>
      </c>
      <c r="V37" s="4"/>
      <c r="W37" s="202"/>
      <c r="X37" s="202"/>
    </row>
    <row r="38" customFormat="false" ht="12.75" hidden="false" customHeight="false" outlineLevel="0" collapsed="false">
      <c r="A38" s="195" t="s">
        <v>129</v>
      </c>
      <c r="B38" s="201" t="n">
        <v>0</v>
      </c>
      <c r="C38" s="201" t="n">
        <v>0</v>
      </c>
      <c r="D38" s="201" t="n">
        <v>0</v>
      </c>
      <c r="E38" s="201" t="n">
        <v>0.0425</v>
      </c>
      <c r="F38" s="201" t="n">
        <v>0.0585</v>
      </c>
      <c r="G38" s="201" t="n">
        <v>0.0665</v>
      </c>
      <c r="H38" s="201" t="n">
        <v>0.0725</v>
      </c>
      <c r="I38" s="201" t="n">
        <v>0.0825</v>
      </c>
      <c r="J38" s="201" t="n">
        <v>0.0905</v>
      </c>
      <c r="K38" s="201" t="n">
        <v>0.12</v>
      </c>
      <c r="L38" s="172"/>
      <c r="M38" s="172"/>
      <c r="N38" s="172"/>
      <c r="O38" s="172"/>
      <c r="P38" s="172"/>
      <c r="Q38" s="172"/>
      <c r="R38" s="172"/>
      <c r="S38" s="172"/>
      <c r="T38" s="172"/>
      <c r="U38" s="172"/>
      <c r="W38" s="196"/>
      <c r="X38" s="196"/>
    </row>
    <row r="39" customFormat="false" ht="12.75" hidden="false" customHeight="false" outlineLevel="0" collapsed="false">
      <c r="A39" s="195" t="s">
        <v>130</v>
      </c>
      <c r="B39" s="172" t="n">
        <f aca="false">B38*$B$34</f>
        <v>0</v>
      </c>
      <c r="C39" s="172" t="n">
        <f aca="false">C38*$B$34</f>
        <v>0</v>
      </c>
      <c r="D39" s="172" t="n">
        <f aca="false">D38*$B$34</f>
        <v>0</v>
      </c>
      <c r="E39" s="172" t="n">
        <f aca="false">E38*$B$34</f>
        <v>2337.5</v>
      </c>
      <c r="F39" s="172" t="n">
        <f aca="false">F38*$B$34</f>
        <v>3217.5</v>
      </c>
      <c r="G39" s="172" t="n">
        <f aca="false">G38*$B$34</f>
        <v>3657.5</v>
      </c>
      <c r="H39" s="172" t="n">
        <f aca="false">H38*$B$34</f>
        <v>3987.5</v>
      </c>
      <c r="I39" s="172" t="n">
        <f aca="false">I38*$B$34</f>
        <v>4537.5</v>
      </c>
      <c r="J39" s="172" t="n">
        <f aca="false">J38*$B$34</f>
        <v>4977.5</v>
      </c>
      <c r="K39" s="172" t="n">
        <f aca="false">K38*$B$34</f>
        <v>6600</v>
      </c>
      <c r="L39" s="172" t="n">
        <f aca="false">L38*$B$34</f>
        <v>0</v>
      </c>
      <c r="M39" s="172" t="n">
        <f aca="false">M38*$B$34</f>
        <v>0</v>
      </c>
      <c r="N39" s="172" t="n">
        <f aca="false">N38*$B$34</f>
        <v>0</v>
      </c>
      <c r="O39" s="172" t="n">
        <f aca="false">O38*$B$34</f>
        <v>0</v>
      </c>
      <c r="P39" s="172" t="n">
        <f aca="false">P38*$B$34</f>
        <v>0</v>
      </c>
      <c r="Q39" s="172" t="n">
        <f aca="false">Q38*$B$34</f>
        <v>0</v>
      </c>
      <c r="R39" s="172" t="n">
        <f aca="false">R38*$B$34</f>
        <v>0</v>
      </c>
      <c r="S39" s="172" t="n">
        <f aca="false">S38*$B$34</f>
        <v>0</v>
      </c>
      <c r="T39" s="172" t="n">
        <f aca="false">T38*$B$34</f>
        <v>0</v>
      </c>
      <c r="U39" s="172" t="n">
        <f aca="false">U38*$B$34</f>
        <v>0</v>
      </c>
      <c r="V39" s="4"/>
      <c r="W39" s="202"/>
      <c r="X39" s="202"/>
    </row>
    <row r="40" customFormat="false" ht="12.75" hidden="false" customHeight="false" outlineLevel="0" collapsed="false">
      <c r="A40" s="195" t="s">
        <v>127</v>
      </c>
      <c r="B40" s="197" t="n">
        <f aca="false">B37*$J$97*(B36-B31)/365.25</f>
        <v>2981.51950718686</v>
      </c>
      <c r="C40" s="197" t="n">
        <f aca="false">C37*$J$97*(C36-C31)/365.25</f>
        <v>2981.51950718686</v>
      </c>
      <c r="D40" s="197" t="n">
        <f aca="false">D37*$J$97*(D36-D31)/365.25</f>
        <v>2981.51950718686</v>
      </c>
      <c r="E40" s="197" t="n">
        <f aca="false">E37*$J$97*(E36-E31)/365.25</f>
        <v>2998.08350444901</v>
      </c>
      <c r="F40" s="197" t="n">
        <f aca="false">F37*$J$97*(F36-F31)/365.25</f>
        <v>2728.09034907598</v>
      </c>
      <c r="G40" s="197" t="n">
        <f aca="false">G37*$J$97*(G36-G31)/365.25</f>
        <v>2379.25256673511</v>
      </c>
      <c r="H40" s="197" t="n">
        <f aca="false">H37*$J$97*(H36-H31)/365.25</f>
        <v>1982.71047227926</v>
      </c>
      <c r="I40" s="197" t="n">
        <f aca="false">I37*$J$97*(I36-I31)/365.25</f>
        <v>1559.00342231348</v>
      </c>
      <c r="J40" s="197" t="n">
        <f aca="false">J37*$J$97*(J36-J31)/365.25</f>
        <v>1058.43942505133</v>
      </c>
      <c r="K40" s="197" t="n">
        <f aca="false">K37*$J$97*(K36-K31)/365.25</f>
        <v>518.784394250513</v>
      </c>
      <c r="L40" s="197" t="n">
        <f aca="false">L37*$J$97*(L36-L31)/365.25</f>
        <v>0</v>
      </c>
      <c r="M40" s="197" t="n">
        <f aca="false">M37*$J$97*(M36-M31)/365.25</f>
        <v>0</v>
      </c>
      <c r="N40" s="197" t="n">
        <f aca="false">N37*$J$97*(N36-N31)/365.25</f>
        <v>0</v>
      </c>
      <c r="O40" s="197" t="n">
        <f aca="false">O37*$J$97*(O36-O31)/365.25</f>
        <v>0</v>
      </c>
      <c r="P40" s="197" t="n">
        <f aca="false">P37*$J$97*(P36-P31)/365.25</f>
        <v>0</v>
      </c>
      <c r="Q40" s="197" t="n">
        <f aca="false">Q37*$J$97*(Q36-Q31)/365.25</f>
        <v>0</v>
      </c>
      <c r="R40" s="197" t="n">
        <f aca="false">R37*$J$97*(R36-R31)/365.25</f>
        <v>0</v>
      </c>
      <c r="S40" s="197" t="n">
        <f aca="false">S37*$J$97*(S36-S31)/365.25</f>
        <v>0</v>
      </c>
      <c r="T40" s="197" t="n">
        <f aca="false">T37*$J$97*(T36-T31)/365.25</f>
        <v>0</v>
      </c>
      <c r="U40" s="197" t="n">
        <f aca="false">U37*$J$97*(U36-U31)/365.25</f>
        <v>0</v>
      </c>
      <c r="V40" s="4"/>
      <c r="W40" s="202"/>
      <c r="X40" s="202"/>
    </row>
    <row r="41" customFormat="false" ht="12.75" hidden="false" customHeight="false" outlineLevel="0" collapsed="false">
      <c r="A41" s="195" t="s">
        <v>128</v>
      </c>
      <c r="B41" s="172" t="n">
        <f aca="false">B37-B39</f>
        <v>55000</v>
      </c>
      <c r="C41" s="172" t="n">
        <f aca="false">C37-C39</f>
        <v>55000</v>
      </c>
      <c r="D41" s="172" t="n">
        <f aca="false">D37-D39</f>
        <v>55000</v>
      </c>
      <c r="E41" s="172" t="n">
        <f aca="false">E37-E39</f>
        <v>52662.5</v>
      </c>
      <c r="F41" s="172" t="n">
        <f aca="false">F37-F39</f>
        <v>47107.5</v>
      </c>
      <c r="G41" s="172" t="n">
        <f aca="false">G37-G39</f>
        <v>40232.5</v>
      </c>
      <c r="H41" s="172" t="n">
        <f aca="false">H37-H39</f>
        <v>32587.5</v>
      </c>
      <c r="I41" s="172" t="n">
        <f aca="false">I37-I39</f>
        <v>24062.5</v>
      </c>
      <c r="J41" s="172" t="n">
        <f aca="false">J37-J39</f>
        <v>14547.5</v>
      </c>
      <c r="K41" s="172" t="n">
        <f aca="false">K37-K39</f>
        <v>2970</v>
      </c>
      <c r="L41" s="172" t="n">
        <f aca="false">L37-L39</f>
        <v>0</v>
      </c>
      <c r="M41" s="172" t="n">
        <f aca="false">M37-M39</f>
        <v>0</v>
      </c>
      <c r="N41" s="172" t="n">
        <f aca="false">N37-N39</f>
        <v>0</v>
      </c>
      <c r="O41" s="172" t="n">
        <f aca="false">O37-O39</f>
        <v>0</v>
      </c>
      <c r="P41" s="172" t="n">
        <f aca="false">P37-P39</f>
        <v>0</v>
      </c>
      <c r="Q41" s="172" t="n">
        <f aca="false">Q37-Q39</f>
        <v>0</v>
      </c>
      <c r="R41" s="172" t="n">
        <f aca="false">R37-R39</f>
        <v>0</v>
      </c>
      <c r="S41" s="172" t="n">
        <f aca="false">S37-S39</f>
        <v>0</v>
      </c>
      <c r="T41" s="172" t="n">
        <f aca="false">T37-T39</f>
        <v>0</v>
      </c>
      <c r="U41" s="172" t="n">
        <f aca="false">U37-U39</f>
        <v>0</v>
      </c>
      <c r="V41" s="4"/>
      <c r="W41" s="202"/>
      <c r="X41" s="202"/>
    </row>
    <row r="42" customFormat="false" ht="12.75" hidden="false" customHeight="false" outlineLevel="0" collapsed="false">
      <c r="A42" s="195"/>
      <c r="B42" s="203"/>
      <c r="C42" s="203"/>
      <c r="D42" s="203"/>
      <c r="E42" s="203"/>
      <c r="F42" s="203"/>
      <c r="G42" s="203"/>
      <c r="H42" s="203"/>
      <c r="I42" s="203"/>
      <c r="J42" s="203"/>
      <c r="K42" s="203"/>
      <c r="L42" s="203"/>
      <c r="M42" s="203"/>
      <c r="N42" s="203"/>
      <c r="O42" s="203"/>
      <c r="P42" s="203"/>
      <c r="Q42" s="203"/>
      <c r="R42" s="203"/>
      <c r="S42" s="203"/>
      <c r="T42" s="203"/>
      <c r="U42" s="203"/>
      <c r="W42" s="196"/>
      <c r="X42" s="196"/>
    </row>
    <row r="43" customFormat="false" ht="12.75" hidden="false" customHeight="false" outlineLevel="0" collapsed="false">
      <c r="A43" s="168"/>
      <c r="B43" s="193" t="n">
        <v>37256</v>
      </c>
      <c r="C43" s="193" t="n">
        <v>37621</v>
      </c>
      <c r="D43" s="193" t="n">
        <v>37986</v>
      </c>
      <c r="E43" s="193" t="n">
        <v>38352</v>
      </c>
      <c r="F43" s="193" t="n">
        <v>38717</v>
      </c>
      <c r="G43" s="193" t="n">
        <v>39082</v>
      </c>
      <c r="H43" s="193" t="n">
        <v>39447</v>
      </c>
      <c r="I43" s="193" t="n">
        <v>39813</v>
      </c>
      <c r="J43" s="193" t="n">
        <v>40178</v>
      </c>
      <c r="K43" s="193" t="n">
        <v>40543</v>
      </c>
      <c r="L43" s="193" t="n">
        <v>40908</v>
      </c>
      <c r="M43" s="193" t="n">
        <v>41274</v>
      </c>
      <c r="N43" s="193" t="n">
        <v>41639</v>
      </c>
      <c r="O43" s="193" t="n">
        <v>42004</v>
      </c>
      <c r="P43" s="193" t="n">
        <v>42369</v>
      </c>
      <c r="Q43" s="193" t="n">
        <v>42735</v>
      </c>
      <c r="R43" s="193" t="n">
        <v>43100</v>
      </c>
      <c r="S43" s="193" t="n">
        <v>43465</v>
      </c>
      <c r="T43" s="193" t="n">
        <v>43830</v>
      </c>
      <c r="U43" s="193" t="n">
        <v>44196</v>
      </c>
      <c r="W43" s="196"/>
      <c r="X43" s="196"/>
    </row>
    <row r="44" customFormat="false" ht="12.75" hidden="false" customHeight="false" outlineLevel="0" collapsed="false">
      <c r="A44" s="195" t="s">
        <v>126</v>
      </c>
      <c r="B44" s="172" t="n">
        <f aca="false">B41</f>
        <v>55000</v>
      </c>
      <c r="C44" s="172" t="n">
        <f aca="false">C41</f>
        <v>55000</v>
      </c>
      <c r="D44" s="172" t="n">
        <f aca="false">D41</f>
        <v>55000</v>
      </c>
      <c r="E44" s="172" t="n">
        <f aca="false">E41</f>
        <v>52662.5</v>
      </c>
      <c r="F44" s="172" t="n">
        <f aca="false">F41</f>
        <v>47107.5</v>
      </c>
      <c r="G44" s="172" t="n">
        <f aca="false">G41</f>
        <v>40232.5</v>
      </c>
      <c r="H44" s="172" t="n">
        <f aca="false">H41</f>
        <v>32587.5</v>
      </c>
      <c r="I44" s="172" t="n">
        <f aca="false">I41</f>
        <v>24062.5</v>
      </c>
      <c r="J44" s="172" t="n">
        <f aca="false">J41</f>
        <v>14547.5</v>
      </c>
      <c r="K44" s="172" t="n">
        <f aca="false">K41</f>
        <v>2970</v>
      </c>
      <c r="L44" s="172" t="n">
        <f aca="false">L41</f>
        <v>0</v>
      </c>
      <c r="M44" s="172" t="n">
        <f aca="false">M41</f>
        <v>0</v>
      </c>
      <c r="N44" s="172" t="n">
        <f aca="false">N41</f>
        <v>0</v>
      </c>
      <c r="O44" s="172" t="n">
        <f aca="false">O41</f>
        <v>0</v>
      </c>
      <c r="P44" s="172" t="n">
        <f aca="false">P41</f>
        <v>0</v>
      </c>
      <c r="Q44" s="172" t="n">
        <f aca="false">Q41</f>
        <v>0</v>
      </c>
      <c r="R44" s="172" t="n">
        <f aca="false">R41</f>
        <v>0</v>
      </c>
      <c r="S44" s="172" t="n">
        <f aca="false">S41</f>
        <v>0</v>
      </c>
      <c r="T44" s="172" t="n">
        <f aca="false">T41</f>
        <v>0</v>
      </c>
      <c r="U44" s="172" t="n">
        <f aca="false">U41</f>
        <v>0</v>
      </c>
      <c r="W44" s="196"/>
      <c r="X44" s="196"/>
    </row>
    <row r="45" customFormat="false" ht="12.75" hidden="false" customHeight="false" outlineLevel="0" collapsed="false">
      <c r="A45" s="195" t="s">
        <v>129</v>
      </c>
      <c r="B45" s="201" t="n">
        <v>0</v>
      </c>
      <c r="C45" s="201" t="n">
        <v>0</v>
      </c>
      <c r="D45" s="201" t="n">
        <v>0</v>
      </c>
      <c r="E45" s="201" t="n">
        <v>0.0425</v>
      </c>
      <c r="F45" s="201" t="n">
        <v>0.0585</v>
      </c>
      <c r="G45" s="201" t="n">
        <v>0.0665</v>
      </c>
      <c r="H45" s="201" t="n">
        <v>0.0725</v>
      </c>
      <c r="I45" s="201" t="n">
        <v>0.0825</v>
      </c>
      <c r="J45" s="201" t="n">
        <v>0.0905</v>
      </c>
      <c r="K45" s="201" t="n">
        <v>0.0539999999999999</v>
      </c>
      <c r="L45" s="172"/>
      <c r="M45" s="172"/>
      <c r="N45" s="172"/>
      <c r="O45" s="172"/>
      <c r="P45" s="172"/>
      <c r="Q45" s="172"/>
      <c r="R45" s="172"/>
      <c r="S45" s="172"/>
      <c r="T45" s="172"/>
      <c r="U45" s="172"/>
      <c r="W45" s="196"/>
      <c r="X45" s="196"/>
    </row>
    <row r="46" customFormat="false" ht="12.75" hidden="false" customHeight="false" outlineLevel="0" collapsed="false">
      <c r="A46" s="195" t="s">
        <v>130</v>
      </c>
      <c r="B46" s="172" t="n">
        <f aca="false">B45*$B$34</f>
        <v>0</v>
      </c>
      <c r="C46" s="172" t="n">
        <f aca="false">C45*$B$34</f>
        <v>0</v>
      </c>
      <c r="D46" s="172" t="n">
        <f aca="false">D45*$B$34</f>
        <v>0</v>
      </c>
      <c r="E46" s="172" t="n">
        <f aca="false">E45*$B$34</f>
        <v>2337.5</v>
      </c>
      <c r="F46" s="172" t="n">
        <f aca="false">F45*$B$34</f>
        <v>3217.5</v>
      </c>
      <c r="G46" s="172" t="n">
        <f aca="false">G45*$B$34</f>
        <v>3657.5</v>
      </c>
      <c r="H46" s="172" t="n">
        <f aca="false">H45*$B$34</f>
        <v>3987.5</v>
      </c>
      <c r="I46" s="172" t="n">
        <f aca="false">I45*$B$34</f>
        <v>4537.5</v>
      </c>
      <c r="J46" s="172" t="n">
        <f aca="false">J45*$B$34</f>
        <v>4977.5</v>
      </c>
      <c r="K46" s="172" t="n">
        <f aca="false">K45*$B$34</f>
        <v>2970</v>
      </c>
      <c r="L46" s="172" t="n">
        <f aca="false">L45*$B$34</f>
        <v>0</v>
      </c>
      <c r="M46" s="172" t="n">
        <f aca="false">M45*$B$34</f>
        <v>0</v>
      </c>
      <c r="N46" s="172" t="n">
        <f aca="false">N45*$B$34</f>
        <v>0</v>
      </c>
      <c r="O46" s="172" t="n">
        <f aca="false">O45*$B$34</f>
        <v>0</v>
      </c>
      <c r="P46" s="172" t="n">
        <f aca="false">P45*$B$34</f>
        <v>0</v>
      </c>
      <c r="Q46" s="172" t="n">
        <f aca="false">Q45*$B$34</f>
        <v>0</v>
      </c>
      <c r="R46" s="172" t="n">
        <f aca="false">R45*$B$34</f>
        <v>0</v>
      </c>
      <c r="S46" s="172" t="n">
        <f aca="false">S45*$B$34</f>
        <v>0</v>
      </c>
      <c r="T46" s="172" t="n">
        <f aca="false">T45*$B$34</f>
        <v>0</v>
      </c>
      <c r="U46" s="172" t="n">
        <f aca="false">U45*$B$34</f>
        <v>0</v>
      </c>
      <c r="W46" s="196"/>
      <c r="X46" s="196"/>
    </row>
    <row r="47" customFormat="false" ht="12.75" hidden="false" customHeight="false" outlineLevel="0" collapsed="false">
      <c r="A47" s="195" t="s">
        <v>127</v>
      </c>
      <c r="B47" s="197" t="n">
        <f aca="false">B44*$J$97*(B43-B36)/365.25</f>
        <v>3047.77549623546</v>
      </c>
      <c r="C47" s="197" t="n">
        <f aca="false">C44*$J$97*(C43-C36)/365.25</f>
        <v>3047.77549623546</v>
      </c>
      <c r="D47" s="197" t="n">
        <f aca="false">D44*$J$97*(D43-D36)/365.25</f>
        <v>3047.77549623546</v>
      </c>
      <c r="E47" s="197" t="n">
        <f aca="false">E44*$J$97*(E43-E36)/365.25</f>
        <v>2918.24503764545</v>
      </c>
      <c r="F47" s="197" t="n">
        <f aca="false">F44*$J$97*(F43-F36)/365.25</f>
        <v>2610.41971252567</v>
      </c>
      <c r="G47" s="197" t="n">
        <f aca="false">G44*$J$97*(G43-G36)/365.25</f>
        <v>2229.44777549624</v>
      </c>
      <c r="H47" s="197" t="n">
        <f aca="false">H44*$J$97*(H43-H36)/365.25</f>
        <v>1805.80698151951</v>
      </c>
      <c r="I47" s="197" t="n">
        <f aca="false">I44*$J$97*(I43-I36)/365.25</f>
        <v>1333.40177960301</v>
      </c>
      <c r="J47" s="197" t="n">
        <f aca="false">J44*$J$97*(J43-J36)/365.25</f>
        <v>806.136618754278</v>
      </c>
      <c r="K47" s="197" t="n">
        <f aca="false">K44*$J$97*(K43-K36)/365.25</f>
        <v>164.579876796715</v>
      </c>
      <c r="L47" s="197" t="n">
        <f aca="false">L44*$J$97*(L43-L36)/365.25</f>
        <v>0</v>
      </c>
      <c r="M47" s="197" t="n">
        <f aca="false">M44*$J$97*(M43-M36)/365.25</f>
        <v>0</v>
      </c>
      <c r="N47" s="197" t="n">
        <f aca="false">N44*$J$97*(N43-N36)/365.25</f>
        <v>0</v>
      </c>
      <c r="O47" s="197" t="n">
        <f aca="false">O44*$J$97*(O43-O36)/365.25</f>
        <v>0</v>
      </c>
      <c r="P47" s="197" t="n">
        <f aca="false">P44*$J$97*(P43-P36)/365.25</f>
        <v>0</v>
      </c>
      <c r="Q47" s="197" t="n">
        <f aca="false">Q44*$J$97*(Q43-Q36)/365.25</f>
        <v>0</v>
      </c>
      <c r="R47" s="197" t="n">
        <f aca="false">R44*$J$97*(R43-R36)/365.25</f>
        <v>0</v>
      </c>
      <c r="S47" s="197" t="n">
        <f aca="false">S44*$J$97*(S43-S36)/365.25</f>
        <v>0</v>
      </c>
      <c r="T47" s="197" t="n">
        <f aca="false">T44*$J$97*(T43-T36)/365.25</f>
        <v>0</v>
      </c>
      <c r="U47" s="197" t="n">
        <f aca="false">U44*$J$97*(U43-U36)/365.25</f>
        <v>0</v>
      </c>
      <c r="W47" s="196"/>
      <c r="X47" s="196"/>
    </row>
    <row r="48" customFormat="false" ht="12.75" hidden="false" customHeight="false" outlineLevel="0" collapsed="false">
      <c r="A48" s="195" t="s">
        <v>128</v>
      </c>
      <c r="B48" s="172" t="n">
        <f aca="false">B44-B46</f>
        <v>55000</v>
      </c>
      <c r="C48" s="172" t="n">
        <f aca="false">C44-C46</f>
        <v>55000</v>
      </c>
      <c r="D48" s="172" t="n">
        <f aca="false">D44-D46</f>
        <v>55000</v>
      </c>
      <c r="E48" s="172" t="n">
        <f aca="false">E44-E46</f>
        <v>50325</v>
      </c>
      <c r="F48" s="172" t="n">
        <f aca="false">F44-F46</f>
        <v>43890</v>
      </c>
      <c r="G48" s="172" t="n">
        <f aca="false">G44-G46</f>
        <v>36575</v>
      </c>
      <c r="H48" s="172" t="n">
        <f aca="false">H44-H46</f>
        <v>28600</v>
      </c>
      <c r="I48" s="172" t="n">
        <f aca="false">I44-I46</f>
        <v>19525</v>
      </c>
      <c r="J48" s="172" t="n">
        <f aca="false">J44-J46</f>
        <v>9570</v>
      </c>
      <c r="K48" s="172" t="n">
        <f aca="false">K44-K46</f>
        <v>0</v>
      </c>
      <c r="L48" s="172" t="n">
        <f aca="false">L44-L46</f>
        <v>0</v>
      </c>
      <c r="M48" s="172" t="n">
        <f aca="false">M44-M46</f>
        <v>0</v>
      </c>
      <c r="N48" s="172" t="n">
        <f aca="false">N44-N46</f>
        <v>0</v>
      </c>
      <c r="O48" s="172" t="n">
        <f aca="false">O44-O46</f>
        <v>0</v>
      </c>
      <c r="P48" s="172" t="n">
        <f aca="false">P44-P46</f>
        <v>0</v>
      </c>
      <c r="Q48" s="172" t="n">
        <f aca="false">Q44-Q46</f>
        <v>0</v>
      </c>
      <c r="R48" s="172" t="n">
        <f aca="false">R44-R46</f>
        <v>0</v>
      </c>
      <c r="S48" s="172" t="n">
        <f aca="false">S44-S46</f>
        <v>0</v>
      </c>
      <c r="T48" s="172" t="n">
        <f aca="false">T44-T46</f>
        <v>0</v>
      </c>
      <c r="U48" s="172" t="n">
        <f aca="false">U44-U46</f>
        <v>0</v>
      </c>
      <c r="W48" s="196"/>
      <c r="X48" s="196"/>
    </row>
    <row r="49" customFormat="false" ht="12.75" hidden="false" customHeight="false" outlineLevel="0" collapsed="false">
      <c r="A49" s="195"/>
      <c r="B49" s="200"/>
      <c r="C49" s="200"/>
      <c r="D49" s="200"/>
      <c r="E49" s="200"/>
      <c r="F49" s="200"/>
      <c r="G49" s="200"/>
      <c r="H49" s="200"/>
      <c r="I49" s="200"/>
      <c r="J49" s="200"/>
      <c r="K49" s="200"/>
      <c r="L49" s="200"/>
      <c r="M49" s="200"/>
      <c r="N49" s="200"/>
      <c r="O49" s="200"/>
      <c r="P49" s="200"/>
      <c r="Q49" s="200"/>
      <c r="R49" s="200"/>
      <c r="S49" s="200"/>
      <c r="T49" s="200"/>
      <c r="U49" s="200"/>
      <c r="W49" s="196"/>
      <c r="X49" s="196"/>
    </row>
    <row r="50" customFormat="false" ht="12.75" hidden="false" customHeight="false" outlineLevel="0" collapsed="false">
      <c r="A50" s="192" t="s">
        <v>14</v>
      </c>
      <c r="B50" s="4"/>
      <c r="C50" s="191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W50" s="196"/>
      <c r="X50" s="196"/>
    </row>
    <row r="51" customFormat="false" ht="12.75" hidden="false" customHeight="false" outlineLevel="0" collapsed="false">
      <c r="B51" s="193" t="n">
        <f aca="false">'Summary Output'!$B$14</f>
        <v>36892</v>
      </c>
      <c r="C51" s="193" t="n">
        <v>37257</v>
      </c>
      <c r="D51" s="193" t="n">
        <v>37622</v>
      </c>
      <c r="E51" s="193" t="n">
        <v>37987</v>
      </c>
      <c r="F51" s="193" t="n">
        <v>38353</v>
      </c>
      <c r="G51" s="193" t="n">
        <v>38718</v>
      </c>
      <c r="H51" s="193" t="n">
        <v>39083</v>
      </c>
      <c r="I51" s="193" t="n">
        <v>39448</v>
      </c>
      <c r="J51" s="193" t="n">
        <v>39814</v>
      </c>
      <c r="K51" s="193" t="n">
        <v>40179</v>
      </c>
      <c r="L51" s="193" t="n">
        <v>40544</v>
      </c>
      <c r="M51" s="193" t="n">
        <v>40909</v>
      </c>
      <c r="N51" s="193" t="n">
        <v>41275</v>
      </c>
      <c r="O51" s="193" t="n">
        <v>41640</v>
      </c>
      <c r="P51" s="193" t="n">
        <v>42005</v>
      </c>
      <c r="Q51" s="193" t="n">
        <v>42370</v>
      </c>
      <c r="R51" s="193" t="n">
        <v>42736</v>
      </c>
      <c r="S51" s="193" t="n">
        <v>43101</v>
      </c>
      <c r="T51" s="193" t="n">
        <v>43466</v>
      </c>
      <c r="U51" s="193" t="n">
        <v>43831</v>
      </c>
      <c r="W51" s="196"/>
      <c r="X51" s="196"/>
    </row>
    <row r="52" customFormat="false" ht="12.75" hidden="false" customHeight="false" outlineLevel="0" collapsed="false">
      <c r="A52" s="195" t="s">
        <v>126</v>
      </c>
      <c r="B52" s="172" t="n">
        <v>0</v>
      </c>
      <c r="C52" s="172" t="n">
        <f aca="false">B68</f>
        <v>296000</v>
      </c>
      <c r="D52" s="172" t="n">
        <f aca="false">C68</f>
        <v>296000</v>
      </c>
      <c r="E52" s="172" t="n">
        <f aca="false">D68</f>
        <v>296000</v>
      </c>
      <c r="F52" s="172" t="n">
        <f aca="false">E68</f>
        <v>296000</v>
      </c>
      <c r="G52" s="172" t="n">
        <f aca="false">F68</f>
        <v>296000</v>
      </c>
      <c r="H52" s="172" t="n">
        <f aca="false">G68</f>
        <v>296000</v>
      </c>
      <c r="I52" s="172" t="n">
        <f aca="false">H68</f>
        <v>296000</v>
      </c>
      <c r="J52" s="172" t="n">
        <f aca="false">I68</f>
        <v>296000</v>
      </c>
      <c r="K52" s="172" t="n">
        <f aca="false">J68</f>
        <v>296000</v>
      </c>
      <c r="L52" s="172" t="n">
        <f aca="false">K68</f>
        <v>291560</v>
      </c>
      <c r="M52" s="172" t="n">
        <f aca="false">L68</f>
        <v>261960</v>
      </c>
      <c r="N52" s="172" t="n">
        <f aca="false">M68</f>
        <v>232360</v>
      </c>
      <c r="O52" s="172" t="n">
        <f aca="false">N68</f>
        <v>202760</v>
      </c>
      <c r="P52" s="172" t="n">
        <f aca="false">O68</f>
        <v>173160</v>
      </c>
      <c r="Q52" s="172" t="n">
        <f aca="false">P68</f>
        <v>142080</v>
      </c>
      <c r="R52" s="172" t="n">
        <f aca="false">Q68</f>
        <v>109520</v>
      </c>
      <c r="S52" s="172" t="n">
        <f aca="false">R68</f>
        <v>76960</v>
      </c>
      <c r="T52" s="172" t="n">
        <f aca="false">S68</f>
        <v>50320</v>
      </c>
      <c r="U52" s="172" t="n">
        <f aca="false">T68</f>
        <v>23680</v>
      </c>
      <c r="W52" s="196"/>
      <c r="X52" s="196"/>
    </row>
    <row r="53" customFormat="false" ht="12.75" hidden="false" customHeight="false" outlineLevel="0" collapsed="false">
      <c r="A53" s="204" t="s">
        <v>127</v>
      </c>
      <c r="B53" s="197" t="n">
        <v>0</v>
      </c>
      <c r="C53" s="197" t="n">
        <f aca="false">C52*$O$97*(C51-B63)/365.25</f>
        <v>90.7652292950034</v>
      </c>
      <c r="D53" s="197" t="n">
        <f aca="false">D52*$O$97*(D51-C63)/365.25</f>
        <v>90.7652292950034</v>
      </c>
      <c r="E53" s="197" t="n">
        <f aca="false">E52*$O$97*(E51-D63)/365.25</f>
        <v>90.7652292950034</v>
      </c>
      <c r="F53" s="197" t="n">
        <f aca="false">F52*$O$97*(F51-E63)/365.25</f>
        <v>90.7652292950034</v>
      </c>
      <c r="G53" s="197" t="n">
        <f aca="false">G52*$O$97*(G51-F63)/365.25</f>
        <v>90.7652292950034</v>
      </c>
      <c r="H53" s="197" t="n">
        <f aca="false">H52*$O$97*(H51-G63)/365.25</f>
        <v>90.7652292950034</v>
      </c>
      <c r="I53" s="197" t="n">
        <f aca="false">I52*$O$97*(I51-H63)/365.25</f>
        <v>90.7652292950034</v>
      </c>
      <c r="J53" s="197" t="n">
        <f aca="false">J52*$O$97*(J51-I63)/365.25</f>
        <v>90.7652292950034</v>
      </c>
      <c r="K53" s="197" t="n">
        <f aca="false">K52*$O$97*(K51-J63)/365.25</f>
        <v>90.7652292950034</v>
      </c>
      <c r="L53" s="197" t="n">
        <f aca="false">L52*$O$97*(L51-K63)/365.25</f>
        <v>89.4037508555784</v>
      </c>
      <c r="M53" s="197" t="n">
        <f aca="false">M52*$O$97*(M51-L63)/365.25</f>
        <v>80.327227926078</v>
      </c>
      <c r="N53" s="197" t="n">
        <f aca="false">N52*$O$97*(N51-M63)/365.25</f>
        <v>71.2507049965777</v>
      </c>
      <c r="O53" s="197" t="n">
        <f aca="false">O52*$O$97*(O51-N63)/365.25</f>
        <v>62.1741820670773</v>
      </c>
      <c r="P53" s="197" t="n">
        <f aca="false">P52*$O$97*(P51-O63)/365.25</f>
        <v>53.097659137577</v>
      </c>
      <c r="Q53" s="197" t="n">
        <f aca="false">Q52*$O$97*(Q51-P63)/365.25</f>
        <v>43.5673100616016</v>
      </c>
      <c r="R53" s="197" t="n">
        <f aca="false">R52*$O$97*(R51-Q63)/365.25</f>
        <v>33.5831348391513</v>
      </c>
      <c r="S53" s="197" t="n">
        <f aca="false">S52*$O$97*(S51-R63)/365.25</f>
        <v>23.5989596167009</v>
      </c>
      <c r="T53" s="197" t="n">
        <f aca="false">T52*$O$97*(T51-S63)/365.25</f>
        <v>15.4300889801506</v>
      </c>
      <c r="U53" s="197" t="n">
        <f aca="false">U52*$O$97*(U51-T63)/365.25</f>
        <v>7.26121834360027</v>
      </c>
      <c r="W53" s="196"/>
      <c r="X53" s="196"/>
    </row>
    <row r="54" customFormat="false" ht="12.75" hidden="false" customHeight="false" outlineLevel="0" collapsed="false">
      <c r="A54" s="204" t="s">
        <v>128</v>
      </c>
      <c r="B54" s="160" t="n">
        <f aca="false">'Summary Output'!D15</f>
        <v>296000</v>
      </c>
      <c r="C54" s="172" t="n">
        <f aca="false">C52</f>
        <v>296000</v>
      </c>
      <c r="D54" s="172" t="n">
        <f aca="false">D52</f>
        <v>296000</v>
      </c>
      <c r="E54" s="172" t="n">
        <f aca="false">E52</f>
        <v>296000</v>
      </c>
      <c r="F54" s="172" t="n">
        <f aca="false">F52</f>
        <v>296000</v>
      </c>
      <c r="G54" s="172" t="n">
        <f aca="false">G52</f>
        <v>296000</v>
      </c>
      <c r="H54" s="172" t="n">
        <f aca="false">H52</f>
        <v>296000</v>
      </c>
      <c r="I54" s="172" t="n">
        <f aca="false">I52</f>
        <v>296000</v>
      </c>
      <c r="J54" s="172" t="n">
        <f aca="false">J52</f>
        <v>296000</v>
      </c>
      <c r="K54" s="172" t="n">
        <f aca="false">K52</f>
        <v>296000</v>
      </c>
      <c r="L54" s="172" t="n">
        <f aca="false">L52</f>
        <v>291560</v>
      </c>
      <c r="M54" s="172" t="n">
        <f aca="false">M52</f>
        <v>261960</v>
      </c>
      <c r="N54" s="172" t="n">
        <f aca="false">N52</f>
        <v>232360</v>
      </c>
      <c r="O54" s="172" t="n">
        <f aca="false">O52</f>
        <v>202760</v>
      </c>
      <c r="P54" s="172" t="n">
        <f aca="false">P52</f>
        <v>173160</v>
      </c>
      <c r="Q54" s="172" t="n">
        <f aca="false">Q52</f>
        <v>142080</v>
      </c>
      <c r="R54" s="172" t="n">
        <f aca="false">R52</f>
        <v>109520</v>
      </c>
      <c r="S54" s="172" t="n">
        <f aca="false">S52</f>
        <v>76960</v>
      </c>
      <c r="T54" s="172" t="n">
        <f aca="false">T52</f>
        <v>50320</v>
      </c>
      <c r="U54" s="172" t="n">
        <f aca="false">U52</f>
        <v>23680</v>
      </c>
      <c r="W54" s="198" t="n">
        <f aca="false">SUM(B59:U59,B66:U66)</f>
        <v>296000</v>
      </c>
      <c r="X54" s="199" t="n">
        <f aca="false">B54-W54</f>
        <v>0</v>
      </c>
    </row>
    <row r="55" customFormat="false" ht="12.75" hidden="false" customHeight="false" outlineLevel="0" collapsed="false">
      <c r="B55" s="200"/>
      <c r="C55" s="191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W55" s="196"/>
      <c r="X55" s="196"/>
    </row>
    <row r="56" customFormat="false" ht="12.75" hidden="false" customHeight="false" outlineLevel="0" collapsed="false">
      <c r="A56" s="191"/>
      <c r="B56" s="193" t="n">
        <v>37072</v>
      </c>
      <c r="C56" s="193" t="n">
        <v>37437</v>
      </c>
      <c r="D56" s="193" t="n">
        <v>37802</v>
      </c>
      <c r="E56" s="193" t="n">
        <v>38168</v>
      </c>
      <c r="F56" s="193" t="n">
        <v>38533</v>
      </c>
      <c r="G56" s="193" t="n">
        <v>38898</v>
      </c>
      <c r="H56" s="193" t="n">
        <v>39263</v>
      </c>
      <c r="I56" s="193" t="n">
        <v>39629</v>
      </c>
      <c r="J56" s="193" t="n">
        <v>39994</v>
      </c>
      <c r="K56" s="193" t="n">
        <v>40359</v>
      </c>
      <c r="L56" s="193" t="n">
        <v>40724</v>
      </c>
      <c r="M56" s="193" t="n">
        <v>41090</v>
      </c>
      <c r="N56" s="193" t="n">
        <v>41455</v>
      </c>
      <c r="O56" s="193" t="n">
        <v>41820</v>
      </c>
      <c r="P56" s="193" t="n">
        <v>42185</v>
      </c>
      <c r="Q56" s="193" t="n">
        <v>42551</v>
      </c>
      <c r="R56" s="193" t="n">
        <v>42916</v>
      </c>
      <c r="S56" s="193" t="n">
        <v>43281</v>
      </c>
      <c r="T56" s="193" t="n">
        <v>43646</v>
      </c>
      <c r="U56" s="193" t="n">
        <v>44012</v>
      </c>
      <c r="W56" s="196"/>
      <c r="X56" s="196"/>
    </row>
    <row r="57" customFormat="false" ht="12.75" hidden="false" customHeight="false" outlineLevel="0" collapsed="false">
      <c r="A57" s="204" t="s">
        <v>126</v>
      </c>
      <c r="B57" s="172" t="n">
        <f aca="false">B54</f>
        <v>296000</v>
      </c>
      <c r="C57" s="172" t="n">
        <f aca="false">C54</f>
        <v>296000</v>
      </c>
      <c r="D57" s="172" t="n">
        <f aca="false">D54</f>
        <v>296000</v>
      </c>
      <c r="E57" s="172" t="n">
        <f aca="false">E54</f>
        <v>296000</v>
      </c>
      <c r="F57" s="172" t="n">
        <f aca="false">F54</f>
        <v>296000</v>
      </c>
      <c r="G57" s="172" t="n">
        <f aca="false">G54</f>
        <v>296000</v>
      </c>
      <c r="H57" s="172" t="n">
        <f aca="false">H54</f>
        <v>296000</v>
      </c>
      <c r="I57" s="172" t="n">
        <f aca="false">I54</f>
        <v>296000</v>
      </c>
      <c r="J57" s="172" t="n">
        <f aca="false">J54</f>
        <v>296000</v>
      </c>
      <c r="K57" s="172" t="n">
        <f aca="false">K54</f>
        <v>296000</v>
      </c>
      <c r="L57" s="172" t="n">
        <f aca="false">L54</f>
        <v>291560</v>
      </c>
      <c r="M57" s="172" t="n">
        <f aca="false">M54</f>
        <v>261960</v>
      </c>
      <c r="N57" s="172" t="n">
        <f aca="false">N54</f>
        <v>232360</v>
      </c>
      <c r="O57" s="172" t="n">
        <f aca="false">O54</f>
        <v>202760</v>
      </c>
      <c r="P57" s="172" t="n">
        <f aca="false">P54</f>
        <v>173160</v>
      </c>
      <c r="Q57" s="172" t="n">
        <f aca="false">Q54</f>
        <v>142080</v>
      </c>
      <c r="R57" s="172" t="n">
        <f aca="false">R54</f>
        <v>109520</v>
      </c>
      <c r="S57" s="172" t="n">
        <f aca="false">S54</f>
        <v>76960</v>
      </c>
      <c r="T57" s="172" t="n">
        <f aca="false">T54</f>
        <v>50320</v>
      </c>
      <c r="U57" s="172" t="n">
        <f aca="false">U54</f>
        <v>23680</v>
      </c>
      <c r="W57" s="196"/>
      <c r="X57" s="196"/>
    </row>
    <row r="58" customFormat="false" ht="12.75" hidden="false" customHeight="false" outlineLevel="0" collapsed="false">
      <c r="A58" s="195" t="s">
        <v>129</v>
      </c>
      <c r="B58" s="201" t="n">
        <v>0</v>
      </c>
      <c r="C58" s="201" t="n">
        <v>0</v>
      </c>
      <c r="D58" s="201" t="n">
        <v>0</v>
      </c>
      <c r="E58" s="201" t="n">
        <v>0</v>
      </c>
      <c r="F58" s="201" t="n">
        <v>0</v>
      </c>
      <c r="G58" s="201" t="n">
        <v>0</v>
      </c>
      <c r="H58" s="201" t="n">
        <v>0</v>
      </c>
      <c r="I58" s="201" t="n">
        <v>0</v>
      </c>
      <c r="J58" s="201" t="n">
        <v>0</v>
      </c>
      <c r="K58" s="201" t="n">
        <v>0</v>
      </c>
      <c r="L58" s="201" t="n">
        <v>0.05</v>
      </c>
      <c r="M58" s="201" t="n">
        <v>0.05</v>
      </c>
      <c r="N58" s="201" t="n">
        <v>0.05</v>
      </c>
      <c r="O58" s="201" t="n">
        <v>0.05</v>
      </c>
      <c r="P58" s="201" t="n">
        <v>0.0525</v>
      </c>
      <c r="Q58" s="201" t="n">
        <v>0.055</v>
      </c>
      <c r="R58" s="201" t="n">
        <v>0.055</v>
      </c>
      <c r="S58" s="201" t="n">
        <v>0.045</v>
      </c>
      <c r="T58" s="201" t="n">
        <v>0.045</v>
      </c>
      <c r="U58" s="201" t="n">
        <v>0.045</v>
      </c>
      <c r="W58" s="196"/>
      <c r="X58" s="196"/>
    </row>
    <row r="59" customFormat="false" ht="12.75" hidden="false" customHeight="false" outlineLevel="0" collapsed="false">
      <c r="A59" s="204" t="s">
        <v>130</v>
      </c>
      <c r="B59" s="172" t="n">
        <f aca="false">$B$54*B58</f>
        <v>0</v>
      </c>
      <c r="C59" s="172" t="n">
        <f aca="false">$B$54*C58</f>
        <v>0</v>
      </c>
      <c r="D59" s="172" t="n">
        <f aca="false">$B$54*D58</f>
        <v>0</v>
      </c>
      <c r="E59" s="172" t="n">
        <f aca="false">$B$54*E58</f>
        <v>0</v>
      </c>
      <c r="F59" s="172" t="n">
        <f aca="false">$B$54*F58</f>
        <v>0</v>
      </c>
      <c r="G59" s="172" t="n">
        <f aca="false">$B$54*G58</f>
        <v>0</v>
      </c>
      <c r="H59" s="172" t="n">
        <f aca="false">$B$54*H58</f>
        <v>0</v>
      </c>
      <c r="I59" s="172" t="n">
        <f aca="false">$B$54*I58</f>
        <v>0</v>
      </c>
      <c r="J59" s="172" t="n">
        <f aca="false">$B$54*J58</f>
        <v>0</v>
      </c>
      <c r="K59" s="172" t="n">
        <f aca="false">$B$54*K58</f>
        <v>0</v>
      </c>
      <c r="L59" s="172" t="n">
        <f aca="false">$B$54*L58</f>
        <v>14800</v>
      </c>
      <c r="M59" s="172" t="n">
        <f aca="false">$B$54*M58</f>
        <v>14800</v>
      </c>
      <c r="N59" s="172" t="n">
        <f aca="false">$B$54*N58</f>
        <v>14800</v>
      </c>
      <c r="O59" s="172" t="n">
        <f aca="false">$B$54*O58</f>
        <v>14800</v>
      </c>
      <c r="P59" s="172" t="n">
        <f aca="false">$B$54*P58</f>
        <v>15540</v>
      </c>
      <c r="Q59" s="172" t="n">
        <f aca="false">$B$54*Q58</f>
        <v>16280</v>
      </c>
      <c r="R59" s="172" t="n">
        <f aca="false">$B$54*R58</f>
        <v>16280</v>
      </c>
      <c r="S59" s="172" t="n">
        <f aca="false">$B$54*S58</f>
        <v>13320</v>
      </c>
      <c r="T59" s="172" t="n">
        <f aca="false">$B$54*T58</f>
        <v>13320</v>
      </c>
      <c r="U59" s="172" t="n">
        <f aca="false">$B$54*U58</f>
        <v>13320</v>
      </c>
      <c r="W59" s="205"/>
      <c r="X59" s="205"/>
    </row>
    <row r="60" customFormat="false" ht="12.75" hidden="false" customHeight="false" outlineLevel="0" collapsed="false">
      <c r="A60" s="195" t="s">
        <v>127</v>
      </c>
      <c r="B60" s="197" t="n">
        <f aca="false">B57*$O$97*(B56-B51)/365.25</f>
        <v>16337.7412731006</v>
      </c>
      <c r="C60" s="197" t="n">
        <f aca="false">C57*$O$97*(C56-C51)/365.25</f>
        <v>16337.7412731006</v>
      </c>
      <c r="D60" s="197" t="n">
        <f aca="false">D57*$O$97*(D56-D51)/365.25</f>
        <v>16337.7412731006</v>
      </c>
      <c r="E60" s="197" t="n">
        <f aca="false">E57*$O$97*(E56-E51)/365.25</f>
        <v>16428.5065023956</v>
      </c>
      <c r="F60" s="197" t="n">
        <f aca="false">F57*$O$97*(F56-F51)/365.25</f>
        <v>16337.7412731006</v>
      </c>
      <c r="G60" s="197" t="n">
        <f aca="false">G57*$O$97*(G56-G51)/365.25</f>
        <v>16337.7412731006</v>
      </c>
      <c r="H60" s="197" t="n">
        <f aca="false">H57*$O$97*(H56-H51)/365.25</f>
        <v>16337.7412731006</v>
      </c>
      <c r="I60" s="197" t="n">
        <f aca="false">I57*$O$97*(I56-I51)/365.25</f>
        <v>16428.5065023956</v>
      </c>
      <c r="J60" s="197" t="n">
        <f aca="false">J57*$O$97*(J56-J51)/365.25</f>
        <v>16337.7412731006</v>
      </c>
      <c r="K60" s="197" t="n">
        <f aca="false">K57*$O$97*(K56-K51)/365.25</f>
        <v>16337.7412731006</v>
      </c>
      <c r="L60" s="197" t="n">
        <f aca="false">L57*$O$97*(L56-L51)/365.25</f>
        <v>16092.6751540041</v>
      </c>
      <c r="M60" s="197" t="n">
        <f aca="false">M57*$O$97*(M56-M51)/365.25</f>
        <v>14539.2282546201</v>
      </c>
      <c r="N60" s="197" t="n">
        <f aca="false">N57*$O$97*(N56-N51)/365.25</f>
        <v>12825.126899384</v>
      </c>
      <c r="O60" s="197" t="n">
        <f aca="false">O57*$O$97*(O56-O51)/365.25</f>
        <v>11191.3527720739</v>
      </c>
      <c r="P60" s="197" t="n">
        <f aca="false">P57*$O$97*(P56-P51)/365.25</f>
        <v>9557.57864476386</v>
      </c>
      <c r="Q60" s="197" t="n">
        <f aca="false">Q57*$O$97*(Q56-Q51)/365.25</f>
        <v>7885.6831211499</v>
      </c>
      <c r="R60" s="197" t="n">
        <f aca="false">R57*$O$97*(R56-R51)/365.25</f>
        <v>6044.96427104723</v>
      </c>
      <c r="S60" s="197" t="n">
        <f aca="false">S57*$O$97*(S56-S51)/365.25</f>
        <v>4247.81273100616</v>
      </c>
      <c r="T60" s="197" t="n">
        <f aca="false">T57*$O$97*(T56-T51)/365.25</f>
        <v>2777.4160164271</v>
      </c>
      <c r="U60" s="197" t="n">
        <f aca="false">U57*$O$97*(U56-U51)/365.25</f>
        <v>1314.28052019165</v>
      </c>
      <c r="W60" s="205"/>
      <c r="X60" s="205"/>
    </row>
    <row r="61" customFormat="false" ht="12.75" hidden="false" customHeight="false" outlineLevel="0" collapsed="false">
      <c r="A61" s="195" t="s">
        <v>128</v>
      </c>
      <c r="B61" s="172" t="n">
        <f aca="false">B57-B59</f>
        <v>296000</v>
      </c>
      <c r="C61" s="172" t="n">
        <f aca="false">C57-C59</f>
        <v>296000</v>
      </c>
      <c r="D61" s="172" t="n">
        <f aca="false">D57-D59</f>
        <v>296000</v>
      </c>
      <c r="E61" s="172" t="n">
        <f aca="false">E57-E59</f>
        <v>296000</v>
      </c>
      <c r="F61" s="172" t="n">
        <f aca="false">F57-F59</f>
        <v>296000</v>
      </c>
      <c r="G61" s="172" t="n">
        <f aca="false">G57-G59</f>
        <v>296000</v>
      </c>
      <c r="H61" s="172" t="n">
        <f aca="false">H57-H59</f>
        <v>296000</v>
      </c>
      <c r="I61" s="172" t="n">
        <f aca="false">I57-I59</f>
        <v>296000</v>
      </c>
      <c r="J61" s="172" t="n">
        <f aca="false">J57-J59</f>
        <v>296000</v>
      </c>
      <c r="K61" s="172" t="n">
        <f aca="false">K57-K59</f>
        <v>296000</v>
      </c>
      <c r="L61" s="172" t="n">
        <f aca="false">L57-L59</f>
        <v>276760</v>
      </c>
      <c r="M61" s="172" t="n">
        <f aca="false">M57-M59</f>
        <v>247160</v>
      </c>
      <c r="N61" s="172" t="n">
        <f aca="false">N57-N59</f>
        <v>217560</v>
      </c>
      <c r="O61" s="172" t="n">
        <f aca="false">O57-O59</f>
        <v>187960</v>
      </c>
      <c r="P61" s="172" t="n">
        <f aca="false">P57-P59</f>
        <v>157620</v>
      </c>
      <c r="Q61" s="172" t="n">
        <f aca="false">Q57-Q59</f>
        <v>125800</v>
      </c>
      <c r="R61" s="172" t="n">
        <f aca="false">R57-R59</f>
        <v>93240</v>
      </c>
      <c r="S61" s="172" t="n">
        <f aca="false">S57-S59</f>
        <v>63640</v>
      </c>
      <c r="T61" s="172" t="n">
        <f aca="false">T57-T59</f>
        <v>37000</v>
      </c>
      <c r="U61" s="172" t="n">
        <f aca="false">U57-U59</f>
        <v>10360</v>
      </c>
      <c r="W61" s="205"/>
      <c r="X61" s="205"/>
    </row>
    <row r="62" customFormat="false" ht="12.75" hidden="false" customHeight="false" outlineLevel="0" collapsed="false">
      <c r="A62" s="195"/>
      <c r="B62" s="203"/>
      <c r="C62" s="203"/>
      <c r="D62" s="203"/>
      <c r="E62" s="203"/>
      <c r="F62" s="203"/>
      <c r="G62" s="203"/>
      <c r="H62" s="203"/>
      <c r="I62" s="203"/>
      <c r="J62" s="203"/>
      <c r="K62" s="203"/>
      <c r="L62" s="203"/>
      <c r="M62" s="203"/>
      <c r="N62" s="203"/>
      <c r="O62" s="203"/>
      <c r="P62" s="203"/>
      <c r="Q62" s="203"/>
      <c r="R62" s="203"/>
      <c r="S62" s="203"/>
      <c r="T62" s="203"/>
      <c r="U62" s="203"/>
      <c r="W62" s="205"/>
      <c r="X62" s="205"/>
    </row>
    <row r="63" customFormat="false" ht="12.75" hidden="false" customHeight="false" outlineLevel="0" collapsed="false">
      <c r="A63" s="168"/>
      <c r="B63" s="193" t="n">
        <v>37256</v>
      </c>
      <c r="C63" s="193" t="n">
        <v>37621</v>
      </c>
      <c r="D63" s="193" t="n">
        <v>37986</v>
      </c>
      <c r="E63" s="193" t="n">
        <v>38352</v>
      </c>
      <c r="F63" s="193" t="n">
        <v>38717</v>
      </c>
      <c r="G63" s="193" t="n">
        <v>39082</v>
      </c>
      <c r="H63" s="193" t="n">
        <v>39447</v>
      </c>
      <c r="I63" s="193" t="n">
        <v>39813</v>
      </c>
      <c r="J63" s="193" t="n">
        <v>40178</v>
      </c>
      <c r="K63" s="193" t="n">
        <v>40543</v>
      </c>
      <c r="L63" s="193" t="n">
        <v>40908</v>
      </c>
      <c r="M63" s="193" t="n">
        <v>41274</v>
      </c>
      <c r="N63" s="193" t="n">
        <v>41639</v>
      </c>
      <c r="O63" s="193" t="n">
        <v>42004</v>
      </c>
      <c r="P63" s="193" t="n">
        <v>42369</v>
      </c>
      <c r="Q63" s="193" t="n">
        <v>42735</v>
      </c>
      <c r="R63" s="193" t="n">
        <v>43100</v>
      </c>
      <c r="S63" s="193" t="n">
        <v>43465</v>
      </c>
      <c r="T63" s="193" t="n">
        <v>43830</v>
      </c>
      <c r="U63" s="193" t="n">
        <v>44196</v>
      </c>
      <c r="W63" s="205"/>
      <c r="X63" s="205"/>
    </row>
    <row r="64" customFormat="false" ht="12.75" hidden="false" customHeight="false" outlineLevel="0" collapsed="false">
      <c r="A64" s="195" t="s">
        <v>126</v>
      </c>
      <c r="B64" s="172" t="n">
        <f aca="false">B61</f>
        <v>296000</v>
      </c>
      <c r="C64" s="172" t="n">
        <f aca="false">C61</f>
        <v>296000</v>
      </c>
      <c r="D64" s="172" t="n">
        <f aca="false">D61</f>
        <v>296000</v>
      </c>
      <c r="E64" s="172" t="n">
        <f aca="false">E61</f>
        <v>296000</v>
      </c>
      <c r="F64" s="172" t="n">
        <f aca="false">F61</f>
        <v>296000</v>
      </c>
      <c r="G64" s="172" t="n">
        <f aca="false">G61</f>
        <v>296000</v>
      </c>
      <c r="H64" s="172" t="n">
        <f aca="false">H61</f>
        <v>296000</v>
      </c>
      <c r="I64" s="172" t="n">
        <f aca="false">I61</f>
        <v>296000</v>
      </c>
      <c r="J64" s="172" t="n">
        <f aca="false">J61</f>
        <v>296000</v>
      </c>
      <c r="K64" s="172" t="n">
        <f aca="false">K61</f>
        <v>296000</v>
      </c>
      <c r="L64" s="172" t="n">
        <f aca="false">L61</f>
        <v>276760</v>
      </c>
      <c r="M64" s="172" t="n">
        <f aca="false">M61</f>
        <v>247160</v>
      </c>
      <c r="N64" s="172" t="n">
        <f aca="false">N61</f>
        <v>217560</v>
      </c>
      <c r="O64" s="172" t="n">
        <f aca="false">O61</f>
        <v>187960</v>
      </c>
      <c r="P64" s="172" t="n">
        <f aca="false">P61</f>
        <v>157620</v>
      </c>
      <c r="Q64" s="172" t="n">
        <f aca="false">Q61</f>
        <v>125800</v>
      </c>
      <c r="R64" s="172" t="n">
        <f aca="false">R61</f>
        <v>93240</v>
      </c>
      <c r="S64" s="172" t="n">
        <f aca="false">S61</f>
        <v>63640</v>
      </c>
      <c r="T64" s="172" t="n">
        <f aca="false">T61</f>
        <v>37000</v>
      </c>
      <c r="U64" s="172" t="n">
        <f aca="false">U61</f>
        <v>10360</v>
      </c>
      <c r="W64" s="205"/>
      <c r="X64" s="205"/>
    </row>
    <row r="65" customFormat="false" ht="12.75" hidden="false" customHeight="false" outlineLevel="0" collapsed="false">
      <c r="A65" s="195" t="s">
        <v>129</v>
      </c>
      <c r="B65" s="201" t="n">
        <v>0</v>
      </c>
      <c r="C65" s="201" t="n">
        <v>0</v>
      </c>
      <c r="D65" s="201" t="n">
        <v>0</v>
      </c>
      <c r="E65" s="201" t="n">
        <v>0</v>
      </c>
      <c r="F65" s="201" t="n">
        <v>0</v>
      </c>
      <c r="G65" s="201" t="n">
        <v>0</v>
      </c>
      <c r="H65" s="201" t="n">
        <v>0</v>
      </c>
      <c r="I65" s="201" t="n">
        <v>0</v>
      </c>
      <c r="J65" s="201" t="n">
        <v>0</v>
      </c>
      <c r="K65" s="201" t="n">
        <v>0.015</v>
      </c>
      <c r="L65" s="201" t="n">
        <v>0.05</v>
      </c>
      <c r="M65" s="201" t="n">
        <v>0.05</v>
      </c>
      <c r="N65" s="201" t="n">
        <v>0.05</v>
      </c>
      <c r="O65" s="201" t="n">
        <v>0.05</v>
      </c>
      <c r="P65" s="201" t="n">
        <v>0.0525</v>
      </c>
      <c r="Q65" s="201" t="n">
        <v>0.055</v>
      </c>
      <c r="R65" s="201" t="n">
        <v>0.055</v>
      </c>
      <c r="S65" s="201" t="n">
        <v>0.045</v>
      </c>
      <c r="T65" s="201" t="n">
        <v>0.045</v>
      </c>
      <c r="U65" s="201" t="n">
        <v>0.0350000000000001</v>
      </c>
      <c r="W65" s="196"/>
      <c r="X65" s="196"/>
    </row>
    <row r="66" customFormat="false" ht="12.75" hidden="false" customHeight="false" outlineLevel="0" collapsed="false">
      <c r="A66" s="204" t="s">
        <v>130</v>
      </c>
      <c r="B66" s="172" t="n">
        <f aca="false">B65*$B$54</f>
        <v>0</v>
      </c>
      <c r="C66" s="172" t="n">
        <f aca="false">C65*$B$54</f>
        <v>0</v>
      </c>
      <c r="D66" s="172" t="n">
        <f aca="false">D65*$B$54</f>
        <v>0</v>
      </c>
      <c r="E66" s="172" t="n">
        <f aca="false">E65*$B$54</f>
        <v>0</v>
      </c>
      <c r="F66" s="172" t="n">
        <f aca="false">F65*$B$54</f>
        <v>0</v>
      </c>
      <c r="G66" s="172" t="n">
        <f aca="false">G65*$B$54</f>
        <v>0</v>
      </c>
      <c r="H66" s="172" t="n">
        <f aca="false">H65*$B$54</f>
        <v>0</v>
      </c>
      <c r="I66" s="172" t="n">
        <f aca="false">I65*$B$54</f>
        <v>0</v>
      </c>
      <c r="J66" s="172" t="n">
        <f aca="false">J65*$B$54</f>
        <v>0</v>
      </c>
      <c r="K66" s="172" t="n">
        <f aca="false">K65*$B$54</f>
        <v>4440</v>
      </c>
      <c r="L66" s="172" t="n">
        <f aca="false">L65*$B$54</f>
        <v>14800</v>
      </c>
      <c r="M66" s="172" t="n">
        <f aca="false">M65*$B$54</f>
        <v>14800</v>
      </c>
      <c r="N66" s="172" t="n">
        <f aca="false">N65*$B$54</f>
        <v>14800</v>
      </c>
      <c r="O66" s="172" t="n">
        <f aca="false">O65*$B$54</f>
        <v>14800</v>
      </c>
      <c r="P66" s="172" t="n">
        <f aca="false">P65*$B$54</f>
        <v>15540</v>
      </c>
      <c r="Q66" s="172" t="n">
        <f aca="false">Q65*$B$54</f>
        <v>16280</v>
      </c>
      <c r="R66" s="172" t="n">
        <f aca="false">R65*$B$54</f>
        <v>16280</v>
      </c>
      <c r="S66" s="172" t="n">
        <f aca="false">S65*$B$54</f>
        <v>13320</v>
      </c>
      <c r="T66" s="172" t="n">
        <f aca="false">T65*$B$54</f>
        <v>13320</v>
      </c>
      <c r="U66" s="172" t="n">
        <f aca="false">U65*$B$54</f>
        <v>10360</v>
      </c>
      <c r="W66" s="205"/>
      <c r="X66" s="205"/>
    </row>
    <row r="67" customFormat="false" ht="12.75" hidden="false" customHeight="false" outlineLevel="0" collapsed="false">
      <c r="A67" s="195" t="s">
        <v>127</v>
      </c>
      <c r="B67" s="197" t="n">
        <f aca="false">B64*$O$97*(B63-B56)/365.25</f>
        <v>16700.8021902806</v>
      </c>
      <c r="C67" s="197" t="n">
        <f aca="false">C64*$O$97*(C63-C56)/365.25</f>
        <v>16700.8021902806</v>
      </c>
      <c r="D67" s="197" t="n">
        <f aca="false">D64*$O$97*(D63-D56)/365.25</f>
        <v>16700.8021902806</v>
      </c>
      <c r="E67" s="197" t="n">
        <f aca="false">E64*$O$97*(E63-E56)/365.25</f>
        <v>16700.8021902806</v>
      </c>
      <c r="F67" s="197" t="n">
        <f aca="false">F64*$O$97*(F63-F56)/365.25</f>
        <v>16700.8021902806</v>
      </c>
      <c r="G67" s="197" t="n">
        <f aca="false">G64*$O$97*(G63-G56)/365.25</f>
        <v>16700.8021902806</v>
      </c>
      <c r="H67" s="197" t="n">
        <f aca="false">H64*$O$97*(H63-H56)/365.25</f>
        <v>16700.8021902806</v>
      </c>
      <c r="I67" s="197" t="n">
        <f aca="false">I64*$O$97*(I63-I56)/365.25</f>
        <v>16700.8021902806</v>
      </c>
      <c r="J67" s="197" t="n">
        <f aca="false">J64*$O$97*(J63-J56)/365.25</f>
        <v>16700.8021902806</v>
      </c>
      <c r="K67" s="197" t="n">
        <f aca="false">K64*$O$97*(K63-K56)/365.25</f>
        <v>16700.8021902806</v>
      </c>
      <c r="L67" s="197" t="n">
        <f aca="false">L64*$O$97*(L63-L56)/365.25</f>
        <v>15615.2500479124</v>
      </c>
      <c r="M67" s="197" t="n">
        <f aca="false">M64*$O$97*(M63-M56)/365.25</f>
        <v>13945.1698288843</v>
      </c>
      <c r="N67" s="197" t="n">
        <f aca="false">N64*$O$97*(N63-N56)/365.25</f>
        <v>12275.0896098563</v>
      </c>
      <c r="O67" s="197" t="n">
        <f aca="false">O64*$O$97*(O63-O56)/365.25</f>
        <v>10605.0093908282</v>
      </c>
      <c r="P67" s="197" t="n">
        <f aca="false">P64*$O$97*(P63-P56)/365.25</f>
        <v>8893.17716632443</v>
      </c>
      <c r="Q67" s="197" t="n">
        <f aca="false">Q64*$O$97*(Q63-Q56)/365.25</f>
        <v>7097.84093086927</v>
      </c>
      <c r="R67" s="197" t="n">
        <f aca="false">R64*$O$97*(R63-R56)/365.25</f>
        <v>5260.7526899384</v>
      </c>
      <c r="S67" s="197" t="n">
        <f aca="false">S64*$O$97*(S63-S56)/365.25</f>
        <v>3590.67247091034</v>
      </c>
      <c r="T67" s="197" t="n">
        <f aca="false">T64*$O$97*(T63-T56)/365.25</f>
        <v>2087.60027378508</v>
      </c>
      <c r="U67" s="197" t="n">
        <f aca="false">U64*$O$97*(U63-U56)/365.25</f>
        <v>584.528076659822</v>
      </c>
      <c r="W67" s="205"/>
      <c r="X67" s="205"/>
    </row>
    <row r="68" customFormat="false" ht="12.75" hidden="false" customHeight="false" outlineLevel="0" collapsed="false">
      <c r="A68" s="195" t="s">
        <v>128</v>
      </c>
      <c r="B68" s="172" t="n">
        <f aca="false">B64-B66</f>
        <v>296000</v>
      </c>
      <c r="C68" s="172" t="n">
        <f aca="false">C64-C66</f>
        <v>296000</v>
      </c>
      <c r="D68" s="172" t="n">
        <f aca="false">D64-D66</f>
        <v>296000</v>
      </c>
      <c r="E68" s="172" t="n">
        <f aca="false">E64-E66</f>
        <v>296000</v>
      </c>
      <c r="F68" s="172" t="n">
        <f aca="false">F64-F66</f>
        <v>296000</v>
      </c>
      <c r="G68" s="172" t="n">
        <f aca="false">G64-G66</f>
        <v>296000</v>
      </c>
      <c r="H68" s="172" t="n">
        <f aca="false">H64-H66</f>
        <v>296000</v>
      </c>
      <c r="I68" s="172" t="n">
        <f aca="false">I64-I66</f>
        <v>296000</v>
      </c>
      <c r="J68" s="172" t="n">
        <f aca="false">J64-J66</f>
        <v>296000</v>
      </c>
      <c r="K68" s="172" t="n">
        <f aca="false">K64-K66</f>
        <v>291560</v>
      </c>
      <c r="L68" s="172" t="n">
        <f aca="false">L64-L66</f>
        <v>261960</v>
      </c>
      <c r="M68" s="172" t="n">
        <f aca="false">M64-M66</f>
        <v>232360</v>
      </c>
      <c r="N68" s="172" t="n">
        <f aca="false">N64-N66</f>
        <v>202760</v>
      </c>
      <c r="O68" s="172" t="n">
        <f aca="false">O64-O66</f>
        <v>173160</v>
      </c>
      <c r="P68" s="172" t="n">
        <f aca="false">P64-P66</f>
        <v>142080</v>
      </c>
      <c r="Q68" s="172" t="n">
        <f aca="false">Q64-Q66</f>
        <v>109520</v>
      </c>
      <c r="R68" s="172" t="n">
        <f aca="false">R64-R66</f>
        <v>76960</v>
      </c>
      <c r="S68" s="172" t="n">
        <f aca="false">S64-S66</f>
        <v>50320</v>
      </c>
      <c r="T68" s="172" t="n">
        <f aca="false">T64-T66</f>
        <v>23680</v>
      </c>
      <c r="U68" s="172" t="n">
        <f aca="false">U64-U66</f>
        <v>0</v>
      </c>
      <c r="W68" s="205"/>
      <c r="X68" s="205"/>
    </row>
    <row r="69" customFormat="false" ht="12.75" hidden="false" customHeight="false" outlineLevel="0" collapsed="false">
      <c r="A69" s="195"/>
      <c r="B69" s="203"/>
      <c r="C69" s="203"/>
      <c r="D69" s="203"/>
      <c r="E69" s="203"/>
      <c r="F69" s="203"/>
      <c r="G69" s="203"/>
      <c r="H69" s="203"/>
      <c r="I69" s="203"/>
      <c r="J69" s="203"/>
      <c r="K69" s="203"/>
      <c r="L69" s="203"/>
      <c r="M69" s="203"/>
      <c r="N69" s="203"/>
      <c r="O69" s="203"/>
      <c r="P69" s="203"/>
      <c r="Q69" s="203"/>
      <c r="R69" s="203"/>
      <c r="S69" s="203"/>
      <c r="T69" s="203"/>
      <c r="U69" s="203"/>
    </row>
    <row r="70" customFormat="false" ht="12.75" hidden="false" customHeight="false" outlineLevel="0" collapsed="false">
      <c r="A70" s="206" t="s">
        <v>131</v>
      </c>
      <c r="B70" s="200"/>
      <c r="C70" s="200"/>
      <c r="D70" s="200"/>
      <c r="E70" s="200"/>
      <c r="F70" s="200"/>
      <c r="G70" s="200"/>
      <c r="H70" s="200"/>
      <c r="I70" s="200"/>
      <c r="J70" s="200"/>
      <c r="K70" s="200"/>
      <c r="L70" s="200"/>
      <c r="M70" s="200"/>
      <c r="N70" s="200"/>
      <c r="O70" s="200"/>
      <c r="P70" s="200"/>
      <c r="Q70" s="200"/>
      <c r="R70" s="200"/>
      <c r="S70" s="200"/>
      <c r="T70" s="200"/>
      <c r="U70" s="200"/>
      <c r="V70" s="207"/>
      <c r="W70" s="207"/>
      <c r="X70" s="207"/>
    </row>
    <row r="71" customFormat="false" ht="12.75" hidden="false" customHeight="false" outlineLevel="0" collapsed="false">
      <c r="A71" s="206"/>
      <c r="B71" s="200"/>
      <c r="C71" s="200"/>
      <c r="D71" s="200"/>
      <c r="E71" s="200"/>
      <c r="F71" s="200"/>
      <c r="G71" s="200"/>
      <c r="H71" s="200"/>
      <c r="I71" s="200"/>
      <c r="J71" s="200"/>
      <c r="K71" s="200"/>
      <c r="L71" s="200"/>
      <c r="M71" s="200"/>
      <c r="N71" s="200"/>
      <c r="O71" s="200"/>
      <c r="P71" s="200"/>
      <c r="Q71" s="200"/>
      <c r="R71" s="200"/>
      <c r="S71" s="200"/>
      <c r="T71" s="200"/>
      <c r="U71" s="200"/>
      <c r="V71" s="207"/>
      <c r="W71" s="207"/>
      <c r="X71" s="207"/>
    </row>
    <row r="72" customFormat="false" ht="12.75" hidden="false" customHeight="false" outlineLevel="0" collapsed="false">
      <c r="A72" s="195" t="s">
        <v>126</v>
      </c>
      <c r="B72" s="203" t="n">
        <f aca="false">B54+B34+B14</f>
        <v>351000</v>
      </c>
      <c r="C72" s="203" t="n">
        <f aca="false">C52+C32+C12</f>
        <v>351000</v>
      </c>
      <c r="D72" s="203" t="n">
        <f aca="false">D52+D32+D12</f>
        <v>351000</v>
      </c>
      <c r="E72" s="203" t="n">
        <f aca="false">E52+E32+E12</f>
        <v>351000</v>
      </c>
      <c r="F72" s="203" t="n">
        <f aca="false">F52+F32+F12</f>
        <v>346325</v>
      </c>
      <c r="G72" s="203" t="n">
        <f aca="false">G52+G32+G12</f>
        <v>339890</v>
      </c>
      <c r="H72" s="203" t="n">
        <f aca="false">H52+H32+H12</f>
        <v>332575</v>
      </c>
      <c r="I72" s="203" t="n">
        <f aca="false">I52+I32+I12</f>
        <v>324600</v>
      </c>
      <c r="J72" s="203" t="n">
        <f aca="false">J52+J32+J12</f>
        <v>315525</v>
      </c>
      <c r="K72" s="203" t="n">
        <f aca="false">K52+K32+K12</f>
        <v>305570</v>
      </c>
      <c r="L72" s="203" t="n">
        <f aca="false">L52+L32+L12</f>
        <v>291560</v>
      </c>
      <c r="M72" s="203" t="n">
        <f aca="false">M52+M32+M12</f>
        <v>261960</v>
      </c>
      <c r="N72" s="203" t="n">
        <f aca="false">N52+N32+N12</f>
        <v>232360</v>
      </c>
      <c r="O72" s="203" t="n">
        <f aca="false">O52+O32+O12</f>
        <v>202760</v>
      </c>
      <c r="P72" s="203" t="n">
        <f aca="false">P52+P32+P12</f>
        <v>173160</v>
      </c>
      <c r="Q72" s="203" t="n">
        <f aca="false">Q52+Q32+Q12</f>
        <v>142080</v>
      </c>
      <c r="R72" s="203" t="n">
        <f aca="false">R52+R32+R12</f>
        <v>109520</v>
      </c>
      <c r="S72" s="203" t="n">
        <f aca="false">S52+S32+S12</f>
        <v>76960</v>
      </c>
      <c r="T72" s="203" t="n">
        <f aca="false">T52+T32+T12</f>
        <v>50320</v>
      </c>
      <c r="U72" s="203" t="n">
        <f aca="false">U52+U32+U12</f>
        <v>23680</v>
      </c>
      <c r="V72" s="207"/>
      <c r="W72" s="207"/>
      <c r="X72" s="207"/>
    </row>
    <row r="73" customFormat="false" ht="12.75" hidden="false" customHeight="false" outlineLevel="0" collapsed="false">
      <c r="A73" s="195" t="s">
        <v>128</v>
      </c>
      <c r="B73" s="203" t="n">
        <f aca="false">B68+B48+B28</f>
        <v>351000</v>
      </c>
      <c r="C73" s="203" t="n">
        <f aca="false">C68+C48+C28</f>
        <v>351000</v>
      </c>
      <c r="D73" s="203" t="n">
        <f aca="false">D68+D48+D28</f>
        <v>351000</v>
      </c>
      <c r="E73" s="203" t="n">
        <f aca="false">E68+E48+E28</f>
        <v>346325</v>
      </c>
      <c r="F73" s="203" t="n">
        <f aca="false">F68+F48+F28</f>
        <v>339890</v>
      </c>
      <c r="G73" s="203" t="n">
        <f aca="false">G68+G48+G28</f>
        <v>332575</v>
      </c>
      <c r="H73" s="203" t="n">
        <f aca="false">H68+H48+H28</f>
        <v>324600</v>
      </c>
      <c r="I73" s="203" t="n">
        <f aca="false">I68+I48+I28</f>
        <v>315525</v>
      </c>
      <c r="J73" s="203" t="n">
        <f aca="false">J68+J48+J28</f>
        <v>305570</v>
      </c>
      <c r="K73" s="203" t="n">
        <f aca="false">K68+K48+K28</f>
        <v>291560</v>
      </c>
      <c r="L73" s="203" t="n">
        <f aca="false">L68+L48+L28</f>
        <v>261960</v>
      </c>
      <c r="M73" s="203" t="n">
        <f aca="false">M68+M48+M28</f>
        <v>232360</v>
      </c>
      <c r="N73" s="203" t="n">
        <f aca="false">N68+N48+N28</f>
        <v>202760</v>
      </c>
      <c r="O73" s="203" t="n">
        <f aca="false">O68+O48+O28</f>
        <v>173160</v>
      </c>
      <c r="P73" s="203" t="n">
        <f aca="false">P68+P48+P28</f>
        <v>142080</v>
      </c>
      <c r="Q73" s="203" t="n">
        <f aca="false">Q68+Q48+Q28</f>
        <v>109520</v>
      </c>
      <c r="R73" s="203" t="n">
        <f aca="false">R68+R48+R28</f>
        <v>76960</v>
      </c>
      <c r="S73" s="203" t="n">
        <f aca="false">S68+S48+S28</f>
        <v>50320</v>
      </c>
      <c r="T73" s="203" t="n">
        <f aca="false">T68+T48+T28</f>
        <v>23680</v>
      </c>
      <c r="U73" s="203" t="n">
        <f aca="false">U68+U48+U28</f>
        <v>0</v>
      </c>
      <c r="V73" s="207"/>
      <c r="W73" s="207"/>
      <c r="X73" s="207"/>
    </row>
    <row r="74" customFormat="false" ht="12.75" hidden="false" customHeight="false" outlineLevel="0" collapsed="false">
      <c r="A74" s="195"/>
      <c r="B74" s="200"/>
      <c r="C74" s="200"/>
      <c r="D74" s="200"/>
      <c r="E74" s="200"/>
      <c r="F74" s="200"/>
      <c r="G74" s="200"/>
      <c r="H74" s="200"/>
      <c r="I74" s="200"/>
      <c r="J74" s="200"/>
      <c r="K74" s="200"/>
      <c r="L74" s="200"/>
      <c r="M74" s="200"/>
      <c r="N74" s="200"/>
      <c r="O74" s="200"/>
      <c r="P74" s="200"/>
      <c r="Q74" s="200"/>
      <c r="R74" s="200"/>
      <c r="S74" s="200"/>
      <c r="T74" s="200"/>
      <c r="U74" s="200"/>
      <c r="V74" s="207"/>
      <c r="W74" s="207"/>
      <c r="X74" s="207"/>
    </row>
    <row r="75" customFormat="false" ht="12.75" hidden="false" customHeight="false" outlineLevel="0" collapsed="false">
      <c r="A75" s="195" t="s">
        <v>132</v>
      </c>
      <c r="B75" s="203" t="n">
        <f aca="false">SUM(B66,B59,B46,B39,B26,B19)</f>
        <v>0</v>
      </c>
      <c r="C75" s="203" t="n">
        <f aca="false">SUM(C66,C59,C46,C39,C26,C19)</f>
        <v>0</v>
      </c>
      <c r="D75" s="203" t="n">
        <f aca="false">SUM(D66,D59,D46,D39,D26,D19)</f>
        <v>0</v>
      </c>
      <c r="E75" s="203" t="n">
        <f aca="false">SUM(E66,E59,E46,E39,E26,E19)</f>
        <v>4675</v>
      </c>
      <c r="F75" s="203" t="n">
        <f aca="false">SUM(F66,F59,F46,F39,F26,F19)</f>
        <v>6435</v>
      </c>
      <c r="G75" s="203" t="n">
        <f aca="false">SUM(G66,G59,G46,G39,G26,G19)</f>
        <v>7315</v>
      </c>
      <c r="H75" s="203" t="n">
        <f aca="false">SUM(H66,H59,H46,H39,H26,H19)</f>
        <v>7975</v>
      </c>
      <c r="I75" s="203" t="n">
        <f aca="false">SUM(I66,I59,I46,I39,I26,I19)</f>
        <v>9075</v>
      </c>
      <c r="J75" s="203" t="n">
        <f aca="false">SUM(J66,J59,J46,J39,J26,J19)</f>
        <v>9955</v>
      </c>
      <c r="K75" s="203" t="n">
        <f aca="false">SUM(K66,K59,K46,K39,K26,K19)</f>
        <v>14010</v>
      </c>
      <c r="L75" s="203" t="n">
        <f aca="false">SUM(L66,L59,L46,L39,L26,L19)</f>
        <v>29600</v>
      </c>
      <c r="M75" s="203" t="n">
        <f aca="false">SUM(M66,M59,M46,M39,M26,M19)</f>
        <v>29600</v>
      </c>
      <c r="N75" s="203" t="n">
        <f aca="false">SUM(N66,N59,N46,N39,N26,N19)</f>
        <v>29600</v>
      </c>
      <c r="O75" s="203" t="n">
        <f aca="false">SUM(O66,O59,O46,O39,O26,O19)</f>
        <v>29600</v>
      </c>
      <c r="P75" s="203" t="n">
        <f aca="false">SUM(P66,P59,P46,P39,P26,P19)</f>
        <v>31080</v>
      </c>
      <c r="Q75" s="203" t="n">
        <f aca="false">SUM(Q66,Q59,Q46,Q39,Q26,Q19)</f>
        <v>32560</v>
      </c>
      <c r="R75" s="203" t="n">
        <f aca="false">SUM(R66,R59,R46,R39,R26,R19)</f>
        <v>32560</v>
      </c>
      <c r="S75" s="203" t="n">
        <f aca="false">SUM(S66,S59,S46,S39,S26,S19)</f>
        <v>26640</v>
      </c>
      <c r="T75" s="203" t="n">
        <f aca="false">SUM(T66,T59,T46,T39,T26,T19)</f>
        <v>26640</v>
      </c>
      <c r="U75" s="203" t="n">
        <f aca="false">SUM(U66,U59,U46,U39,U26,U19)</f>
        <v>23680</v>
      </c>
      <c r="V75" s="207"/>
      <c r="W75" s="207"/>
      <c r="X75" s="207"/>
    </row>
    <row r="76" customFormat="false" ht="12.75" hidden="false" customHeight="false" outlineLevel="0" collapsed="false">
      <c r="A76" s="208" t="s">
        <v>118</v>
      </c>
      <c r="B76" s="209" t="n">
        <f aca="false">SUM(B13,B20,B33,B40,B53,B60,B67,B47,B27)</f>
        <v>39067.8384668036</v>
      </c>
      <c r="C76" s="209" t="n">
        <f aca="false">SUM(C13,C20,C33,C40,C53,C60,C67,C47,C27)</f>
        <v>39175.1676933607</v>
      </c>
      <c r="D76" s="209" t="n">
        <f aca="false">SUM(D13,D20,D33,D40,D53,D60,D67,D47,D27)</f>
        <v>39175.1676933607</v>
      </c>
      <c r="E76" s="209" t="n">
        <f aca="false">SUM(E13,E20,E33,E40,E53,E60,E67,E47,E27)</f>
        <v>39152.9664613279</v>
      </c>
      <c r="F76" s="209" t="n">
        <f aca="false">SUM(F13,F20,F33,F40,F53,F60,F67,F47,F27)</f>
        <v>38482.9748117728</v>
      </c>
      <c r="G76" s="209" t="n">
        <f aca="false">SUM(G13,G20,G33,G40,G53,G60,G67,G47,G27)</f>
        <v>37751.2271047228</v>
      </c>
      <c r="H76" s="209" t="n">
        <f aca="false">SUM(H13,H20,H33,H40,H53,H60,H67,H47,H27)</f>
        <v>36928.8412046543</v>
      </c>
      <c r="I76" s="209" t="n">
        <f aca="false">SUM(I13,I20,I33,I40,I53,I60,I67,I47,I27)</f>
        <v>36121.0924024641</v>
      </c>
      <c r="J76" s="209" t="n">
        <f aca="false">SUM(J13,J20,J33,J40,J53,J60,J67,J47,J27)</f>
        <v>34999.7649555099</v>
      </c>
      <c r="K76" s="209" t="n">
        <f aca="false">SUM(K13,K20,K33,K40,K53,K60,K67,K47,K27)</f>
        <v>33815.5550992471</v>
      </c>
      <c r="L76" s="209" t="n">
        <f aca="false">SUM(L13,L20,L33,L40,L53,L60,L67,L47,L27)</f>
        <v>31797.3289527721</v>
      </c>
      <c r="M76" s="209" t="n">
        <f aca="false">SUM(M13,M20,M33,M40,M53,M60,M67,M47,M27)</f>
        <v>28564.7253114305</v>
      </c>
      <c r="N76" s="209" t="n">
        <f aca="false">SUM(N13,N20,N33,N40,N53,N60,N67,N47,N27)</f>
        <v>25171.4672142368</v>
      </c>
      <c r="O76" s="209" t="n">
        <f aca="false">SUM(O13,O20,O33,O40,O53,O60,O67,O47,O27)</f>
        <v>21858.5363449692</v>
      </c>
      <c r="P76" s="209" t="n">
        <f aca="false">SUM(P13,P20,P33,P40,P53,P60,P67,P47,P27)</f>
        <v>18503.8534702259</v>
      </c>
      <c r="Q76" s="209" t="n">
        <f aca="false">SUM(Q13,Q20,Q33,Q40,Q53,Q60,Q67,Q47,Q27)</f>
        <v>15027.0913620808</v>
      </c>
      <c r="R76" s="209" t="n">
        <f aca="false">SUM(R13,R20,R33,R40,R53,R60,R67,R47,R27)</f>
        <v>11339.3000958248</v>
      </c>
      <c r="S76" s="209" t="n">
        <f aca="false">SUM(S13,S20,S33,S40,S53,S60,S67,S47,S27)</f>
        <v>7862.0841615332</v>
      </c>
      <c r="T76" s="209" t="n">
        <f aca="false">SUM(T13,T20,T33,T40,T53,T60,T67,T47,T27)</f>
        <v>4880.44637919233</v>
      </c>
      <c r="U76" s="209" t="n">
        <f aca="false">SUM(U13,U20,U33,U40,U53,U60,U67,U47,U27)</f>
        <v>1906.06981519507</v>
      </c>
      <c r="V76" s="207"/>
      <c r="W76" s="207"/>
      <c r="X76" s="207"/>
    </row>
    <row r="77" customFormat="false" ht="12.75" hidden="false" customHeight="false" outlineLevel="0" collapsed="false">
      <c r="A77" s="207" t="s">
        <v>133</v>
      </c>
      <c r="B77" s="207" t="n">
        <f aca="false">SUM(B75:B76)</f>
        <v>39067.8384668036</v>
      </c>
      <c r="C77" s="207" t="n">
        <f aca="false">SUM(C75:C76)</f>
        <v>39175.1676933607</v>
      </c>
      <c r="D77" s="207" t="n">
        <f aca="false">SUM(D75:D76)</f>
        <v>39175.1676933607</v>
      </c>
      <c r="E77" s="207" t="n">
        <f aca="false">SUM(E75:E76)</f>
        <v>43827.9664613279</v>
      </c>
      <c r="F77" s="207" t="n">
        <f aca="false">SUM(F75:F76)</f>
        <v>44917.9748117728</v>
      </c>
      <c r="G77" s="207" t="n">
        <f aca="false">SUM(G75:G76)</f>
        <v>45066.2271047228</v>
      </c>
      <c r="H77" s="207" t="n">
        <f aca="false">SUM(H75:H76)</f>
        <v>44903.8412046543</v>
      </c>
      <c r="I77" s="207" t="n">
        <f aca="false">SUM(I75:I76)</f>
        <v>45196.0924024641</v>
      </c>
      <c r="J77" s="207" t="n">
        <f aca="false">SUM(J75:J76)</f>
        <v>44954.7649555099</v>
      </c>
      <c r="K77" s="207" t="n">
        <f aca="false">SUM(K75:K76)</f>
        <v>47825.5550992471</v>
      </c>
      <c r="L77" s="207" t="n">
        <f aca="false">SUM(L75:L76)</f>
        <v>61397.3289527721</v>
      </c>
      <c r="M77" s="207" t="n">
        <f aca="false">SUM(M75:M76)</f>
        <v>58164.7253114305</v>
      </c>
      <c r="N77" s="207" t="n">
        <f aca="false">SUM(N75:N76)</f>
        <v>54771.4672142368</v>
      </c>
      <c r="O77" s="207" t="n">
        <f aca="false">SUM(O75:O76)</f>
        <v>51458.5363449692</v>
      </c>
      <c r="P77" s="207" t="n">
        <f aca="false">SUM(P75:P76)</f>
        <v>49583.8534702259</v>
      </c>
      <c r="Q77" s="207" t="n">
        <f aca="false">SUM(Q75:Q76)</f>
        <v>47587.0913620808</v>
      </c>
      <c r="R77" s="207" t="n">
        <f aca="false">SUM(R75:R76)</f>
        <v>43899.3000958248</v>
      </c>
      <c r="S77" s="207" t="n">
        <f aca="false">SUM(S75:S76)</f>
        <v>34502.0841615332</v>
      </c>
      <c r="T77" s="207" t="n">
        <f aca="false">SUM(T75:T76)</f>
        <v>31520.4463791923</v>
      </c>
      <c r="U77" s="207" t="n">
        <f aca="false">SUM(U75:U76)</f>
        <v>25586.0698151951</v>
      </c>
      <c r="V77" s="207"/>
      <c r="W77" s="207"/>
      <c r="X77" s="207"/>
    </row>
    <row r="78" customFormat="false" ht="13.5" hidden="false" customHeight="false" outlineLevel="0" collapsed="false">
      <c r="A78" s="207"/>
      <c r="B78" s="207"/>
      <c r="C78" s="207"/>
      <c r="D78" s="207"/>
      <c r="E78" s="207"/>
      <c r="F78" s="207"/>
      <c r="G78" s="207"/>
      <c r="H78" s="207"/>
      <c r="I78" s="207"/>
      <c r="J78" s="207"/>
      <c r="K78" s="207"/>
      <c r="L78" s="207"/>
      <c r="M78" s="207"/>
      <c r="N78" s="207"/>
      <c r="O78" s="207"/>
      <c r="P78" s="207"/>
      <c r="Q78" s="207"/>
      <c r="R78" s="207"/>
      <c r="S78" s="207"/>
      <c r="T78" s="207"/>
      <c r="U78" s="207"/>
      <c r="V78" s="207"/>
      <c r="W78" s="207"/>
      <c r="X78" s="207"/>
    </row>
    <row r="79" customFormat="false" ht="13.5" hidden="false" customHeight="false" outlineLevel="0" collapsed="false">
      <c r="A79" s="210" t="s">
        <v>134</v>
      </c>
      <c r="B79" s="211" t="n">
        <f aca="false">IF(B77&gt;0.1,B8/B77," ")</f>
        <v>2.62484253763889</v>
      </c>
      <c r="C79" s="211" t="n">
        <f aca="false">IF(C77&gt;0.1,C8/C77," ")</f>
        <v>2.7478843007405</v>
      </c>
      <c r="D79" s="211" t="n">
        <f aca="false">IF(D77&gt;0.1,D8/D77," ")</f>
        <v>2.88513225791164</v>
      </c>
      <c r="E79" s="211" t="n">
        <f aca="false">IF(E77&gt;0.1,E8/E77," ")</f>
        <v>2.71038040296462</v>
      </c>
      <c r="F79" s="211" t="n">
        <f aca="false">IF(F77&gt;0.1,F8/F77," ")</f>
        <v>2.7801481620443</v>
      </c>
      <c r="G79" s="211" t="n">
        <f aca="false">IF(G77&gt;0.1,G8/G77," ")</f>
        <v>2.81502419933868</v>
      </c>
      <c r="H79" s="211" t="n">
        <f aca="false">IF(H77&gt;0.1,H8/H77," ")</f>
        <v>2.87135507148072</v>
      </c>
      <c r="I79" s="211" t="n">
        <f aca="false">IF(I77&gt;0.1,I8/I77," ")</f>
        <v>2.9008496252101</v>
      </c>
      <c r="J79" s="211" t="n">
        <f aca="false">IF(J77&gt;0.1,J8/J77," ")</f>
        <v>2.96787559824591</v>
      </c>
      <c r="K79" s="211" t="n">
        <f aca="false">IF(K77&gt;0.1,K8/K77," ")</f>
        <v>2.84058446487346</v>
      </c>
      <c r="L79" s="211" t="n">
        <f aca="false">IF(L77&gt;0.1,L8/L77," ")</f>
        <v>2.24778379241442</v>
      </c>
      <c r="M79" s="211" t="n">
        <f aca="false">IF(M77&gt;0.1,M8/M77," ")</f>
        <v>2.41311690990283</v>
      </c>
      <c r="N79" s="211" t="n">
        <f aca="false">IF(N77&gt;0.1,N8/N77," ")</f>
        <v>2.59978166443283</v>
      </c>
      <c r="O79" s="211" t="n">
        <f aca="false">IF(O77&gt;0.1,O8/O77," ")</f>
        <v>2.81434070067104</v>
      </c>
      <c r="P79" s="211" t="n">
        <f aca="false">IF(P77&gt;0.1,P8/P77," ")</f>
        <v>2.96160952354965</v>
      </c>
      <c r="Q79" s="211" t="n">
        <f aca="false">IF(Q77&gt;0.1,Q8/Q77," ")</f>
        <v>3.142458442665</v>
      </c>
      <c r="R79" s="211" t="n">
        <f aca="false">IF(R77&gt;0.1,R8/R77," ")</f>
        <v>3.45502920978911</v>
      </c>
      <c r="S79" s="211" t="n">
        <f aca="false">IF(S77&gt;0.1,S8/S77," ")</f>
        <v>4.45866826811671</v>
      </c>
      <c r="T79" s="211" t="n">
        <f aca="false">IF(T77&gt;0.1,T8/T77," ")</f>
        <v>4.94982449026107</v>
      </c>
      <c r="U79" s="212" t="n">
        <f aca="false">IF(U77&gt;0.1,U8/U77," ")</f>
        <v>6.18444424205217</v>
      </c>
      <c r="V79" s="190"/>
      <c r="W79" s="190"/>
      <c r="X79" s="190"/>
    </row>
    <row r="80" customFormat="false" ht="12.75" hidden="false" customHeight="false" outlineLevel="0" collapsed="false">
      <c r="A80" s="213"/>
      <c r="B80" s="214"/>
      <c r="C80" s="215"/>
      <c r="D80" s="215"/>
      <c r="E80" s="215"/>
      <c r="F80" s="215"/>
      <c r="G80" s="215"/>
      <c r="H80" s="215"/>
      <c r="I80" s="215"/>
      <c r="J80" s="215"/>
      <c r="K80" s="215"/>
      <c r="L80" s="215"/>
      <c r="M80" s="215"/>
      <c r="N80" s="215"/>
      <c r="O80" s="215"/>
      <c r="P80" s="215"/>
      <c r="Q80" s="215"/>
      <c r="R80" s="215"/>
      <c r="S80" s="215"/>
      <c r="T80" s="215"/>
      <c r="U80" s="215"/>
      <c r="V80" s="190"/>
      <c r="W80" s="190"/>
      <c r="X80" s="190"/>
    </row>
    <row r="81" customFormat="false" ht="12.75" hidden="false" customHeight="false" outlineLevel="0" collapsed="false">
      <c r="A81" s="213"/>
      <c r="B81" s="216"/>
      <c r="C81" s="216"/>
      <c r="D81" s="216"/>
      <c r="E81" s="0"/>
      <c r="F81" s="0"/>
      <c r="G81" s="0"/>
      <c r="H81" s="0"/>
      <c r="I81" s="216"/>
      <c r="J81" s="216"/>
      <c r="K81" s="216"/>
      <c r="L81" s="216"/>
      <c r="M81" s="216"/>
      <c r="N81" s="216"/>
      <c r="O81" s="216"/>
      <c r="P81" s="216"/>
      <c r="Q81" s="216"/>
      <c r="R81" s="216"/>
      <c r="S81" s="216"/>
      <c r="T81" s="216"/>
      <c r="U81" s="216"/>
      <c r="V81" s="190"/>
      <c r="W81" s="190"/>
      <c r="X81" s="190"/>
    </row>
    <row r="82" customFormat="false" ht="12.75" hidden="false" customHeight="false" outlineLevel="0" collapsed="false">
      <c r="A82" s="213"/>
      <c r="B82" s="217" t="s">
        <v>41</v>
      </c>
      <c r="C82" s="217"/>
      <c r="D82" s="217"/>
      <c r="E82" s="0"/>
      <c r="F82" s="0"/>
      <c r="G82" s="0"/>
      <c r="H82" s="0"/>
      <c r="I82" s="216"/>
      <c r="J82" s="216"/>
      <c r="K82" s="216"/>
      <c r="L82" s="216"/>
      <c r="M82" s="216"/>
      <c r="N82" s="216"/>
      <c r="O82" s="216"/>
      <c r="P82" s="216"/>
      <c r="Q82" s="216"/>
      <c r="R82" s="216"/>
      <c r="S82" s="216"/>
      <c r="T82" s="216"/>
      <c r="U82" s="216"/>
      <c r="V82" s="190"/>
      <c r="W82" s="190"/>
      <c r="X82" s="190"/>
    </row>
    <row r="83" customFormat="false" ht="12.75" hidden="false" customHeight="false" outlineLevel="0" collapsed="false">
      <c r="A83" s="213"/>
      <c r="B83" s="218" t="s">
        <v>135</v>
      </c>
      <c r="C83" s="219"/>
      <c r="D83" s="220"/>
      <c r="E83" s="0"/>
      <c r="F83" s="0"/>
      <c r="G83" s="0"/>
      <c r="H83" s="0"/>
      <c r="I83" s="216"/>
      <c r="J83" s="216"/>
      <c r="K83" s="216"/>
      <c r="L83" s="216"/>
      <c r="M83" s="216"/>
      <c r="N83" s="216"/>
      <c r="O83" s="216"/>
      <c r="P83" s="216"/>
      <c r="Q83" s="216"/>
      <c r="R83" s="216"/>
      <c r="S83" s="216"/>
      <c r="T83" s="216"/>
      <c r="U83" s="216"/>
      <c r="V83" s="190"/>
      <c r="W83" s="190"/>
      <c r="X83" s="190"/>
    </row>
    <row r="84" customFormat="false" ht="12.75" hidden="false" customHeight="false" outlineLevel="0" collapsed="false">
      <c r="A84" s="213"/>
      <c r="B84" s="221" t="s">
        <v>136</v>
      </c>
      <c r="C84" s="40"/>
      <c r="D84" s="222" t="n">
        <f aca="false">MIN(B79:U79)</f>
        <v>2.24778379241442</v>
      </c>
      <c r="E84" s="0"/>
      <c r="F84" s="0"/>
      <c r="G84" s="0"/>
      <c r="H84" s="0"/>
      <c r="I84" s="216"/>
      <c r="J84" s="216"/>
      <c r="K84" s="216"/>
      <c r="L84" s="216"/>
      <c r="M84" s="216"/>
      <c r="N84" s="216"/>
      <c r="O84" s="216"/>
      <c r="P84" s="216"/>
      <c r="Q84" s="216"/>
      <c r="R84" s="216"/>
      <c r="S84" s="216"/>
      <c r="T84" s="216"/>
      <c r="U84" s="216"/>
      <c r="V84" s="190"/>
      <c r="W84" s="190"/>
      <c r="X84" s="190"/>
    </row>
    <row r="85" customFormat="false" ht="12.75" hidden="false" customHeight="false" outlineLevel="0" collapsed="false">
      <c r="A85" s="213"/>
      <c r="B85" s="223" t="s">
        <v>137</v>
      </c>
      <c r="C85" s="224"/>
      <c r="D85" s="225" t="n">
        <f aca="false">AVERAGE(B79:U79)</f>
        <v>3.16855669321518</v>
      </c>
      <c r="E85" s="0"/>
      <c r="F85" s="0"/>
      <c r="G85" s="0"/>
      <c r="H85" s="0"/>
      <c r="I85" s="216"/>
      <c r="J85" s="216"/>
      <c r="K85" s="216"/>
      <c r="L85" s="216"/>
      <c r="M85" s="216"/>
      <c r="N85" s="216"/>
      <c r="O85" s="216"/>
      <c r="P85" s="216"/>
      <c r="Q85" s="216"/>
      <c r="R85" s="216"/>
      <c r="S85" s="216"/>
      <c r="T85" s="216"/>
      <c r="U85" s="216"/>
      <c r="V85" s="190"/>
      <c r="W85" s="190"/>
      <c r="X85" s="190"/>
    </row>
    <row r="86" customFormat="false" ht="12.75" hidden="false" customHeight="false" outlineLevel="0" collapsed="false">
      <c r="A86" s="213"/>
      <c r="F86" s="216"/>
      <c r="G86" s="216"/>
      <c r="H86" s="216"/>
      <c r="I86" s="216"/>
      <c r="J86" s="216"/>
      <c r="K86" s="216"/>
      <c r="L86" s="216"/>
      <c r="M86" s="216"/>
      <c r="N86" s="216"/>
      <c r="O86" s="216"/>
      <c r="P86" s="216"/>
      <c r="Q86" s="216"/>
      <c r="R86" s="216"/>
      <c r="S86" s="216"/>
      <c r="T86" s="216"/>
      <c r="U86" s="216"/>
      <c r="V86" s="190"/>
      <c r="W86" s="190"/>
      <c r="X86" s="190"/>
    </row>
    <row r="87" customFormat="false" ht="12.75" hidden="false" customHeight="false" outlineLevel="0" collapsed="false">
      <c r="A87" s="213"/>
      <c r="F87" s="216"/>
      <c r="G87" s="216"/>
      <c r="H87" s="216"/>
      <c r="I87" s="216"/>
      <c r="J87" s="216"/>
      <c r="K87" s="216"/>
      <c r="L87" s="216"/>
      <c r="M87" s="216"/>
      <c r="N87" s="216"/>
      <c r="O87" s="216"/>
      <c r="P87" s="216"/>
      <c r="Q87" s="216"/>
      <c r="R87" s="216"/>
      <c r="S87" s="216"/>
      <c r="T87" s="216"/>
      <c r="U87" s="216"/>
      <c r="V87" s="190"/>
      <c r="W87" s="190"/>
      <c r="X87" s="190"/>
    </row>
    <row r="88" customFormat="false" ht="12.75" hidden="false" customHeight="false" outlineLevel="0" collapsed="false">
      <c r="A88" s="213"/>
      <c r="F88" s="216"/>
      <c r="G88" s="216"/>
      <c r="H88" s="216"/>
      <c r="I88" s="216"/>
      <c r="J88" s="216"/>
      <c r="K88" s="216"/>
      <c r="L88" s="216"/>
      <c r="M88" s="216"/>
      <c r="N88" s="216"/>
      <c r="O88" s="216"/>
      <c r="P88" s="216"/>
      <c r="Q88" s="216"/>
      <c r="R88" s="216"/>
      <c r="S88" s="216"/>
      <c r="T88" s="216"/>
      <c r="U88" s="216"/>
      <c r="V88" s="190"/>
      <c r="W88" s="190"/>
      <c r="X88" s="190"/>
    </row>
    <row r="89" customFormat="false" ht="12.75" hidden="false" customHeight="false" outlineLevel="0" collapsed="false">
      <c r="A89" s="213"/>
      <c r="B89" s="181"/>
      <c r="C89" s="12"/>
      <c r="D89" s="12"/>
      <c r="E89" s="59"/>
      <c r="F89" s="216"/>
      <c r="G89" s="216"/>
      <c r="H89" s="216"/>
      <c r="I89" s="216"/>
      <c r="J89" s="216"/>
      <c r="K89" s="216"/>
      <c r="L89" s="216"/>
      <c r="M89" s="216"/>
      <c r="N89" s="216"/>
      <c r="O89" s="216"/>
      <c r="P89" s="216"/>
      <c r="Q89" s="216"/>
      <c r="R89" s="216"/>
      <c r="S89" s="216"/>
      <c r="T89" s="216"/>
      <c r="U89" s="216"/>
      <c r="V89" s="190"/>
      <c r="W89" s="190"/>
      <c r="X89" s="190"/>
    </row>
    <row r="90" customFormat="false" ht="12.75" hidden="false" customHeight="false" outlineLevel="0" collapsed="false">
      <c r="A90" s="213"/>
      <c r="B90" s="181"/>
      <c r="C90" s="12"/>
      <c r="D90" s="12"/>
      <c r="E90" s="59"/>
      <c r="F90" s="216"/>
      <c r="G90" s="216"/>
      <c r="H90" s="216"/>
      <c r="I90" s="216"/>
      <c r="J90" s="216"/>
      <c r="K90" s="216"/>
      <c r="L90" s="216"/>
      <c r="M90" s="216"/>
      <c r="N90" s="216"/>
      <c r="O90" s="216"/>
      <c r="P90" s="216"/>
      <c r="Q90" s="216"/>
      <c r="R90" s="216"/>
      <c r="S90" s="216"/>
      <c r="T90" s="216"/>
      <c r="U90" s="216"/>
      <c r="V90" s="190"/>
      <c r="W90" s="190"/>
      <c r="X90" s="190"/>
    </row>
    <row r="91" customFormat="false" ht="12.75" hidden="false" customHeight="false" outlineLevel="0" collapsed="false">
      <c r="A91" s="213" t="s">
        <v>138</v>
      </c>
      <c r="B91" s="226" t="n">
        <f aca="false">SUM(B13,B20,B27,B33,B40,B47,B53,B60,B67)</f>
        <v>39067.8384668036</v>
      </c>
      <c r="C91" s="226" t="n">
        <f aca="false">SUM(C13,C20,C27,C33,C40,C47,C53,C60,C67)</f>
        <v>39175.1676933607</v>
      </c>
      <c r="D91" s="226" t="n">
        <f aca="false">SUM(D13,D20,D27,D33,D40,D47,D53,D60,D67)</f>
        <v>39175.1676933607</v>
      </c>
      <c r="E91" s="226" t="n">
        <f aca="false">SUM(E13,E20,E27,E33,E40,E47,E53,E60,E67)</f>
        <v>39152.9664613279</v>
      </c>
      <c r="F91" s="226" t="n">
        <f aca="false">SUM(F13,F20,F27,F33,F40,F47,F53,F60,F67)</f>
        <v>38482.9748117728</v>
      </c>
      <c r="G91" s="226" t="n">
        <f aca="false">SUM(G13,G20,G27,G33,G40,G47,G53,G60,G67)</f>
        <v>37751.2271047228</v>
      </c>
      <c r="H91" s="226" t="n">
        <f aca="false">SUM(H13,H20,H27,H33,H40,H47,H53,H60,H67)</f>
        <v>36928.8412046543</v>
      </c>
      <c r="I91" s="226" t="n">
        <f aca="false">SUM(I13,I20,I27,I33,I40,I47,I53,I60,I67)</f>
        <v>36121.0924024641</v>
      </c>
      <c r="J91" s="226" t="n">
        <f aca="false">SUM(J13,J20,J27,J33,J40,J47,J53,J60,J67)</f>
        <v>34999.7649555099</v>
      </c>
      <c r="K91" s="226" t="n">
        <f aca="false">SUM(K13,K20,K27,K33,K40,K47,K53,K60,K67)</f>
        <v>33815.5550992471</v>
      </c>
      <c r="L91" s="226" t="n">
        <f aca="false">SUM(L13,L20,L27,L33,L40,L47,L53,L60,L67)</f>
        <v>31797.3289527721</v>
      </c>
      <c r="M91" s="226" t="n">
        <f aca="false">SUM(M13,M20,M27,M33,M40,M47,M53,M60,M67)</f>
        <v>28564.7253114305</v>
      </c>
      <c r="N91" s="226" t="n">
        <f aca="false">SUM(N13,N20,N27,N33,N40,N47,N53,N60,N67)</f>
        <v>25171.4672142368</v>
      </c>
      <c r="O91" s="226" t="n">
        <f aca="false">SUM(O13,O20,O27,O33,O40,O47,O53,O60,O67)</f>
        <v>21858.5363449692</v>
      </c>
      <c r="P91" s="226" t="n">
        <f aca="false">SUM(P13,P20,P27,P33,P40,P47,P53,P60,P67)</f>
        <v>18503.8534702259</v>
      </c>
      <c r="Q91" s="226" t="n">
        <f aca="false">SUM(Q13,Q20,Q27,Q33,Q40,Q47,Q53,Q60,Q67)</f>
        <v>15027.0913620808</v>
      </c>
      <c r="R91" s="226" t="n">
        <f aca="false">SUM(R13,R20,R27,R33,R40,R47,R53,R60,R67)</f>
        <v>11339.3000958248</v>
      </c>
      <c r="S91" s="226" t="n">
        <f aca="false">SUM(S13,S20,S27,S33,S40,S47,S53,S60,S67)</f>
        <v>7862.0841615332</v>
      </c>
      <c r="T91" s="226" t="n">
        <f aca="false">SUM(T13,T20,T27,T33,T40,T47,T53,T60,T67)</f>
        <v>4880.44637919233</v>
      </c>
      <c r="U91" s="226" t="n">
        <f aca="false">SUM(U13,U20,U27,U33,U40,U47,U53,U60,U67)</f>
        <v>1906.06981519507</v>
      </c>
      <c r="V91" s="190"/>
      <c r="W91" s="190"/>
      <c r="X91" s="190"/>
    </row>
    <row r="92" customFormat="false" ht="12.75" hidden="false" customHeight="false" outlineLevel="0" collapsed="false">
      <c r="A92" s="213"/>
      <c r="B92" s="181"/>
      <c r="C92" s="12"/>
      <c r="D92" s="12"/>
      <c r="E92" s="59"/>
      <c r="F92" s="216"/>
      <c r="G92" s="216"/>
      <c r="H92" s="216"/>
      <c r="I92" s="216"/>
      <c r="J92" s="216"/>
      <c r="K92" s="216"/>
      <c r="L92" s="216"/>
      <c r="M92" s="216"/>
      <c r="N92" s="216"/>
      <c r="O92" s="216"/>
      <c r="P92" s="216"/>
      <c r="Q92" s="216"/>
      <c r="R92" s="216"/>
      <c r="S92" s="216"/>
      <c r="T92" s="216"/>
      <c r="U92" s="216"/>
      <c r="V92" s="190"/>
      <c r="W92" s="190"/>
      <c r="X92" s="190"/>
    </row>
    <row r="93" customFormat="false" ht="12.75" hidden="false" customHeight="false" outlineLevel="0" collapsed="false">
      <c r="A93" s="213"/>
      <c r="B93" s="181"/>
      <c r="C93" s="12"/>
      <c r="D93" s="12"/>
      <c r="E93" s="59"/>
      <c r="F93" s="216"/>
      <c r="G93" s="216"/>
      <c r="H93" s="216"/>
      <c r="I93" s="216"/>
      <c r="J93" s="216"/>
      <c r="K93" s="216"/>
      <c r="L93" s="216"/>
      <c r="M93" s="216"/>
      <c r="N93" s="216"/>
      <c r="O93" s="216"/>
      <c r="P93" s="216"/>
      <c r="Q93" s="216"/>
      <c r="R93" s="216"/>
      <c r="S93" s="216"/>
      <c r="T93" s="216"/>
      <c r="U93" s="216"/>
      <c r="V93" s="190"/>
      <c r="W93" s="190"/>
      <c r="X93" s="190"/>
    </row>
    <row r="94" customFormat="false" ht="12.75" hidden="false" customHeight="false" outlineLevel="0" collapsed="false">
      <c r="B94" s="227" t="s">
        <v>12</v>
      </c>
      <c r="C94" s="227"/>
      <c r="D94" s="227"/>
      <c r="E94" s="227"/>
      <c r="F94" s="190"/>
      <c r="G94" s="227" t="s">
        <v>13</v>
      </c>
      <c r="H94" s="227"/>
      <c r="I94" s="227"/>
      <c r="J94" s="227"/>
      <c r="K94" s="190"/>
      <c r="L94" s="227" t="s">
        <v>14</v>
      </c>
      <c r="M94" s="227"/>
      <c r="N94" s="227"/>
      <c r="O94" s="227"/>
      <c r="P94" s="168"/>
      <c r="Q94" s="168"/>
      <c r="R94" s="168"/>
      <c r="S94" s="190"/>
      <c r="T94" s="190"/>
      <c r="U94" s="190"/>
      <c r="V94" s="190"/>
      <c r="W94" s="190"/>
      <c r="X94" s="190"/>
    </row>
    <row r="95" customFormat="false" ht="12.75" hidden="false" customHeight="false" outlineLevel="0" collapsed="false">
      <c r="B95" s="228" t="s">
        <v>139</v>
      </c>
      <c r="C95" s="229"/>
      <c r="D95" s="229"/>
      <c r="E95" s="230" t="n">
        <f aca="false">'Summary Output'!B20</f>
        <v>0.068</v>
      </c>
      <c r="F95" s="213"/>
      <c r="G95" s="228" t="s">
        <v>139</v>
      </c>
      <c r="H95" s="229"/>
      <c r="I95" s="229"/>
      <c r="J95" s="230" t="n">
        <f aca="false">'Summary Output'!C20</f>
        <v>0.065</v>
      </c>
      <c r="K95" s="213"/>
      <c r="L95" s="228" t="s">
        <v>139</v>
      </c>
      <c r="M95" s="229"/>
      <c r="N95" s="229"/>
      <c r="O95" s="230" t="n">
        <f aca="false">'Summary Output'!D20</f>
        <v>0.062</v>
      </c>
      <c r="P95" s="168"/>
      <c r="Q95" s="168"/>
      <c r="R95" s="168"/>
      <c r="S95" s="190"/>
      <c r="T95" s="190"/>
      <c r="U95" s="190"/>
      <c r="V95" s="190"/>
      <c r="W95" s="190"/>
      <c r="X95" s="190"/>
    </row>
    <row r="96" customFormat="false" ht="12.75" hidden="false" customHeight="false" outlineLevel="0" collapsed="false">
      <c r="B96" s="231" t="s">
        <v>23</v>
      </c>
      <c r="C96" s="12"/>
      <c r="D96" s="12"/>
      <c r="E96" s="232" t="n">
        <f aca="false">'Summary Output'!B21</f>
        <v>0.0225</v>
      </c>
      <c r="G96" s="231" t="s">
        <v>23</v>
      </c>
      <c r="H96" s="12"/>
      <c r="I96" s="12"/>
      <c r="J96" s="232" t="n">
        <f aca="false">'Summary Output'!C21</f>
        <v>0.045</v>
      </c>
      <c r="L96" s="231" t="s">
        <v>23</v>
      </c>
      <c r="M96" s="12"/>
      <c r="N96" s="12"/>
      <c r="O96" s="232" t="n">
        <f aca="false">'Summary Output'!D21</f>
        <v>0.05</v>
      </c>
    </row>
    <row r="97" customFormat="false" ht="12.75" hidden="false" customHeight="false" outlineLevel="0" collapsed="false">
      <c r="A97" s="195"/>
      <c r="B97" s="233" t="s">
        <v>140</v>
      </c>
      <c r="C97" s="234"/>
      <c r="D97" s="234"/>
      <c r="E97" s="235" t="n">
        <f aca="false">E96+E95</f>
        <v>0.0905</v>
      </c>
      <c r="G97" s="233" t="s">
        <v>140</v>
      </c>
      <c r="H97" s="234"/>
      <c r="I97" s="234"/>
      <c r="J97" s="235" t="n">
        <f aca="false">J96+J95</f>
        <v>0.11</v>
      </c>
      <c r="L97" s="233" t="s">
        <v>140</v>
      </c>
      <c r="M97" s="234"/>
      <c r="N97" s="234"/>
      <c r="O97" s="235" t="n">
        <f aca="false">O96+O95</f>
        <v>0.112</v>
      </c>
    </row>
    <row r="98" customFormat="false" ht="12.75" hidden="false" customHeight="false" outlineLevel="0" collapsed="false">
      <c r="B98" s="236" t="s">
        <v>141</v>
      </c>
      <c r="C98" s="229"/>
      <c r="D98" s="229"/>
      <c r="E98" s="237" t="n">
        <f aca="false">('Summary Output'!B17-'Summary Output'!$B$14)/365.25</f>
        <v>2.99520876112252</v>
      </c>
      <c r="G98" s="236" t="s">
        <v>141</v>
      </c>
      <c r="H98" s="229"/>
      <c r="I98" s="229"/>
      <c r="J98" s="237" t="n">
        <f aca="false">('Summary Output'!C17-'Summary Output'!$B$14)/365.25</f>
        <v>9.9958932238193</v>
      </c>
      <c r="L98" s="236" t="s">
        <v>141</v>
      </c>
      <c r="M98" s="229"/>
      <c r="N98" s="229"/>
      <c r="O98" s="237" t="n">
        <f aca="false">('Summary Output'!D17-'Summary Output'!$B$14)/365.25</f>
        <v>19.9972621492129</v>
      </c>
    </row>
    <row r="99" customFormat="false" ht="12.75" hidden="false" customHeight="false" outlineLevel="0" collapsed="false">
      <c r="B99" s="238" t="s">
        <v>142</v>
      </c>
      <c r="C99" s="12"/>
      <c r="D99" s="12"/>
      <c r="E99" s="239" t="e">
        <f aca="false">B109</f>
        <v>#DIV/0!</v>
      </c>
      <c r="G99" s="238" t="s">
        <v>142</v>
      </c>
      <c r="H99" s="12"/>
      <c r="I99" s="12"/>
      <c r="J99" s="239" t="n">
        <f aca="false">B110</f>
        <v>7.15483367556468</v>
      </c>
      <c r="L99" s="238" t="s">
        <v>142</v>
      </c>
      <c r="M99" s="12"/>
      <c r="N99" s="12"/>
      <c r="O99" s="239" t="n">
        <f aca="false">B111</f>
        <v>15.0306091718001</v>
      </c>
    </row>
    <row r="100" customFormat="false" ht="12.75" hidden="false" customHeight="false" outlineLevel="0" collapsed="false">
      <c r="B100" s="233" t="s">
        <v>143</v>
      </c>
      <c r="C100" s="234"/>
      <c r="D100" s="234"/>
      <c r="E100" s="240" t="n">
        <f aca="false">B14</f>
        <v>0</v>
      </c>
      <c r="G100" s="233" t="s">
        <v>143</v>
      </c>
      <c r="H100" s="234"/>
      <c r="I100" s="234"/>
      <c r="J100" s="240" t="n">
        <f aca="false">B34</f>
        <v>55000</v>
      </c>
      <c r="L100" s="233" t="s">
        <v>143</v>
      </c>
      <c r="M100" s="234"/>
      <c r="N100" s="234"/>
      <c r="O100" s="240" t="n">
        <f aca="false">B54</f>
        <v>296000</v>
      </c>
    </row>
    <row r="101" customFormat="false" ht="12.75" hidden="false" customHeight="false" outlineLevel="0" collapsed="false">
      <c r="B101" s="195"/>
    </row>
    <row r="102" customFormat="false" ht="12.75" hidden="false" customHeight="false" outlineLevel="0" collapsed="false">
      <c r="B102" s="195"/>
    </row>
    <row r="103" customFormat="false" ht="13.5" hidden="false" customHeight="false" outlineLevel="0" collapsed="false">
      <c r="A103" s="29"/>
      <c r="B103" s="29"/>
      <c r="C103" s="29"/>
      <c r="D103" s="29"/>
      <c r="E103" s="29"/>
      <c r="F103" s="29"/>
      <c r="G103" s="29"/>
      <c r="H103" s="29"/>
      <c r="I103" s="29"/>
      <c r="J103" s="29"/>
      <c r="K103" s="29"/>
      <c r="L103" s="29"/>
      <c r="M103" s="29"/>
      <c r="N103" s="29"/>
      <c r="O103" s="29"/>
      <c r="P103" s="29"/>
      <c r="Q103" s="29"/>
      <c r="R103" s="29"/>
      <c r="S103" s="29"/>
      <c r="T103" s="29"/>
      <c r="U103" s="29"/>
    </row>
    <row r="105" customFormat="false" ht="12.75" hidden="false" customHeight="false" outlineLevel="0" collapsed="false">
      <c r="A105" s="2" t="s">
        <v>144</v>
      </c>
      <c r="B105" s="241" t="n">
        <f aca="false">(B16-$B$11)/365.25</f>
        <v>0.492813141683778</v>
      </c>
      <c r="C105" s="241" t="n">
        <f aca="false">(C16-$B$11)/365.25</f>
        <v>1.492128678987</v>
      </c>
      <c r="D105" s="241" t="n">
        <f aca="false">(D16-$B$11)/365.25</f>
        <v>2.49144421629021</v>
      </c>
      <c r="E105" s="241" t="n">
        <f aca="false">(E16-$B$11)/365.25</f>
        <v>3.49349760438056</v>
      </c>
      <c r="F105" s="241" t="n">
        <f aca="false">(F16-$B$11)/365.25</f>
        <v>4.49281314168378</v>
      </c>
      <c r="G105" s="241" t="n">
        <f aca="false">(G16-$B$11)/365.25</f>
        <v>5.492128678987</v>
      </c>
      <c r="H105" s="241" t="n">
        <f aca="false">(H16-$B$11)/365.25</f>
        <v>6.49144421629021</v>
      </c>
      <c r="I105" s="241" t="n">
        <f aca="false">(I16-$B$11)/365.25</f>
        <v>7.49349760438056</v>
      </c>
      <c r="J105" s="241" t="n">
        <f aca="false">(J16-$B$11)/365.25</f>
        <v>8.49281314168378</v>
      </c>
      <c r="K105" s="241" t="n">
        <f aca="false">(K16-$B$11)/365.25</f>
        <v>9.492128678987</v>
      </c>
      <c r="L105" s="241" t="n">
        <f aca="false">(L16-$B$11)/365.25</f>
        <v>10.4914442162902</v>
      </c>
      <c r="M105" s="241" t="n">
        <f aca="false">(M16-$B$11)/365.25</f>
        <v>11.4934976043806</v>
      </c>
      <c r="N105" s="241" t="n">
        <f aca="false">(N16-$B$11)/365.25</f>
        <v>12.4928131416838</v>
      </c>
      <c r="O105" s="241" t="n">
        <f aca="false">(O16-$B$11)/365.25</f>
        <v>13.492128678987</v>
      </c>
      <c r="P105" s="241" t="n">
        <f aca="false">(P16-$B$11)/365.25</f>
        <v>14.4914442162902</v>
      </c>
      <c r="Q105" s="241" t="n">
        <f aca="false">(Q16-$B$11)/365.25</f>
        <v>15.4934976043806</v>
      </c>
      <c r="R105" s="241" t="n">
        <f aca="false">(R16-$B$11)/365.25</f>
        <v>16.4928131416838</v>
      </c>
      <c r="S105" s="241" t="n">
        <f aca="false">(S16-$B$11)/365.25</f>
        <v>17.492128678987</v>
      </c>
      <c r="T105" s="241" t="n">
        <f aca="false">(T16-$B$11)/365.25</f>
        <v>18.4914442162902</v>
      </c>
      <c r="U105" s="241" t="n">
        <f aca="false">(U16-$B$11)/365.25</f>
        <v>19.4934976043806</v>
      </c>
      <c r="V105" s="242"/>
      <c r="W105" s="242"/>
      <c r="X105" s="242"/>
    </row>
    <row r="106" customFormat="false" ht="12.75" hidden="false" customHeight="false" outlineLevel="0" collapsed="false">
      <c r="B106" s="241" t="n">
        <f aca="false">(B23-$B$11)/365.25</f>
        <v>0.996577686516085</v>
      </c>
      <c r="C106" s="241" t="n">
        <f aca="false">(C23-$B$11)/365.25</f>
        <v>1.9958932238193</v>
      </c>
      <c r="D106" s="241" t="n">
        <f aca="false">(D23-$B$11)/365.25</f>
        <v>2.99520876112252</v>
      </c>
      <c r="E106" s="241" t="n">
        <f aca="false">(E23-$B$11)/365.25</f>
        <v>3.99726214921287</v>
      </c>
      <c r="F106" s="241" t="n">
        <f aca="false">(F23-$B$11)/365.25</f>
        <v>4.99657768651609</v>
      </c>
      <c r="G106" s="241" t="n">
        <f aca="false">(G23-$B$11)/365.25</f>
        <v>5.9958932238193</v>
      </c>
      <c r="H106" s="241" t="n">
        <f aca="false">(H23-$B$11)/365.25</f>
        <v>6.99520876112252</v>
      </c>
      <c r="I106" s="241" t="n">
        <f aca="false">(I23-$B$11)/365.25</f>
        <v>7.99726214921287</v>
      </c>
      <c r="J106" s="241" t="n">
        <f aca="false">(J23-$B$11)/365.25</f>
        <v>8.99657768651609</v>
      </c>
      <c r="K106" s="241" t="n">
        <f aca="false">(K23-$B$11)/365.25</f>
        <v>9.9958932238193</v>
      </c>
      <c r="L106" s="241" t="n">
        <f aca="false">(L23-$B$11)/365.25</f>
        <v>10.9952087611225</v>
      </c>
      <c r="M106" s="241" t="n">
        <f aca="false">(M23-$B$11)/365.25</f>
        <v>11.9972621492129</v>
      </c>
      <c r="N106" s="241" t="n">
        <f aca="false">(N23-$B$11)/365.25</f>
        <v>12.9965776865161</v>
      </c>
      <c r="O106" s="241" t="n">
        <f aca="false">(O23-$B$11)/365.25</f>
        <v>13.9958932238193</v>
      </c>
      <c r="P106" s="241" t="n">
        <f aca="false">(P23-$B$11)/365.25</f>
        <v>14.9952087611225</v>
      </c>
      <c r="Q106" s="241" t="n">
        <f aca="false">(Q23-$B$11)/365.25</f>
        <v>15.9972621492129</v>
      </c>
      <c r="R106" s="241" t="n">
        <f aca="false">(R23-$B$11)/365.25</f>
        <v>16.9965776865161</v>
      </c>
      <c r="S106" s="241" t="n">
        <f aca="false">(S23-$B$11)/365.25</f>
        <v>17.9958932238193</v>
      </c>
      <c r="T106" s="241" t="n">
        <f aca="false">(T23-$B$11)/365.25</f>
        <v>18.9952087611225</v>
      </c>
      <c r="U106" s="241" t="n">
        <f aca="false">(U23-$B$11)/365.25</f>
        <v>19.9972621492129</v>
      </c>
      <c r="V106" s="241"/>
      <c r="W106" s="241"/>
      <c r="X106" s="241"/>
    </row>
    <row r="107" customFormat="false" ht="12.75" hidden="false" customHeight="false" outlineLevel="0" collapsed="false">
      <c r="B107" s="241"/>
      <c r="C107" s="241"/>
      <c r="D107" s="241"/>
      <c r="E107" s="241"/>
      <c r="F107" s="241"/>
      <c r="G107" s="241"/>
      <c r="H107" s="241"/>
      <c r="I107" s="241"/>
      <c r="J107" s="241"/>
      <c r="K107" s="241"/>
      <c r="L107" s="241"/>
      <c r="M107" s="241"/>
      <c r="N107" s="241"/>
      <c r="O107" s="241"/>
      <c r="P107" s="241"/>
      <c r="Q107" s="241"/>
      <c r="R107" s="241"/>
      <c r="S107" s="241"/>
      <c r="T107" s="241"/>
      <c r="U107" s="241"/>
      <c r="V107" s="241"/>
      <c r="W107" s="241"/>
      <c r="X107" s="241"/>
    </row>
    <row r="108" customFormat="false" ht="12.75" hidden="false" customHeight="false" outlineLevel="0" collapsed="false">
      <c r="A108" s="2" t="s">
        <v>145</v>
      </c>
      <c r="C108" s="195"/>
      <c r="D108" s="195"/>
      <c r="E108" s="195"/>
      <c r="F108" s="195"/>
      <c r="G108" s="195"/>
      <c r="H108" s="195"/>
      <c r="I108" s="195"/>
      <c r="J108" s="195"/>
      <c r="K108" s="195"/>
      <c r="L108" s="195"/>
      <c r="M108" s="195"/>
      <c r="N108" s="195"/>
      <c r="O108" s="195"/>
      <c r="P108" s="195"/>
      <c r="Q108" s="195"/>
      <c r="R108" s="195"/>
      <c r="S108" s="195"/>
      <c r="T108" s="195"/>
      <c r="U108" s="195"/>
      <c r="V108" s="195"/>
    </row>
    <row r="109" customFormat="false" ht="12.75" hidden="false" customHeight="false" outlineLevel="0" collapsed="false">
      <c r="A109" s="1" t="s">
        <v>12</v>
      </c>
      <c r="B109" s="243" t="e">
        <f aca="false">(SUMPRODUCT($B$105:$U$105,B19:U19)+SUMPRODUCT($B$106:$U$106,B26:U26))/E100</f>
        <v>#DIV/0!</v>
      </c>
      <c r="C109" s="195"/>
      <c r="D109" s="195"/>
      <c r="E109" s="195"/>
      <c r="F109" s="195"/>
      <c r="G109" s="195"/>
      <c r="H109" s="195"/>
      <c r="I109" s="195"/>
      <c r="J109" s="195"/>
      <c r="K109" s="195"/>
      <c r="L109" s="195"/>
      <c r="M109" s="195"/>
      <c r="N109" s="195"/>
      <c r="O109" s="195"/>
      <c r="P109" s="195"/>
      <c r="Q109" s="195"/>
      <c r="R109" s="195"/>
      <c r="S109" s="195"/>
      <c r="T109" s="195"/>
      <c r="U109" s="195"/>
      <c r="V109" s="195"/>
    </row>
    <row r="110" customFormat="false" ht="12.75" hidden="false" customHeight="false" outlineLevel="0" collapsed="false">
      <c r="A110" s="1" t="s">
        <v>13</v>
      </c>
      <c r="B110" s="243" t="n">
        <f aca="false">(SUMPRODUCT($B$105:$U$105,B39:U39)+SUMPRODUCT($B$106:$U$106,B46:U46))/J100</f>
        <v>7.15483367556468</v>
      </c>
      <c r="C110" s="195"/>
      <c r="D110" s="195"/>
      <c r="E110" s="195"/>
      <c r="F110" s="195"/>
      <c r="G110" s="195"/>
      <c r="H110" s="195"/>
      <c r="I110" s="195"/>
      <c r="J110" s="195"/>
      <c r="K110" s="195"/>
      <c r="L110" s="195"/>
      <c r="M110" s="195"/>
      <c r="N110" s="195"/>
      <c r="O110" s="195"/>
      <c r="P110" s="195"/>
      <c r="Q110" s="195"/>
      <c r="R110" s="195"/>
      <c r="S110" s="195"/>
      <c r="T110" s="195"/>
      <c r="U110" s="195"/>
      <c r="V110" s="195"/>
    </row>
    <row r="111" customFormat="false" ht="12.75" hidden="false" customHeight="false" outlineLevel="0" collapsed="false">
      <c r="A111" s="1" t="s">
        <v>14</v>
      </c>
      <c r="B111" s="243" t="n">
        <f aca="false">(SUMPRODUCT($B$105:$U$105,B59:U59)+SUMPRODUCT($B$106:$U$106,B66:U66))/O100</f>
        <v>15.0306091718001</v>
      </c>
      <c r="F111" s="195"/>
      <c r="G111" s="195"/>
      <c r="H111" s="195"/>
      <c r="I111" s="195"/>
      <c r="J111" s="195"/>
      <c r="K111" s="195"/>
      <c r="L111" s="195"/>
      <c r="M111" s="195"/>
      <c r="N111" s="195"/>
      <c r="O111" s="195"/>
      <c r="P111" s="195"/>
      <c r="Q111" s="195"/>
      <c r="R111" s="195"/>
      <c r="S111" s="195"/>
      <c r="T111" s="195"/>
      <c r="U111" s="195"/>
      <c r="V111" s="195"/>
      <c r="W111" s="195"/>
      <c r="X111" s="195"/>
    </row>
    <row r="112" customFormat="false" ht="13.5" hidden="false" customHeight="false" outlineLevel="0" collapsed="false">
      <c r="A112" s="29"/>
      <c r="B112" s="29"/>
      <c r="C112" s="29"/>
      <c r="D112" s="29"/>
      <c r="E112" s="29"/>
      <c r="F112" s="29"/>
      <c r="G112" s="29"/>
      <c r="H112" s="29"/>
      <c r="I112" s="29"/>
      <c r="J112" s="29"/>
      <c r="K112" s="29"/>
      <c r="L112" s="29"/>
      <c r="M112" s="29"/>
      <c r="N112" s="29"/>
      <c r="O112" s="29"/>
      <c r="P112" s="29"/>
      <c r="Q112" s="29"/>
      <c r="R112" s="29"/>
      <c r="S112" s="29"/>
      <c r="T112" s="29"/>
      <c r="U112" s="29"/>
    </row>
  </sheetData>
  <mergeCells count="4">
    <mergeCell ref="B82:D82"/>
    <mergeCell ref="B94:E94"/>
    <mergeCell ref="G94:J94"/>
    <mergeCell ref="L94:O94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&amp;L&amp;12Enron's Generation&amp;RCONFIDENTIAL</oddHeader>
    <oddFooter>&amp;L&amp;D&amp;C&amp;F&amp;RPage &amp;P</oddFooter>
  </headerFooter>
  <rowBreaks count="1" manualBreakCount="1">
    <brk id="89" man="true" max="16383" min="0"/>
  </rowBreaks>
  <colBreaks count="1" manualBreakCount="1">
    <brk id="11" man="true" max="65535" min="0"/>
  </col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IW33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1" ySplit="7" topLeftCell="B8" activePane="bottomRight" state="frozen"/>
      <selection pane="topLeft" activeCell="A1" activeCellId="0" sqref="A1"/>
      <selection pane="topRight" activeCell="B1" activeCellId="0" sqref="B1"/>
      <selection pane="bottomLeft" activeCell="A8" activeCellId="0" sqref="A8"/>
      <selection pane="bottomRight" activeCell="B13" activeCellId="0" sqref="B13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40.84"/>
    <col collapsed="false" customWidth="true" hidden="false" outlineLevel="0" max="2" min="2" style="1" width="9.28"/>
    <col collapsed="false" customWidth="true" hidden="false" outlineLevel="0" max="22" min="3" style="1" width="10.71"/>
    <col collapsed="false" customWidth="true" hidden="false" outlineLevel="0" max="24" min="23" style="93" width="10.28"/>
    <col collapsed="false" customWidth="true" hidden="false" outlineLevel="0" max="25" min="25" style="93" width="4.7"/>
    <col collapsed="false" customWidth="false" hidden="false" outlineLevel="0" max="257" min="26" style="1" width="9.14"/>
  </cols>
  <sheetData>
    <row r="2" customFormat="false" ht="18" hidden="false" customHeight="false" outlineLevel="0" collapsed="false">
      <c r="A2" s="149" t="s">
        <v>146</v>
      </c>
      <c r="B2" s="149"/>
    </row>
    <row r="5" customFormat="false" ht="18" hidden="false" customHeight="false" outlineLevel="0" collapsed="false">
      <c r="A5" s="244" t="s">
        <v>147</v>
      </c>
      <c r="B5" s="244"/>
    </row>
    <row r="6" customFormat="false" ht="12.75" hidden="false" customHeight="false" outlineLevel="0" collapsed="false">
      <c r="W6" s="245"/>
      <c r="X6" s="245"/>
    </row>
    <row r="7" customFormat="false" ht="13.5" hidden="false" customHeight="false" outlineLevel="0" collapsed="false">
      <c r="A7" s="154" t="s">
        <v>103</v>
      </c>
      <c r="B7" s="187" t="s">
        <v>148</v>
      </c>
      <c r="C7" s="155" t="n">
        <v>2001</v>
      </c>
      <c r="D7" s="155" t="n">
        <f aca="false">C7+1</f>
        <v>2002</v>
      </c>
      <c r="E7" s="155" t="n">
        <f aca="false">D7+1</f>
        <v>2003</v>
      </c>
      <c r="F7" s="155" t="n">
        <f aca="false">E7+1</f>
        <v>2004</v>
      </c>
      <c r="G7" s="155" t="n">
        <f aca="false">F7+1</f>
        <v>2005</v>
      </c>
      <c r="H7" s="155" t="n">
        <f aca="false">G7+1</f>
        <v>2006</v>
      </c>
      <c r="I7" s="155" t="n">
        <f aca="false">H7+1</f>
        <v>2007</v>
      </c>
      <c r="J7" s="155" t="n">
        <f aca="false">I7+1</f>
        <v>2008</v>
      </c>
      <c r="K7" s="155" t="n">
        <f aca="false">J7+1</f>
        <v>2009</v>
      </c>
      <c r="L7" s="155" t="n">
        <f aca="false">K7+1</f>
        <v>2010</v>
      </c>
      <c r="M7" s="155" t="n">
        <f aca="false">L7+1</f>
        <v>2011</v>
      </c>
      <c r="N7" s="155" t="n">
        <f aca="false">M7+1</f>
        <v>2012</v>
      </c>
      <c r="O7" s="155" t="n">
        <f aca="false">N7+1</f>
        <v>2013</v>
      </c>
      <c r="P7" s="155" t="n">
        <f aca="false">O7+1</f>
        <v>2014</v>
      </c>
      <c r="Q7" s="155" t="n">
        <f aca="false">P7+1</f>
        <v>2015</v>
      </c>
      <c r="R7" s="155" t="n">
        <f aca="false">Q7+1</f>
        <v>2016</v>
      </c>
      <c r="S7" s="155" t="n">
        <f aca="false">R7+1</f>
        <v>2017</v>
      </c>
      <c r="T7" s="155" t="n">
        <f aca="false">S7+1</f>
        <v>2018</v>
      </c>
      <c r="U7" s="155" t="n">
        <f aca="false">T7+1</f>
        <v>2019</v>
      </c>
      <c r="V7" s="155" t="n">
        <f aca="false">U7+1</f>
        <v>2020</v>
      </c>
      <c r="W7" s="246" t="s">
        <v>15</v>
      </c>
      <c r="X7" s="247" t="s">
        <v>125</v>
      </c>
      <c r="Y7" s="247"/>
    </row>
    <row r="8" customFormat="false" ht="12.75" hidden="false" customHeight="false" outlineLevel="0" collapsed="false">
      <c r="A8" s="248"/>
      <c r="B8" s="249" t="n">
        <f aca="false">'Summary Output'!B27</f>
        <v>36892</v>
      </c>
      <c r="C8" s="249" t="n">
        <v>37256</v>
      </c>
      <c r="D8" s="249" t="n">
        <v>37621</v>
      </c>
      <c r="E8" s="249" t="n">
        <v>37986</v>
      </c>
      <c r="F8" s="249" t="n">
        <v>38352</v>
      </c>
      <c r="G8" s="249" t="n">
        <v>38717</v>
      </c>
      <c r="H8" s="249" t="n">
        <v>39082</v>
      </c>
      <c r="I8" s="249" t="n">
        <v>39447</v>
      </c>
      <c r="J8" s="249" t="n">
        <v>39813</v>
      </c>
      <c r="K8" s="249" t="n">
        <v>40178</v>
      </c>
      <c r="L8" s="249" t="n">
        <v>40543</v>
      </c>
      <c r="M8" s="249" t="n">
        <v>40908</v>
      </c>
      <c r="N8" s="249" t="n">
        <v>41274</v>
      </c>
      <c r="O8" s="249" t="n">
        <v>41639</v>
      </c>
      <c r="P8" s="249" t="n">
        <v>42004</v>
      </c>
      <c r="Q8" s="249" t="n">
        <v>42369</v>
      </c>
      <c r="R8" s="249" t="n">
        <v>42735</v>
      </c>
      <c r="S8" s="249" t="n">
        <v>43100</v>
      </c>
      <c r="T8" s="249" t="n">
        <v>43465</v>
      </c>
      <c r="U8" s="249" t="n">
        <v>43830</v>
      </c>
      <c r="V8" s="249" t="n">
        <v>44196</v>
      </c>
      <c r="W8" s="250"/>
      <c r="X8" s="247"/>
      <c r="Y8" s="251"/>
    </row>
    <row r="9" customFormat="false" ht="12.75" hidden="false" customHeight="false" outlineLevel="0" collapsed="false">
      <c r="A9" s="159"/>
      <c r="B9" s="159"/>
      <c r="C9" s="156"/>
      <c r="D9" s="156"/>
      <c r="E9" s="156"/>
      <c r="F9" s="156"/>
      <c r="G9" s="252"/>
      <c r="H9" s="252"/>
      <c r="I9" s="253"/>
      <c r="J9" s="253"/>
      <c r="K9" s="252"/>
      <c r="L9" s="252"/>
      <c r="M9" s="156"/>
      <c r="N9" s="156"/>
      <c r="O9" s="156"/>
      <c r="P9" s="156"/>
      <c r="Q9" s="156"/>
      <c r="R9" s="156"/>
      <c r="S9" s="156"/>
      <c r="T9" s="156"/>
      <c r="U9" s="156"/>
      <c r="V9" s="156"/>
      <c r="W9" s="250"/>
      <c r="X9" s="247"/>
      <c r="Y9" s="251"/>
    </row>
    <row r="10" customFormat="false" ht="12.75" hidden="false" customHeight="false" outlineLevel="0" collapsed="false">
      <c r="A10" s="254" t="s">
        <v>115</v>
      </c>
      <c r="B10" s="172" t="n">
        <v>0</v>
      </c>
      <c r="C10" s="172" t="n">
        <f aca="false">IS!B27</f>
        <v>102546.924261271</v>
      </c>
      <c r="D10" s="172" t="n">
        <f aca="false">IS!C27</f>
        <v>107648.828283462</v>
      </c>
      <c r="E10" s="172" t="n">
        <f aca="false">IS!D27</f>
        <v>113025.540021213</v>
      </c>
      <c r="F10" s="172" t="n">
        <f aca="false">IS!E27</f>
        <v>118790.461398574</v>
      </c>
      <c r="G10" s="172" t="n">
        <f aca="false">IS!F27</f>
        <v>124878.625115702</v>
      </c>
      <c r="H10" s="172" t="n">
        <f aca="false">IS!G27</f>
        <v>126862.519872687</v>
      </c>
      <c r="I10" s="172" t="n">
        <f aca="false">IS!H27</f>
        <v>128934.872171949</v>
      </c>
      <c r="J10" s="172" t="n">
        <f aca="false">IS!I27</f>
        <v>131107.067706649</v>
      </c>
      <c r="K10" s="172" t="n">
        <f aca="false">IS!J27</f>
        <v>133420.149936338</v>
      </c>
      <c r="L10" s="172" t="n">
        <f aca="false">IS!K27</f>
        <v>135852.528838871</v>
      </c>
      <c r="M10" s="172" t="n">
        <f aca="false">IS!L27</f>
        <v>138007.920917578</v>
      </c>
      <c r="N10" s="172" t="n">
        <f aca="false">IS!M27</f>
        <v>140358.282208866</v>
      </c>
      <c r="O10" s="172" t="n">
        <f aca="false">IS!N27</f>
        <v>142393.856197657</v>
      </c>
      <c r="P10" s="172" t="n">
        <f aca="false">IS!O27</f>
        <v>144821.853232607</v>
      </c>
      <c r="Q10" s="172" t="n">
        <f aca="false">IS!P27</f>
        <v>146848.012651711</v>
      </c>
      <c r="R10" s="172" t="n">
        <f aca="false">IS!Q27</f>
        <v>149540.457012641</v>
      </c>
      <c r="S10" s="172" t="n">
        <f aca="false">IS!R27</f>
        <v>151673.364120372</v>
      </c>
      <c r="T10" s="172" t="n">
        <f aca="false">IS!S27</f>
        <v>153833.34783492</v>
      </c>
      <c r="U10" s="172" t="n">
        <f aca="false">IS!T27</f>
        <v>156020.677431687</v>
      </c>
      <c r="V10" s="172" t="n">
        <f aca="false">IS!U27</f>
        <v>158235.622145328</v>
      </c>
      <c r="W10" s="255" t="n">
        <f aca="false">SUM(C10:V10)</f>
        <v>2704800.91136008</v>
      </c>
      <c r="X10" s="256" t="n">
        <f aca="false">SUM(Wheatland!W48,Wilton!W48,Gleason!W48)</f>
        <v>2704800.91136008</v>
      </c>
      <c r="Y10" s="257" t="n">
        <f aca="false">W10-X10</f>
        <v>0</v>
      </c>
    </row>
    <row r="11" customFormat="false" ht="12.75" hidden="false" customHeight="false" outlineLevel="0" collapsed="false">
      <c r="B11" s="172"/>
      <c r="C11" s="172"/>
      <c r="D11" s="172"/>
      <c r="E11" s="172"/>
      <c r="F11" s="172"/>
      <c r="G11" s="172"/>
      <c r="H11" s="172"/>
      <c r="I11" s="172"/>
      <c r="J11" s="172"/>
      <c r="K11" s="172"/>
      <c r="L11" s="172"/>
      <c r="M11" s="172"/>
      <c r="N11" s="172"/>
      <c r="O11" s="172"/>
      <c r="P11" s="172"/>
      <c r="Q11" s="172"/>
      <c r="R11" s="172"/>
      <c r="S11" s="172"/>
      <c r="T11" s="172"/>
      <c r="U11" s="172"/>
      <c r="V11" s="172"/>
      <c r="W11" s="172"/>
      <c r="X11" s="251"/>
      <c r="Y11" s="251"/>
    </row>
    <row r="12" customFormat="false" ht="12" hidden="false" customHeight="true" outlineLevel="0" collapsed="false">
      <c r="A12" s="258" t="s">
        <v>149</v>
      </c>
      <c r="B12" s="172" t="n">
        <v>0</v>
      </c>
      <c r="C12" s="259" t="n">
        <f aca="false">IS!B22</f>
        <v>746.46</v>
      </c>
      <c r="D12" s="259" t="n">
        <f aca="false">IS!C22</f>
        <v>1050.307</v>
      </c>
      <c r="E12" s="259" t="n">
        <f aca="false">IS!D22</f>
        <v>1248.093</v>
      </c>
      <c r="F12" s="259" t="n">
        <f aca="false">IS!E22</f>
        <v>1339.135</v>
      </c>
      <c r="G12" s="259" t="n">
        <f aca="false">IS!F22</f>
        <v>1401.501</v>
      </c>
      <c r="H12" s="259" t="n">
        <f aca="false">IS!G22</f>
        <v>1623.537</v>
      </c>
      <c r="I12" s="259" t="n">
        <f aca="false">IS!H22</f>
        <v>1795.939</v>
      </c>
      <c r="J12" s="259" t="n">
        <f aca="false">IS!I22</f>
        <v>1908.112</v>
      </c>
      <c r="K12" s="259" t="n">
        <f aca="false">IS!J22</f>
        <v>1920.18</v>
      </c>
      <c r="L12" s="259" t="n">
        <f aca="false">IS!K22</f>
        <v>1854.138</v>
      </c>
      <c r="M12" s="259" t="n">
        <f aca="false">IS!L22</f>
        <v>2009.213</v>
      </c>
      <c r="N12" s="259" t="n">
        <f aca="false">IS!M22</f>
        <v>2009.18</v>
      </c>
      <c r="O12" s="259" t="n">
        <f aca="false">IS!N22</f>
        <v>2358.1</v>
      </c>
      <c r="P12" s="259" t="n">
        <f aca="false">IS!O22</f>
        <v>2358.1</v>
      </c>
      <c r="Q12" s="259" t="n">
        <f aca="false">IS!P22</f>
        <v>2794.25</v>
      </c>
      <c r="R12" s="259" t="n">
        <f aca="false">IS!Q22</f>
        <v>2229.731045</v>
      </c>
      <c r="S12" s="259" t="n">
        <f aca="false">IS!R22</f>
        <v>2244.6096659</v>
      </c>
      <c r="T12" s="259" t="n">
        <f aca="false">IS!S22</f>
        <v>2259.785859218</v>
      </c>
      <c r="U12" s="259" t="n">
        <f aca="false">IS!T22</f>
        <v>2275.26557640236</v>
      </c>
      <c r="V12" s="259" t="n">
        <f aca="false">IS!U22</f>
        <v>2291.05488793041</v>
      </c>
      <c r="W12" s="255" t="n">
        <f aca="false">SUM(C12:V12)</f>
        <v>37716.6920344508</v>
      </c>
      <c r="X12" s="256" t="n">
        <f aca="false">SUM(IS!B22:U22)</f>
        <v>37716.6920344508</v>
      </c>
      <c r="Y12" s="257" t="n">
        <f aca="false">W12-X12</f>
        <v>0</v>
      </c>
      <c r="Z12" s="93"/>
      <c r="AA12" s="93"/>
      <c r="AB12" s="93"/>
      <c r="AC12" s="93"/>
      <c r="AD12" s="93"/>
      <c r="AE12" s="93"/>
      <c r="AF12" s="93"/>
      <c r="AG12" s="93"/>
      <c r="AH12" s="93"/>
      <c r="AI12" s="93"/>
      <c r="AJ12" s="93"/>
      <c r="AK12" s="93"/>
      <c r="AL12" s="93"/>
      <c r="AM12" s="93"/>
      <c r="AN12" s="93"/>
      <c r="AO12" s="93"/>
      <c r="AP12" s="93"/>
      <c r="AQ12" s="93"/>
      <c r="AR12" s="93"/>
      <c r="AS12" s="93"/>
      <c r="AT12" s="93"/>
      <c r="AU12" s="93"/>
      <c r="AV12" s="93"/>
      <c r="AW12" s="93"/>
      <c r="AX12" s="93"/>
      <c r="AY12" s="93"/>
      <c r="AZ12" s="93"/>
      <c r="BA12" s="93"/>
      <c r="BB12" s="93"/>
      <c r="BC12" s="93"/>
      <c r="BD12" s="93"/>
      <c r="BE12" s="93"/>
      <c r="BF12" s="93"/>
      <c r="BG12" s="93"/>
      <c r="BH12" s="93"/>
      <c r="BI12" s="93"/>
      <c r="BJ12" s="93"/>
      <c r="BK12" s="93"/>
      <c r="BL12" s="93"/>
      <c r="BM12" s="93"/>
      <c r="BN12" s="93"/>
      <c r="BO12" s="93"/>
      <c r="BP12" s="93"/>
      <c r="BQ12" s="93"/>
      <c r="BR12" s="93"/>
      <c r="BS12" s="93"/>
      <c r="BT12" s="93"/>
      <c r="BU12" s="93"/>
      <c r="BV12" s="93"/>
      <c r="BW12" s="93"/>
      <c r="BX12" s="93"/>
      <c r="BY12" s="93"/>
      <c r="BZ12" s="93"/>
      <c r="CA12" s="93"/>
      <c r="CB12" s="93"/>
      <c r="CC12" s="93"/>
      <c r="CD12" s="93"/>
      <c r="CE12" s="93"/>
      <c r="CF12" s="93"/>
      <c r="CG12" s="93"/>
      <c r="CH12" s="93"/>
      <c r="CI12" s="93"/>
      <c r="CJ12" s="93"/>
      <c r="CK12" s="93"/>
      <c r="CL12" s="93"/>
      <c r="CM12" s="93"/>
      <c r="CN12" s="93"/>
      <c r="CO12" s="93"/>
      <c r="CP12" s="93"/>
      <c r="CQ12" s="93"/>
      <c r="CR12" s="93"/>
      <c r="CS12" s="93"/>
      <c r="CT12" s="93"/>
      <c r="CU12" s="93"/>
      <c r="CV12" s="93"/>
      <c r="CW12" s="93"/>
      <c r="CX12" s="93"/>
      <c r="CY12" s="93"/>
      <c r="CZ12" s="93"/>
      <c r="DA12" s="93"/>
      <c r="DB12" s="93"/>
      <c r="DC12" s="93"/>
      <c r="DD12" s="93"/>
      <c r="DE12" s="93"/>
      <c r="DF12" s="93"/>
      <c r="DG12" s="93"/>
      <c r="DH12" s="93"/>
      <c r="DI12" s="93"/>
      <c r="DJ12" s="93"/>
      <c r="DK12" s="93"/>
      <c r="DL12" s="93"/>
      <c r="DM12" s="93"/>
      <c r="DN12" s="93"/>
      <c r="DO12" s="93"/>
      <c r="DP12" s="93"/>
      <c r="DQ12" s="93"/>
      <c r="DR12" s="93"/>
      <c r="DS12" s="93"/>
      <c r="DT12" s="93"/>
      <c r="DU12" s="93"/>
      <c r="DV12" s="93"/>
      <c r="DW12" s="93"/>
      <c r="DX12" s="93"/>
      <c r="DY12" s="93"/>
      <c r="DZ12" s="93"/>
      <c r="EA12" s="93"/>
      <c r="EB12" s="93"/>
      <c r="EC12" s="93"/>
      <c r="ED12" s="93"/>
      <c r="EE12" s="93"/>
      <c r="EF12" s="93"/>
      <c r="EG12" s="93"/>
      <c r="EH12" s="93"/>
      <c r="EI12" s="93"/>
      <c r="EJ12" s="93"/>
      <c r="EK12" s="93"/>
      <c r="EL12" s="93"/>
      <c r="EM12" s="93"/>
      <c r="EN12" s="93"/>
      <c r="EO12" s="93"/>
      <c r="EP12" s="93"/>
      <c r="EQ12" s="93"/>
      <c r="ER12" s="93"/>
      <c r="ES12" s="93"/>
      <c r="ET12" s="93"/>
      <c r="EU12" s="93"/>
      <c r="EV12" s="93"/>
      <c r="EW12" s="93"/>
      <c r="EX12" s="93"/>
      <c r="EY12" s="93"/>
      <c r="EZ12" s="93"/>
      <c r="FA12" s="93"/>
      <c r="FB12" s="93"/>
      <c r="FC12" s="93"/>
      <c r="FD12" s="93"/>
      <c r="FE12" s="93"/>
      <c r="FF12" s="93"/>
      <c r="FG12" s="93"/>
      <c r="FH12" s="93"/>
      <c r="FI12" s="93"/>
      <c r="FJ12" s="93"/>
      <c r="FK12" s="93"/>
      <c r="FL12" s="93"/>
      <c r="FM12" s="93"/>
      <c r="FN12" s="93"/>
      <c r="FO12" s="93"/>
      <c r="FP12" s="93"/>
      <c r="FQ12" s="93"/>
      <c r="FR12" s="93"/>
      <c r="FS12" s="93"/>
      <c r="FT12" s="93"/>
      <c r="FU12" s="93"/>
      <c r="FV12" s="93"/>
      <c r="FW12" s="93"/>
      <c r="FX12" s="93"/>
      <c r="FY12" s="93"/>
      <c r="FZ12" s="93"/>
      <c r="GA12" s="93"/>
      <c r="GB12" s="93"/>
      <c r="GC12" s="93"/>
      <c r="GD12" s="93"/>
      <c r="GE12" s="93"/>
      <c r="GF12" s="93"/>
      <c r="GG12" s="93"/>
      <c r="GH12" s="93"/>
      <c r="GI12" s="93"/>
      <c r="GJ12" s="93"/>
      <c r="GK12" s="93"/>
      <c r="GL12" s="93"/>
      <c r="GM12" s="93"/>
      <c r="GN12" s="93"/>
      <c r="GO12" s="93"/>
      <c r="GP12" s="93"/>
      <c r="GQ12" s="93"/>
      <c r="GR12" s="93"/>
      <c r="GS12" s="93"/>
      <c r="GT12" s="93"/>
      <c r="GU12" s="93"/>
      <c r="GV12" s="93"/>
      <c r="GW12" s="93"/>
      <c r="GX12" s="93"/>
      <c r="GY12" s="93"/>
      <c r="GZ12" s="93"/>
      <c r="HA12" s="93"/>
      <c r="HB12" s="93"/>
      <c r="HC12" s="93"/>
      <c r="HD12" s="93"/>
      <c r="HE12" s="93"/>
      <c r="HF12" s="93"/>
      <c r="HG12" s="93"/>
      <c r="HH12" s="93"/>
      <c r="HI12" s="93"/>
      <c r="HJ12" s="93"/>
      <c r="HK12" s="93"/>
      <c r="HL12" s="93"/>
      <c r="HM12" s="93"/>
      <c r="HN12" s="93"/>
      <c r="HO12" s="93"/>
      <c r="HP12" s="93"/>
      <c r="HQ12" s="93"/>
      <c r="HR12" s="93"/>
      <c r="HS12" s="93"/>
      <c r="HT12" s="93"/>
      <c r="HU12" s="93"/>
      <c r="HV12" s="93"/>
      <c r="HW12" s="93"/>
      <c r="HX12" s="93"/>
      <c r="HY12" s="93"/>
      <c r="HZ12" s="93"/>
      <c r="IA12" s="93"/>
      <c r="IB12" s="93"/>
      <c r="IC12" s="93"/>
      <c r="ID12" s="93"/>
      <c r="IE12" s="93"/>
      <c r="IF12" s="93"/>
      <c r="IG12" s="93"/>
      <c r="IH12" s="93"/>
      <c r="II12" s="93"/>
      <c r="IJ12" s="93"/>
      <c r="IK12" s="93"/>
      <c r="IL12" s="93"/>
      <c r="IM12" s="93"/>
      <c r="IN12" s="93"/>
      <c r="IO12" s="93"/>
      <c r="IP12" s="93"/>
      <c r="IQ12" s="93"/>
      <c r="IR12" s="93"/>
      <c r="IS12" s="93"/>
      <c r="IT12" s="93"/>
      <c r="IU12" s="93"/>
      <c r="IV12" s="93"/>
      <c r="IW12" s="93"/>
    </row>
    <row r="13" customFormat="false" ht="12.75" hidden="false" customHeight="false" outlineLevel="0" collapsed="false">
      <c r="A13" s="258" t="s">
        <v>150</v>
      </c>
      <c r="B13" s="172" t="n">
        <v>0</v>
      </c>
      <c r="C13" s="259" t="n">
        <f aca="false">SUM(Gleason!B50,Wheatland!B50,Wilton!B50)</f>
        <v>-629.1981014</v>
      </c>
      <c r="D13" s="259" t="n">
        <f aca="false">-C12</f>
        <v>-746.46</v>
      </c>
      <c r="E13" s="259" t="n">
        <f aca="false">-D12</f>
        <v>-1050.307</v>
      </c>
      <c r="F13" s="259" t="n">
        <f aca="false">-E12</f>
        <v>-1248.093</v>
      </c>
      <c r="G13" s="259" t="n">
        <f aca="false">-F12</f>
        <v>-1339.135</v>
      </c>
      <c r="H13" s="259" t="n">
        <f aca="false">-G12</f>
        <v>-1401.501</v>
      </c>
      <c r="I13" s="259" t="n">
        <f aca="false">-H12</f>
        <v>-1623.537</v>
      </c>
      <c r="J13" s="259" t="n">
        <f aca="false">-I12</f>
        <v>-1795.939</v>
      </c>
      <c r="K13" s="259" t="n">
        <f aca="false">-J12</f>
        <v>-1908.112</v>
      </c>
      <c r="L13" s="259" t="n">
        <f aca="false">-K12</f>
        <v>-1920.18</v>
      </c>
      <c r="M13" s="259" t="n">
        <f aca="false">-L12</f>
        <v>-1854.138</v>
      </c>
      <c r="N13" s="259" t="n">
        <f aca="false">-M12</f>
        <v>-2009.213</v>
      </c>
      <c r="O13" s="259" t="n">
        <f aca="false">-N12</f>
        <v>-2009.18</v>
      </c>
      <c r="P13" s="259" t="n">
        <f aca="false">-O12</f>
        <v>-2358.1</v>
      </c>
      <c r="Q13" s="259" t="n">
        <f aca="false">-P12</f>
        <v>-2358.1</v>
      </c>
      <c r="R13" s="259" t="n">
        <f aca="false">-Q12</f>
        <v>-2794.25</v>
      </c>
      <c r="S13" s="259" t="n">
        <f aca="false">-R12</f>
        <v>-2229.731045</v>
      </c>
      <c r="T13" s="259" t="n">
        <f aca="false">-S12</f>
        <v>-2244.6096659</v>
      </c>
      <c r="U13" s="259" t="n">
        <f aca="false">-T12</f>
        <v>-2259.785859218</v>
      </c>
      <c r="V13" s="259" t="n">
        <f aca="false">-U12</f>
        <v>-2275.26557640236</v>
      </c>
      <c r="W13" s="255" t="n">
        <f aca="false">SUM(C13:V13)</f>
        <v>-36054.8352479204</v>
      </c>
      <c r="X13" s="256" t="n">
        <f aca="false">SUM(Wheatland!W50,Wilton!W50,Gleason!W50)</f>
        <v>-36054.8352479204</v>
      </c>
      <c r="Y13" s="257" t="n">
        <f aca="false">W13-X13</f>
        <v>0</v>
      </c>
      <c r="Z13" s="93"/>
      <c r="AA13" s="93"/>
      <c r="AB13" s="93"/>
      <c r="AC13" s="93"/>
      <c r="AD13" s="93"/>
      <c r="AE13" s="93"/>
      <c r="AF13" s="93"/>
      <c r="AG13" s="93"/>
      <c r="AH13" s="93"/>
      <c r="AI13" s="93"/>
      <c r="AJ13" s="93"/>
      <c r="AK13" s="93"/>
      <c r="AL13" s="93"/>
      <c r="AM13" s="93"/>
      <c r="AN13" s="93"/>
      <c r="AO13" s="93"/>
      <c r="AP13" s="93"/>
      <c r="AQ13" s="93"/>
      <c r="AR13" s="93"/>
      <c r="AS13" s="93"/>
      <c r="AT13" s="93"/>
      <c r="AU13" s="93"/>
      <c r="AV13" s="93"/>
      <c r="AW13" s="93"/>
      <c r="AX13" s="93"/>
      <c r="AY13" s="93"/>
      <c r="AZ13" s="93"/>
      <c r="BA13" s="93"/>
      <c r="BB13" s="93"/>
      <c r="BC13" s="93"/>
      <c r="BD13" s="93"/>
      <c r="BE13" s="93"/>
      <c r="BF13" s="93"/>
      <c r="BG13" s="93"/>
      <c r="BH13" s="93"/>
      <c r="BI13" s="93"/>
      <c r="BJ13" s="93"/>
      <c r="BK13" s="93"/>
      <c r="BL13" s="93"/>
      <c r="BM13" s="93"/>
      <c r="BN13" s="93"/>
      <c r="BO13" s="93"/>
      <c r="BP13" s="93"/>
      <c r="BQ13" s="93"/>
      <c r="BR13" s="93"/>
      <c r="BS13" s="93"/>
      <c r="BT13" s="93"/>
      <c r="BU13" s="93"/>
      <c r="BV13" s="93"/>
      <c r="BW13" s="93"/>
      <c r="BX13" s="93"/>
      <c r="BY13" s="93"/>
      <c r="BZ13" s="93"/>
      <c r="CA13" s="93"/>
      <c r="CB13" s="93"/>
      <c r="CC13" s="93"/>
      <c r="CD13" s="93"/>
      <c r="CE13" s="93"/>
      <c r="CF13" s="93"/>
      <c r="CG13" s="93"/>
      <c r="CH13" s="93"/>
      <c r="CI13" s="93"/>
      <c r="CJ13" s="93"/>
      <c r="CK13" s="93"/>
      <c r="CL13" s="93"/>
      <c r="CM13" s="93"/>
      <c r="CN13" s="93"/>
      <c r="CO13" s="93"/>
      <c r="CP13" s="93"/>
      <c r="CQ13" s="93"/>
      <c r="CR13" s="93"/>
      <c r="CS13" s="93"/>
      <c r="CT13" s="93"/>
      <c r="CU13" s="93"/>
      <c r="CV13" s="93"/>
      <c r="CW13" s="93"/>
      <c r="CX13" s="93"/>
      <c r="CY13" s="93"/>
      <c r="CZ13" s="93"/>
      <c r="DA13" s="93"/>
      <c r="DB13" s="93"/>
      <c r="DC13" s="93"/>
      <c r="DD13" s="93"/>
      <c r="DE13" s="93"/>
      <c r="DF13" s="93"/>
      <c r="DG13" s="93"/>
      <c r="DH13" s="93"/>
      <c r="DI13" s="93"/>
      <c r="DJ13" s="93"/>
      <c r="DK13" s="93"/>
      <c r="DL13" s="93"/>
      <c r="DM13" s="93"/>
      <c r="DN13" s="93"/>
      <c r="DO13" s="93"/>
      <c r="DP13" s="93"/>
      <c r="DQ13" s="93"/>
      <c r="DR13" s="93"/>
      <c r="DS13" s="93"/>
      <c r="DT13" s="93"/>
      <c r="DU13" s="93"/>
      <c r="DV13" s="93"/>
      <c r="DW13" s="93"/>
      <c r="DX13" s="93"/>
      <c r="DY13" s="93"/>
      <c r="DZ13" s="93"/>
      <c r="EA13" s="93"/>
      <c r="EB13" s="93"/>
      <c r="EC13" s="93"/>
      <c r="ED13" s="93"/>
      <c r="EE13" s="93"/>
      <c r="EF13" s="93"/>
      <c r="EG13" s="93"/>
      <c r="EH13" s="93"/>
      <c r="EI13" s="93"/>
      <c r="EJ13" s="93"/>
      <c r="EK13" s="93"/>
      <c r="EL13" s="93"/>
      <c r="EM13" s="93"/>
      <c r="EN13" s="93"/>
      <c r="EO13" s="93"/>
      <c r="EP13" s="93"/>
      <c r="EQ13" s="93"/>
      <c r="ER13" s="93"/>
      <c r="ES13" s="93"/>
      <c r="ET13" s="93"/>
      <c r="EU13" s="93"/>
      <c r="EV13" s="93"/>
      <c r="EW13" s="93"/>
      <c r="EX13" s="93"/>
      <c r="EY13" s="93"/>
      <c r="EZ13" s="93"/>
      <c r="FA13" s="93"/>
      <c r="FB13" s="93"/>
      <c r="FC13" s="93"/>
      <c r="FD13" s="93"/>
      <c r="FE13" s="93"/>
      <c r="FF13" s="93"/>
      <c r="FG13" s="93"/>
      <c r="FH13" s="93"/>
      <c r="FI13" s="93"/>
      <c r="FJ13" s="93"/>
      <c r="FK13" s="93"/>
      <c r="FL13" s="93"/>
      <c r="FM13" s="93"/>
      <c r="FN13" s="93"/>
      <c r="FO13" s="93"/>
      <c r="FP13" s="93"/>
      <c r="FQ13" s="93"/>
      <c r="FR13" s="93"/>
      <c r="FS13" s="93"/>
      <c r="FT13" s="93"/>
      <c r="FU13" s="93"/>
      <c r="FV13" s="93"/>
      <c r="FW13" s="93"/>
      <c r="FX13" s="93"/>
      <c r="FY13" s="93"/>
      <c r="FZ13" s="93"/>
      <c r="GA13" s="93"/>
      <c r="GB13" s="93"/>
      <c r="GC13" s="93"/>
      <c r="GD13" s="93"/>
      <c r="GE13" s="93"/>
      <c r="GF13" s="93"/>
      <c r="GG13" s="93"/>
      <c r="GH13" s="93"/>
      <c r="GI13" s="93"/>
      <c r="GJ13" s="93"/>
      <c r="GK13" s="93"/>
      <c r="GL13" s="93"/>
      <c r="GM13" s="93"/>
      <c r="GN13" s="93"/>
      <c r="GO13" s="93"/>
      <c r="GP13" s="93"/>
      <c r="GQ13" s="93"/>
      <c r="GR13" s="93"/>
      <c r="GS13" s="93"/>
      <c r="GT13" s="93"/>
      <c r="GU13" s="93"/>
      <c r="GV13" s="93"/>
      <c r="GW13" s="93"/>
      <c r="GX13" s="93"/>
      <c r="GY13" s="93"/>
      <c r="GZ13" s="93"/>
      <c r="HA13" s="93"/>
      <c r="HB13" s="93"/>
      <c r="HC13" s="93"/>
      <c r="HD13" s="93"/>
      <c r="HE13" s="93"/>
      <c r="HF13" s="93"/>
      <c r="HG13" s="93"/>
      <c r="HH13" s="93"/>
      <c r="HI13" s="93"/>
      <c r="HJ13" s="93"/>
      <c r="HK13" s="93"/>
      <c r="HL13" s="93"/>
      <c r="HM13" s="93"/>
      <c r="HN13" s="93"/>
      <c r="HO13" s="93"/>
      <c r="HP13" s="93"/>
      <c r="HQ13" s="93"/>
      <c r="HR13" s="93"/>
      <c r="HS13" s="93"/>
      <c r="HT13" s="93"/>
      <c r="HU13" s="93"/>
      <c r="HV13" s="93"/>
      <c r="HW13" s="93"/>
      <c r="HX13" s="93"/>
      <c r="HY13" s="93"/>
      <c r="HZ13" s="93"/>
      <c r="IA13" s="93"/>
      <c r="IB13" s="93"/>
      <c r="IC13" s="93"/>
      <c r="ID13" s="93"/>
      <c r="IE13" s="93"/>
      <c r="IF13" s="93"/>
      <c r="IG13" s="93"/>
      <c r="IH13" s="93"/>
      <c r="II13" s="93"/>
      <c r="IJ13" s="93"/>
      <c r="IK13" s="93"/>
      <c r="IL13" s="93"/>
      <c r="IM13" s="93"/>
      <c r="IN13" s="93"/>
      <c r="IO13" s="93"/>
      <c r="IP13" s="93"/>
      <c r="IQ13" s="93"/>
      <c r="IR13" s="93"/>
      <c r="IS13" s="93"/>
      <c r="IT13" s="93"/>
      <c r="IU13" s="93"/>
      <c r="IV13" s="93"/>
      <c r="IW13" s="93"/>
    </row>
    <row r="14" customFormat="false" ht="12.75" hidden="false" customHeight="false" outlineLevel="0" collapsed="false">
      <c r="A14" s="258" t="s">
        <v>151</v>
      </c>
      <c r="B14" s="172" t="n">
        <v>0</v>
      </c>
      <c r="C14" s="172" t="n">
        <f aca="false">-Debt!B75</f>
        <v>-0</v>
      </c>
      <c r="D14" s="172" t="n">
        <f aca="false">-Debt!C75</f>
        <v>-0</v>
      </c>
      <c r="E14" s="172" t="n">
        <f aca="false">-Debt!D75</f>
        <v>-0</v>
      </c>
      <c r="F14" s="172" t="n">
        <f aca="false">-Debt!E75</f>
        <v>-4675</v>
      </c>
      <c r="G14" s="172" t="n">
        <f aca="false">-Debt!F75</f>
        <v>-6435</v>
      </c>
      <c r="H14" s="172" t="n">
        <f aca="false">-Debt!G75</f>
        <v>-7315</v>
      </c>
      <c r="I14" s="172" t="n">
        <f aca="false">-Debt!H75</f>
        <v>-7975</v>
      </c>
      <c r="J14" s="172" t="n">
        <f aca="false">-Debt!I75</f>
        <v>-9075</v>
      </c>
      <c r="K14" s="172" t="n">
        <f aca="false">-Debt!J75</f>
        <v>-9955</v>
      </c>
      <c r="L14" s="172" t="n">
        <f aca="false">-Debt!K75</f>
        <v>-14010</v>
      </c>
      <c r="M14" s="172" t="n">
        <f aca="false">-Debt!L75</f>
        <v>-29600</v>
      </c>
      <c r="N14" s="172" t="n">
        <f aca="false">-Debt!M75</f>
        <v>-29600</v>
      </c>
      <c r="O14" s="172" t="n">
        <f aca="false">-Debt!N75</f>
        <v>-29600</v>
      </c>
      <c r="P14" s="172" t="n">
        <f aca="false">-Debt!O75</f>
        <v>-29600</v>
      </c>
      <c r="Q14" s="172" t="n">
        <f aca="false">-Debt!P75</f>
        <v>-31080</v>
      </c>
      <c r="R14" s="172" t="n">
        <f aca="false">-Debt!Q75</f>
        <v>-32560</v>
      </c>
      <c r="S14" s="172" t="n">
        <f aca="false">-Debt!R75</f>
        <v>-32560</v>
      </c>
      <c r="T14" s="172" t="n">
        <f aca="false">-Debt!S75</f>
        <v>-26640</v>
      </c>
      <c r="U14" s="172" t="n">
        <f aca="false">-Debt!T75</f>
        <v>-26640</v>
      </c>
      <c r="V14" s="172" t="n">
        <f aca="false">-Debt!U75</f>
        <v>-23680</v>
      </c>
      <c r="W14" s="255" t="n">
        <f aca="false">SUM(C14:V14)</f>
        <v>-351000</v>
      </c>
      <c r="X14" s="256" t="n">
        <f aca="false">SUM(Debt!B75:U75)</f>
        <v>351000</v>
      </c>
      <c r="Y14" s="257" t="n">
        <f aca="false">W14+X14</f>
        <v>0</v>
      </c>
    </row>
    <row r="15" customFormat="false" ht="12.75" hidden="false" customHeight="false" outlineLevel="0" collapsed="false">
      <c r="A15" s="258" t="s">
        <v>152</v>
      </c>
      <c r="B15" s="260" t="n">
        <v>0</v>
      </c>
      <c r="C15" s="260" t="n">
        <f aca="false">-Debt!B76</f>
        <v>-39067.8384668036</v>
      </c>
      <c r="D15" s="260" t="n">
        <f aca="false">-Debt!C76</f>
        <v>-39175.1676933607</v>
      </c>
      <c r="E15" s="260" t="n">
        <f aca="false">-Debt!D76</f>
        <v>-39175.1676933607</v>
      </c>
      <c r="F15" s="260" t="n">
        <f aca="false">-Debt!E76</f>
        <v>-39152.9664613279</v>
      </c>
      <c r="G15" s="260" t="n">
        <f aca="false">-Debt!F76</f>
        <v>-38482.9748117728</v>
      </c>
      <c r="H15" s="260" t="n">
        <f aca="false">-Debt!G76</f>
        <v>-37751.2271047228</v>
      </c>
      <c r="I15" s="260" t="n">
        <f aca="false">-Debt!H76</f>
        <v>-36928.8412046543</v>
      </c>
      <c r="J15" s="260" t="n">
        <f aca="false">-Debt!I76</f>
        <v>-36121.0924024641</v>
      </c>
      <c r="K15" s="260" t="n">
        <f aca="false">-Debt!J76</f>
        <v>-34999.7649555099</v>
      </c>
      <c r="L15" s="260" t="n">
        <f aca="false">-Debt!K76</f>
        <v>-33815.5550992471</v>
      </c>
      <c r="M15" s="260" t="n">
        <f aca="false">-Debt!L76</f>
        <v>-31797.3289527721</v>
      </c>
      <c r="N15" s="260" t="n">
        <f aca="false">-Debt!M76</f>
        <v>-28564.7253114305</v>
      </c>
      <c r="O15" s="260" t="n">
        <f aca="false">-Debt!N76</f>
        <v>-25171.4672142368</v>
      </c>
      <c r="P15" s="260" t="n">
        <f aca="false">-Debt!O76</f>
        <v>-21858.5363449692</v>
      </c>
      <c r="Q15" s="260" t="n">
        <f aca="false">-Debt!P76</f>
        <v>-18503.8534702259</v>
      </c>
      <c r="R15" s="260" t="n">
        <f aca="false">-Debt!Q76</f>
        <v>-15027.0913620808</v>
      </c>
      <c r="S15" s="260" t="n">
        <f aca="false">-Debt!R76</f>
        <v>-11339.3000958248</v>
      </c>
      <c r="T15" s="260" t="n">
        <f aca="false">-Debt!S76</f>
        <v>-7862.0841615332</v>
      </c>
      <c r="U15" s="260" t="n">
        <f aca="false">-Debt!T76</f>
        <v>-4880.44637919233</v>
      </c>
      <c r="V15" s="260" t="n">
        <f aca="false">-Debt!U76</f>
        <v>-1906.06981519507</v>
      </c>
      <c r="W15" s="261" t="n">
        <f aca="false">SUM(C15:V15)</f>
        <v>-541581.499000685</v>
      </c>
      <c r="X15" s="256" t="n">
        <f aca="false">SUM(Debt!B76:U76)</f>
        <v>541581.499000685</v>
      </c>
      <c r="Y15" s="257" t="n">
        <f aca="false">W15+X15</f>
        <v>0</v>
      </c>
    </row>
    <row r="16" customFormat="false" ht="12.75" hidden="false" customHeight="false" outlineLevel="0" collapsed="false">
      <c r="A16" s="258"/>
      <c r="B16" s="172"/>
      <c r="C16" s="172"/>
      <c r="D16" s="172"/>
      <c r="E16" s="172"/>
      <c r="F16" s="172"/>
      <c r="G16" s="172"/>
      <c r="H16" s="172"/>
      <c r="I16" s="172"/>
      <c r="J16" s="172"/>
      <c r="K16" s="172"/>
      <c r="L16" s="172"/>
      <c r="M16" s="172"/>
      <c r="N16" s="172"/>
      <c r="O16" s="172"/>
      <c r="P16" s="172"/>
      <c r="Q16" s="172"/>
      <c r="R16" s="172"/>
      <c r="S16" s="172"/>
      <c r="T16" s="172"/>
      <c r="U16" s="172"/>
      <c r="V16" s="172"/>
      <c r="W16" s="172"/>
      <c r="X16" s="256"/>
      <c r="Y16" s="168"/>
    </row>
    <row r="17" customFormat="false" ht="12.75" hidden="false" customHeight="false" outlineLevel="0" collapsed="false">
      <c r="A17" s="254" t="s">
        <v>153</v>
      </c>
      <c r="B17" s="160" t="n">
        <f aca="false">SUM(B10:B15)</f>
        <v>0</v>
      </c>
      <c r="C17" s="160" t="n">
        <f aca="false">SUM(C10:C15)</f>
        <v>63596.3476930674</v>
      </c>
      <c r="D17" s="160" t="n">
        <f aca="false">SUM(D10:D15)</f>
        <v>68777.5075901017</v>
      </c>
      <c r="E17" s="160" t="n">
        <f aca="false">SUM(E10:E15)</f>
        <v>74048.1583278522</v>
      </c>
      <c r="F17" s="160" t="n">
        <f aca="false">SUM(F10:F15)</f>
        <v>75053.5369372457</v>
      </c>
      <c r="G17" s="160" t="n">
        <f aca="false">SUM(G10:G15)</f>
        <v>80023.0163039296</v>
      </c>
      <c r="H17" s="160" t="n">
        <f aca="false">SUM(H10:H15)</f>
        <v>82018.3287679645</v>
      </c>
      <c r="I17" s="160" t="n">
        <f aca="false">SUM(I10:I15)</f>
        <v>84203.4329672951</v>
      </c>
      <c r="J17" s="160" t="n">
        <f aca="false">SUM(J10:J15)</f>
        <v>86023.1483041846</v>
      </c>
      <c r="K17" s="160" t="n">
        <f aca="false">SUM(K10:K15)</f>
        <v>88477.4529808284</v>
      </c>
      <c r="L17" s="160" t="n">
        <f aca="false">SUM(L10:L15)</f>
        <v>87960.9317396237</v>
      </c>
      <c r="M17" s="160" t="n">
        <f aca="false">SUM(M10:M15)</f>
        <v>76765.6669648058</v>
      </c>
      <c r="N17" s="160" t="n">
        <f aca="false">SUM(N10:N15)</f>
        <v>82193.5238974355</v>
      </c>
      <c r="O17" s="160" t="n">
        <f aca="false">SUM(O10:O15)</f>
        <v>87971.3089834199</v>
      </c>
      <c r="P17" s="160" t="n">
        <f aca="false">SUM(P10:P15)</f>
        <v>93363.3168876374</v>
      </c>
      <c r="Q17" s="160" t="n">
        <f aca="false">SUM(Q10:Q15)</f>
        <v>97700.3091814852</v>
      </c>
      <c r="R17" s="160" t="n">
        <f aca="false">SUM(R10:R15)</f>
        <v>101388.846695561</v>
      </c>
      <c r="S17" s="160" t="n">
        <f aca="false">SUM(S10:S15)</f>
        <v>107788.942645448</v>
      </c>
      <c r="T17" s="160" t="n">
        <f aca="false">SUM(T10:T15)</f>
        <v>119346.439866705</v>
      </c>
      <c r="U17" s="160" t="n">
        <f aca="false">SUM(U10:U15)</f>
        <v>124515.710769679</v>
      </c>
      <c r="V17" s="160" t="n">
        <f aca="false">SUM(V10:V15)</f>
        <v>132665.341641661</v>
      </c>
      <c r="W17" s="255" t="n">
        <f aca="false">SUM(C17:V17)</f>
        <v>1813881.26914593</v>
      </c>
      <c r="X17" s="256" t="n">
        <f aca="false">SUM(Wheatland!W53,Wilton!W53,Gleason!W53)</f>
        <v>1813881.26914593</v>
      </c>
      <c r="Y17" s="257" t="n">
        <f aca="false">W17-X17</f>
        <v>0</v>
      </c>
    </row>
    <row r="18" customFormat="false" ht="12.75" hidden="false" customHeight="false" outlineLevel="0" collapsed="false">
      <c r="A18" s="254"/>
      <c r="B18" s="172"/>
      <c r="C18" s="172"/>
      <c r="D18" s="172"/>
      <c r="E18" s="172"/>
      <c r="F18" s="172"/>
      <c r="G18" s="172"/>
      <c r="H18" s="172"/>
      <c r="I18" s="172"/>
      <c r="J18" s="172"/>
      <c r="K18" s="172"/>
      <c r="L18" s="172"/>
      <c r="M18" s="172"/>
      <c r="N18" s="172"/>
      <c r="O18" s="172"/>
      <c r="P18" s="172"/>
      <c r="Q18" s="172"/>
      <c r="R18" s="172"/>
      <c r="S18" s="172"/>
      <c r="T18" s="172"/>
      <c r="U18" s="172"/>
      <c r="V18" s="172"/>
      <c r="W18" s="172"/>
      <c r="X18" s="251"/>
      <c r="Y18" s="168"/>
    </row>
    <row r="19" customFormat="false" ht="12.75" hidden="false" customHeight="false" outlineLevel="0" collapsed="false">
      <c r="A19" s="169" t="s">
        <v>154</v>
      </c>
      <c r="B19" s="172" t="n">
        <v>0</v>
      </c>
      <c r="C19" s="172" t="n">
        <f aca="false">-Tax!B8</f>
        <v>-1791.66921219888</v>
      </c>
      <c r="D19" s="172" t="n">
        <f aca="false">-Tax!C8</f>
        <v>-485.540212692667</v>
      </c>
      <c r="E19" s="172" t="n">
        <f aca="false">-Tax!D8</f>
        <v>-790.677774680996</v>
      </c>
      <c r="F19" s="172" t="n">
        <f aca="false">-Tax!E8</f>
        <v>-1324.98595264897</v>
      </c>
      <c r="G19" s="172" t="n">
        <f aca="false">-Tax!F8</f>
        <v>-2186.70524720954</v>
      </c>
      <c r="H19" s="172" t="n">
        <f aca="false">-Tax!G8</f>
        <v>-2995.72130071919</v>
      </c>
      <c r="I19" s="172" t="n">
        <f aca="false">-Tax!H8</f>
        <v>-3362.46624995727</v>
      </c>
      <c r="J19" s="172" t="n">
        <f aca="false">-Tax!I8</f>
        <v>-3569.24438131222</v>
      </c>
      <c r="K19" s="172" t="n">
        <f aca="false">-Tax!J8</f>
        <v>-3818.77568951385</v>
      </c>
      <c r="L19" s="172" t="n">
        <f aca="false">-Tax!K8</f>
        <v>-4072.11686884445</v>
      </c>
      <c r="M19" s="172" t="n">
        <f aca="false">-Tax!L8</f>
        <v>-4366.85064110603</v>
      </c>
      <c r="N19" s="172" t="n">
        <f aca="false">-Tax!M8</f>
        <v>-4752.21279742248</v>
      </c>
      <c r="O19" s="172" t="n">
        <f aca="false">-Tax!N8</f>
        <v>-5140.11238075906</v>
      </c>
      <c r="P19" s="172" t="n">
        <f aca="false">-Tax!O8</f>
        <v>-5536.43606828085</v>
      </c>
      <c r="Q19" s="172" t="n">
        <f aca="false">-Tax!P8</f>
        <v>-5921.71966437037</v>
      </c>
      <c r="R19" s="172" t="n">
        <f aca="false">-Tax!Q8</f>
        <v>-7795.35048769415</v>
      </c>
      <c r="S19" s="172" t="n">
        <f aca="false">-Tax!R8</f>
        <v>-9650.54371860571</v>
      </c>
      <c r="T19" s="172" t="n">
        <f aca="false">-Tax!S8</f>
        <v>-10047.4048422753</v>
      </c>
      <c r="U19" s="172" t="n">
        <f aca="false">-Tax!T8</f>
        <v>-10411.3407583419</v>
      </c>
      <c r="V19" s="172" t="n">
        <f aca="false">-Tax!U8</f>
        <v>-10776.7215347115</v>
      </c>
      <c r="W19" s="255" t="n">
        <f aca="false">SUM(C19:V19)</f>
        <v>-98796.5957833454</v>
      </c>
      <c r="X19" s="256" t="n">
        <f aca="false">SUM(Wheatland!W55,Wilton!W55,Gleason!W55)</f>
        <v>-98796.5957833454</v>
      </c>
      <c r="Y19" s="257" t="n">
        <f aca="false">W19-X19</f>
        <v>0</v>
      </c>
    </row>
    <row r="20" customFormat="false" ht="12.75" hidden="false" customHeight="false" outlineLevel="0" collapsed="false">
      <c r="A20" s="169" t="s">
        <v>155</v>
      </c>
      <c r="B20" s="260" t="n">
        <v>0</v>
      </c>
      <c r="C20" s="260" t="n">
        <f aca="false">-Tax!B24</f>
        <v>-7552.15955951951</v>
      </c>
      <c r="D20" s="260" t="n">
        <f aca="false">-Tax!C24</f>
        <v>-0</v>
      </c>
      <c r="E20" s="260" t="n">
        <f aca="false">-Tax!D24</f>
        <v>-0</v>
      </c>
      <c r="F20" s="260" t="n">
        <f aca="false">-Tax!E24</f>
        <v>-4478.16671229837</v>
      </c>
      <c r="G20" s="260" t="n">
        <f aca="false">-Tax!F24</f>
        <v>-10015.8581352876</v>
      </c>
      <c r="H20" s="260" t="n">
        <f aca="false">-Tax!G24</f>
        <v>-12648.5584531699</v>
      </c>
      <c r="I20" s="260" t="n">
        <f aca="false">-Tax!H24</f>
        <v>-14459.8928828243</v>
      </c>
      <c r="J20" s="260" t="n">
        <f aca="false">-Tax!I24</f>
        <v>-15402.4241822729</v>
      </c>
      <c r="K20" s="260" t="n">
        <f aca="false">-Tax!J24</f>
        <v>-16545.2084837162</v>
      </c>
      <c r="L20" s="260" t="n">
        <f aca="false">-Tax!K24</f>
        <v>-17694.2682640403</v>
      </c>
      <c r="M20" s="260" t="n">
        <f aca="false">-Tax!L24</f>
        <v>-19079.954695051</v>
      </c>
      <c r="N20" s="260" t="n">
        <f aca="false">-Tax!M24</f>
        <v>-20871.0387942721</v>
      </c>
      <c r="O20" s="260" t="n">
        <f aca="false">-Tax!N24</f>
        <v>-22663.4420426874</v>
      </c>
      <c r="P20" s="260" t="n">
        <f aca="false">-Tax!O24</f>
        <v>-24505.9766460424</v>
      </c>
      <c r="Q20" s="260" t="n">
        <f aca="false">-Tax!P24</f>
        <v>-26282.4990627463</v>
      </c>
      <c r="R20" s="260" t="n">
        <f aca="false">-Tax!Q24</f>
        <v>-36068.6279228813</v>
      </c>
      <c r="S20" s="260" t="n">
        <f aca="false">-Tax!R24</f>
        <v>-45739.2321070796</v>
      </c>
      <c r="T20" s="260" t="n">
        <f aca="false">-Tax!S24</f>
        <v>-47573.3505908891</v>
      </c>
      <c r="U20" s="260" t="n">
        <f aca="false">-Tax!T24</f>
        <v>-49255.1116029535</v>
      </c>
      <c r="V20" s="260" t="n">
        <f aca="false">-Tax!U24</f>
        <v>-50943.4907783976</v>
      </c>
      <c r="W20" s="261" t="n">
        <f aca="false">SUM(C20:V20)</f>
        <v>-441779.260916129</v>
      </c>
      <c r="X20" s="256" t="n">
        <f aca="false">SUM(Wheatland!W56,Wilton!W56,Gleason!W56)</f>
        <v>-441779.260916129</v>
      </c>
      <c r="Y20" s="257" t="n">
        <f aca="false">W20-X20</f>
        <v>0</v>
      </c>
    </row>
    <row r="21" customFormat="false" ht="12.75" hidden="false" customHeight="false" outlineLevel="0" collapsed="false">
      <c r="A21" s="258"/>
      <c r="B21" s="197"/>
      <c r="C21" s="197"/>
      <c r="D21" s="197"/>
      <c r="E21" s="197"/>
      <c r="F21" s="197"/>
      <c r="G21" s="197"/>
      <c r="H21" s="197"/>
      <c r="I21" s="197"/>
      <c r="J21" s="197"/>
      <c r="K21" s="197"/>
      <c r="L21" s="197"/>
      <c r="M21" s="197"/>
      <c r="N21" s="197"/>
      <c r="O21" s="197"/>
      <c r="P21" s="197"/>
      <c r="Q21" s="197"/>
      <c r="R21" s="197"/>
      <c r="S21" s="197"/>
      <c r="T21" s="197"/>
      <c r="U21" s="197"/>
      <c r="V21" s="197"/>
      <c r="W21" s="197"/>
      <c r="X21" s="262"/>
      <c r="Y21" s="168"/>
    </row>
    <row r="22" customFormat="false" ht="12.75" hidden="false" customHeight="false" outlineLevel="0" collapsed="false">
      <c r="A22" s="254" t="s">
        <v>156</v>
      </c>
      <c r="B22" s="160" t="n">
        <f aca="false">SUM(B20,B19,B17)</f>
        <v>0</v>
      </c>
      <c r="C22" s="160" t="n">
        <f aca="false">SUM(C20,C19,C17)</f>
        <v>54252.518921349</v>
      </c>
      <c r="D22" s="160" t="n">
        <f aca="false">SUM(D20,D19,D17)</f>
        <v>68291.967377409</v>
      </c>
      <c r="E22" s="160" t="n">
        <f aca="false">SUM(E20,E19,E17)</f>
        <v>73257.4805531712</v>
      </c>
      <c r="F22" s="160" t="n">
        <f aca="false">SUM(F20,F19,F17)</f>
        <v>69250.3842722984</v>
      </c>
      <c r="G22" s="160" t="n">
        <f aca="false">SUM(G20,G19,G17)</f>
        <v>67820.4529214325</v>
      </c>
      <c r="H22" s="160" t="n">
        <f aca="false">SUM(H20,H19,H17)</f>
        <v>66374.0490140755</v>
      </c>
      <c r="I22" s="160" t="n">
        <f aca="false">SUM(I20,I19,I17)</f>
        <v>66381.0738345135</v>
      </c>
      <c r="J22" s="160" t="n">
        <f aca="false">SUM(J20,J19,J17)</f>
        <v>67051.4797405995</v>
      </c>
      <c r="K22" s="160" t="n">
        <f aca="false">SUM(K20,K19,K17)</f>
        <v>68113.4688075984</v>
      </c>
      <c r="L22" s="160" t="n">
        <f aca="false">SUM(L20,L19,L17)</f>
        <v>66194.546606739</v>
      </c>
      <c r="M22" s="160" t="n">
        <f aca="false">SUM(M20,M19,M17)</f>
        <v>53318.8616286488</v>
      </c>
      <c r="N22" s="160" t="n">
        <f aca="false">SUM(N20,N19,N17)</f>
        <v>56570.2723057409</v>
      </c>
      <c r="O22" s="160" t="n">
        <f aca="false">SUM(O20,O19,O17)</f>
        <v>60167.7545599734</v>
      </c>
      <c r="P22" s="160" t="n">
        <f aca="false">SUM(P20,P19,P17)</f>
        <v>63320.9041733142</v>
      </c>
      <c r="Q22" s="160" t="n">
        <f aca="false">SUM(Q20,Q19,Q17)</f>
        <v>65496.0904543686</v>
      </c>
      <c r="R22" s="160" t="n">
        <f aca="false">SUM(R20,R19,R17)</f>
        <v>57524.8682849851</v>
      </c>
      <c r="S22" s="160" t="n">
        <f aca="false">SUM(S20,S19,S17)</f>
        <v>52399.1668197622</v>
      </c>
      <c r="T22" s="160" t="n">
        <f aca="false">SUM(T20,T19,T17)</f>
        <v>61725.6844335405</v>
      </c>
      <c r="U22" s="160" t="n">
        <f aca="false">SUM(U20,U19,U17)</f>
        <v>64849.2584083837</v>
      </c>
      <c r="V22" s="160" t="n">
        <f aca="false">SUM(V20,V19,V17)</f>
        <v>70945.1293285521</v>
      </c>
      <c r="W22" s="263" t="n">
        <f aca="false">SUM(W20,W19,W17)</f>
        <v>1273305.41244646</v>
      </c>
      <c r="X22" s="256" t="n">
        <f aca="false">SUM(Wheatland!W58,Wilton!W58,Gleason!W58)</f>
        <v>1273305.41244646</v>
      </c>
      <c r="Y22" s="257" t="n">
        <f aca="false">W22-X22</f>
        <v>0</v>
      </c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</row>
    <row r="23" customFormat="false" ht="12.75" hidden="false" customHeight="false" outlineLevel="0" collapsed="false">
      <c r="A23" s="258"/>
      <c r="B23" s="197"/>
      <c r="C23" s="166"/>
      <c r="D23" s="166"/>
      <c r="E23" s="166"/>
      <c r="F23" s="166"/>
      <c r="G23" s="166"/>
      <c r="H23" s="166"/>
      <c r="I23" s="166"/>
      <c r="J23" s="166"/>
      <c r="K23" s="166"/>
      <c r="L23" s="166"/>
      <c r="M23" s="166"/>
      <c r="N23" s="166"/>
      <c r="O23" s="166"/>
      <c r="P23" s="166"/>
      <c r="Q23" s="166"/>
      <c r="R23" s="166"/>
      <c r="S23" s="166"/>
      <c r="T23" s="166"/>
      <c r="U23" s="166"/>
      <c r="V23" s="166"/>
      <c r="W23" s="197"/>
      <c r="X23" s="197"/>
      <c r="Y23" s="1"/>
    </row>
    <row r="24" customFormat="false" ht="12.75" hidden="false" customHeight="false" outlineLevel="0" collapsed="false">
      <c r="A24" s="258"/>
      <c r="B24" s="264"/>
      <c r="C24" s="264"/>
      <c r="D24" s="264"/>
      <c r="E24" s="264"/>
      <c r="F24" s="197"/>
      <c r="G24" s="197"/>
      <c r="H24" s="197"/>
      <c r="I24" s="197"/>
      <c r="J24" s="197"/>
      <c r="K24" s="197"/>
      <c r="L24" s="197"/>
      <c r="M24" s="197"/>
      <c r="N24" s="197"/>
      <c r="O24" s="197"/>
      <c r="P24" s="197"/>
      <c r="Q24" s="197"/>
      <c r="R24" s="197"/>
      <c r="S24" s="197"/>
      <c r="T24" s="197"/>
      <c r="U24" s="197"/>
      <c r="V24" s="197"/>
      <c r="W24" s="197"/>
      <c r="X24" s="197"/>
    </row>
    <row r="25" customFormat="false" ht="18" hidden="false" customHeight="false" outlineLevel="0" collapsed="false">
      <c r="A25" s="244" t="s">
        <v>157</v>
      </c>
    </row>
    <row r="26" customFormat="false" ht="12" hidden="false" customHeight="true" outlineLevel="0" collapsed="false">
      <c r="A26" s="244"/>
    </row>
    <row r="27" customFormat="false" ht="13.5" hidden="false" customHeight="false" outlineLevel="0" collapsed="false">
      <c r="A27" s="154" t="s">
        <v>103</v>
      </c>
      <c r="B27" s="187" t="s">
        <v>148</v>
      </c>
      <c r="C27" s="155" t="n">
        <v>2001</v>
      </c>
      <c r="D27" s="155" t="n">
        <f aca="false">C27+1</f>
        <v>2002</v>
      </c>
      <c r="E27" s="155" t="n">
        <f aca="false">D27+1</f>
        <v>2003</v>
      </c>
      <c r="F27" s="155" t="n">
        <f aca="false">E27+1</f>
        <v>2004</v>
      </c>
      <c r="G27" s="155" t="n">
        <f aca="false">F27+1</f>
        <v>2005</v>
      </c>
      <c r="H27" s="155" t="n">
        <f aca="false">G27+1</f>
        <v>2006</v>
      </c>
      <c r="I27" s="155" t="n">
        <f aca="false">H27+1</f>
        <v>2007</v>
      </c>
      <c r="J27" s="155" t="n">
        <f aca="false">I27+1</f>
        <v>2008</v>
      </c>
      <c r="K27" s="155" t="n">
        <f aca="false">J27+1</f>
        <v>2009</v>
      </c>
      <c r="L27" s="155" t="n">
        <f aca="false">K27+1</f>
        <v>2010</v>
      </c>
      <c r="M27" s="155" t="n">
        <f aca="false">L27+1</f>
        <v>2011</v>
      </c>
      <c r="N27" s="155" t="n">
        <f aca="false">M27+1</f>
        <v>2012</v>
      </c>
      <c r="O27" s="155" t="n">
        <f aca="false">N27+1</f>
        <v>2013</v>
      </c>
      <c r="P27" s="155" t="n">
        <f aca="false">O27+1</f>
        <v>2014</v>
      </c>
      <c r="Q27" s="155" t="n">
        <f aca="false">P27+1</f>
        <v>2015</v>
      </c>
      <c r="R27" s="155" t="n">
        <f aca="false">Q27+1</f>
        <v>2016</v>
      </c>
      <c r="S27" s="155" t="n">
        <f aca="false">R27+1</f>
        <v>2017</v>
      </c>
      <c r="T27" s="155" t="n">
        <f aca="false">S27+1</f>
        <v>2018</v>
      </c>
      <c r="U27" s="155" t="n">
        <f aca="false">T27+1</f>
        <v>2019</v>
      </c>
      <c r="V27" s="155" t="n">
        <f aca="false">U27+1</f>
        <v>2020</v>
      </c>
      <c r="X27" s="1"/>
    </row>
    <row r="28" customFormat="false" ht="12.75" hidden="false" customHeight="false" outlineLevel="0" collapsed="false">
      <c r="V28" s="93"/>
      <c r="X28" s="1"/>
    </row>
    <row r="29" customFormat="false" ht="12.75" hidden="false" customHeight="false" outlineLevel="0" collapsed="false">
      <c r="A29" s="1" t="s">
        <v>158</v>
      </c>
      <c r="B29" s="172" t="n">
        <f aca="false">-'Summary Output'!C7</f>
        <v>-451196.356815684</v>
      </c>
      <c r="C29" s="172" t="n">
        <v>0</v>
      </c>
      <c r="D29" s="172" t="n">
        <v>0</v>
      </c>
      <c r="E29" s="172" t="n">
        <v>0</v>
      </c>
      <c r="F29" s="172" t="n">
        <v>0</v>
      </c>
      <c r="G29" s="172" t="n">
        <v>0</v>
      </c>
      <c r="H29" s="172" t="n">
        <v>0</v>
      </c>
      <c r="I29" s="172" t="n">
        <v>0</v>
      </c>
      <c r="J29" s="172" t="n">
        <v>0</v>
      </c>
      <c r="K29" s="172" t="n">
        <v>0</v>
      </c>
      <c r="L29" s="172" t="n">
        <v>0</v>
      </c>
      <c r="M29" s="172" t="n">
        <v>0</v>
      </c>
      <c r="N29" s="172" t="n">
        <v>0</v>
      </c>
      <c r="O29" s="172" t="n">
        <v>0</v>
      </c>
      <c r="P29" s="172" t="n">
        <v>0</v>
      </c>
      <c r="Q29" s="172" t="n">
        <v>0</v>
      </c>
      <c r="R29" s="172" t="n">
        <v>0</v>
      </c>
      <c r="S29" s="172" t="n">
        <v>0</v>
      </c>
      <c r="T29" s="172" t="n">
        <v>0</v>
      </c>
      <c r="U29" s="172" t="n">
        <v>0</v>
      </c>
      <c r="V29" s="172" t="n">
        <v>0</v>
      </c>
    </row>
    <row r="30" customFormat="false" ht="12.75" hidden="false" customHeight="false" outlineLevel="0" collapsed="false">
      <c r="A30" s="1" t="s">
        <v>159</v>
      </c>
      <c r="B30" s="172" t="n">
        <f aca="false">B22</f>
        <v>0</v>
      </c>
      <c r="C30" s="172" t="n">
        <f aca="false">C22</f>
        <v>54252.518921349</v>
      </c>
      <c r="D30" s="172" t="n">
        <f aca="false">D22</f>
        <v>68291.967377409</v>
      </c>
      <c r="E30" s="172" t="n">
        <f aca="false">E22</f>
        <v>73257.4805531712</v>
      </c>
      <c r="F30" s="172" t="n">
        <f aca="false">F22</f>
        <v>69250.3842722984</v>
      </c>
      <c r="G30" s="172" t="n">
        <f aca="false">G22</f>
        <v>67820.4529214325</v>
      </c>
      <c r="H30" s="172" t="n">
        <f aca="false">H22</f>
        <v>66374.0490140755</v>
      </c>
      <c r="I30" s="172" t="n">
        <f aca="false">I22</f>
        <v>66381.0738345135</v>
      </c>
      <c r="J30" s="172" t="n">
        <f aca="false">J22</f>
        <v>67051.4797405995</v>
      </c>
      <c r="K30" s="172" t="n">
        <f aca="false">K22</f>
        <v>68113.4688075984</v>
      </c>
      <c r="L30" s="172" t="n">
        <f aca="false">L22</f>
        <v>66194.546606739</v>
      </c>
      <c r="M30" s="172" t="n">
        <f aca="false">M22</f>
        <v>53318.8616286488</v>
      </c>
      <c r="N30" s="172" t="n">
        <f aca="false">N22</f>
        <v>56570.2723057409</v>
      </c>
      <c r="O30" s="172" t="n">
        <f aca="false">O22</f>
        <v>60167.7545599734</v>
      </c>
      <c r="P30" s="172" t="n">
        <f aca="false">P22</f>
        <v>63320.9041733142</v>
      </c>
      <c r="Q30" s="172" t="n">
        <f aca="false">Q22</f>
        <v>65496.0904543686</v>
      </c>
      <c r="R30" s="172" t="n">
        <f aca="false">R22</f>
        <v>57524.8682849851</v>
      </c>
      <c r="S30" s="172" t="n">
        <f aca="false">S22</f>
        <v>52399.1668197622</v>
      </c>
      <c r="T30" s="172" t="n">
        <f aca="false">T22</f>
        <v>61725.6844335405</v>
      </c>
      <c r="U30" s="172" t="n">
        <f aca="false">U22</f>
        <v>64849.2584083837</v>
      </c>
      <c r="V30" s="172" t="n">
        <f aca="false">V22</f>
        <v>70945.1293285521</v>
      </c>
    </row>
    <row r="31" customFormat="false" ht="12.75" hidden="false" customHeight="false" outlineLevel="0" collapsed="false">
      <c r="A31" s="1" t="s">
        <v>160</v>
      </c>
      <c r="B31" s="260" t="n">
        <v>0</v>
      </c>
      <c r="C31" s="260" t="n">
        <v>0</v>
      </c>
      <c r="D31" s="260" t="n">
        <v>0</v>
      </c>
      <c r="E31" s="260" t="n">
        <v>0</v>
      </c>
      <c r="F31" s="260" t="n">
        <v>0</v>
      </c>
      <c r="G31" s="260" t="n">
        <v>0</v>
      </c>
      <c r="H31" s="260" t="n">
        <v>0</v>
      </c>
      <c r="I31" s="260" t="n">
        <v>0</v>
      </c>
      <c r="J31" s="260" t="n">
        <v>0</v>
      </c>
      <c r="K31" s="260" t="n">
        <v>0</v>
      </c>
      <c r="L31" s="260" t="n">
        <v>0</v>
      </c>
      <c r="M31" s="260" t="n">
        <v>0</v>
      </c>
      <c r="N31" s="260" t="n">
        <v>0</v>
      </c>
      <c r="O31" s="260" t="n">
        <v>0</v>
      </c>
      <c r="P31" s="260" t="n">
        <v>0</v>
      </c>
      <c r="Q31" s="260" t="n">
        <v>0</v>
      </c>
      <c r="R31" s="260" t="n">
        <v>0</v>
      </c>
      <c r="S31" s="260" t="n">
        <v>0</v>
      </c>
      <c r="T31" s="260" t="n">
        <v>0</v>
      </c>
      <c r="U31" s="260" t="n">
        <v>0</v>
      </c>
      <c r="V31" s="260" t="n">
        <f aca="false">2*V10</f>
        <v>316471.244290656</v>
      </c>
    </row>
    <row r="32" customFormat="false" ht="12.75" hidden="false" customHeight="false" outlineLevel="0" collapsed="false">
      <c r="A32" s="1" t="s">
        <v>161</v>
      </c>
      <c r="B32" s="172" t="n">
        <f aca="false">SUM(B29:B31)</f>
        <v>-451196.356815684</v>
      </c>
      <c r="C32" s="172" t="n">
        <f aca="false">SUM(C29:C31)</f>
        <v>54252.518921349</v>
      </c>
      <c r="D32" s="172" t="n">
        <f aca="false">SUM(D29:D31)</f>
        <v>68291.967377409</v>
      </c>
      <c r="E32" s="172" t="n">
        <f aca="false">SUM(E29:E31)</f>
        <v>73257.4805531712</v>
      </c>
      <c r="F32" s="172" t="n">
        <f aca="false">SUM(F29:F31)</f>
        <v>69250.3842722984</v>
      </c>
      <c r="G32" s="172" t="n">
        <f aca="false">SUM(G29:G31)</f>
        <v>67820.4529214325</v>
      </c>
      <c r="H32" s="172" t="n">
        <f aca="false">SUM(H29:H31)</f>
        <v>66374.0490140755</v>
      </c>
      <c r="I32" s="172" t="n">
        <f aca="false">SUM(I29:I31)</f>
        <v>66381.0738345135</v>
      </c>
      <c r="J32" s="172" t="n">
        <f aca="false">SUM(J29:J31)</f>
        <v>67051.4797405995</v>
      </c>
      <c r="K32" s="172" t="n">
        <f aca="false">SUM(K29:K31)</f>
        <v>68113.4688075984</v>
      </c>
      <c r="L32" s="172" t="n">
        <f aca="false">SUM(L29:L31)</f>
        <v>66194.546606739</v>
      </c>
      <c r="M32" s="172" t="n">
        <f aca="false">SUM(M29:M31)</f>
        <v>53318.8616286488</v>
      </c>
      <c r="N32" s="172" t="n">
        <f aca="false">SUM(N29:N31)</f>
        <v>56570.2723057409</v>
      </c>
      <c r="O32" s="172" t="n">
        <f aca="false">SUM(O29:O31)</f>
        <v>60167.7545599734</v>
      </c>
      <c r="P32" s="172" t="n">
        <f aca="false">SUM(P29:P31)</f>
        <v>63320.9041733142</v>
      </c>
      <c r="Q32" s="172" t="n">
        <f aca="false">SUM(Q29:Q31)</f>
        <v>65496.0904543686</v>
      </c>
      <c r="R32" s="172" t="n">
        <f aca="false">SUM(R29:R31)</f>
        <v>57524.8682849851</v>
      </c>
      <c r="S32" s="172" t="n">
        <f aca="false">SUM(S29:S31)</f>
        <v>52399.1668197622</v>
      </c>
      <c r="T32" s="172" t="n">
        <f aca="false">SUM(T29:T31)</f>
        <v>61725.6844335405</v>
      </c>
      <c r="U32" s="172" t="n">
        <f aca="false">SUM(U29:U31)</f>
        <v>64849.2584083837</v>
      </c>
      <c r="V32" s="172" t="n">
        <f aca="false">SUM(V29:V31)</f>
        <v>387416.373619209</v>
      </c>
    </row>
    <row r="33" customFormat="false" ht="12.75" hidden="false" customHeight="false" outlineLevel="0" collapsed="false">
      <c r="A33" s="1" t="s">
        <v>162</v>
      </c>
      <c r="B33" s="265" t="e">
        <f aca="false">([2]!xirr,B32:V32,B8:V8)</f>
        <v>#VALUE!</v>
      </c>
      <c r="C33" s="172"/>
      <c r="D33" s="172"/>
      <c r="E33" s="172"/>
      <c r="F33" s="172"/>
      <c r="G33" s="172"/>
      <c r="H33" s="172"/>
      <c r="I33" s="172"/>
      <c r="J33" s="172"/>
      <c r="K33" s="172"/>
      <c r="L33" s="172"/>
      <c r="M33" s="172"/>
      <c r="N33" s="172"/>
      <c r="O33" s="172"/>
      <c r="P33" s="172"/>
      <c r="Q33" s="172"/>
      <c r="R33" s="172"/>
      <c r="S33" s="172"/>
      <c r="T33" s="172"/>
      <c r="U33" s="172"/>
      <c r="V33" s="172"/>
    </row>
  </sheetData>
  <mergeCells count="1">
    <mergeCell ref="X7:Y7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&amp;L&amp;12Enron's Generation&amp;RCONFIDENTIAL</oddHeader>
    <oddFooter>&amp;L&amp;D&amp;C&amp;F&amp;RPage &amp;P</oddFooter>
  </headerFooter>
  <colBreaks count="1" manualBreakCount="1">
    <brk id="12" man="true" max="65535" min="0"/>
  </colBreak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69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1" ySplit="4" topLeftCell="B5" activePane="bottomRight" state="frozen"/>
      <selection pane="topLeft" activeCell="A1" activeCellId="0" sqref="A1"/>
      <selection pane="topRight" activeCell="B1" activeCellId="0" sqref="B1"/>
      <selection pane="bottomLeft" activeCell="A5" activeCellId="0" sqref="A5"/>
      <selection pane="bottomRight" activeCell="B5" activeCellId="0" sqref="B5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30.13"/>
    <col collapsed="false" customWidth="true" hidden="false" outlineLevel="0" max="2" min="2" style="266" width="17.14"/>
    <col collapsed="false" customWidth="true" hidden="false" outlineLevel="0" max="4" min="3" style="266" width="10.28"/>
    <col collapsed="false" customWidth="true" hidden="false" outlineLevel="0" max="13" min="5" style="1" width="10.28"/>
    <col collapsed="false" customWidth="true" hidden="false" outlineLevel="0" max="22" min="14" style="1" width="10.13"/>
    <col collapsed="false" customWidth="true" hidden="false" outlineLevel="0" max="23" min="23" style="1" width="11.7"/>
    <col collapsed="false" customWidth="true" hidden="false" outlineLevel="0" max="24" min="24" style="1" width="20.7"/>
    <col collapsed="false" customWidth="true" hidden="false" outlineLevel="0" max="25" min="25" style="1" width="7.28"/>
    <col collapsed="false" customWidth="false" hidden="false" outlineLevel="0" max="257" min="26" style="1" width="9.14"/>
  </cols>
  <sheetData>
    <row r="1" customFormat="false" ht="12.75" hidden="false" customHeight="false" outlineLevel="0" collapsed="false">
      <c r="B1" s="1"/>
      <c r="C1" s="1"/>
      <c r="D1" s="1"/>
    </row>
    <row r="2" customFormat="false" ht="18" hidden="false" customHeight="false" outlineLevel="0" collapsed="false">
      <c r="A2" s="149" t="s">
        <v>163</v>
      </c>
      <c r="C2" s="267"/>
    </row>
    <row r="3" customFormat="false" ht="12.75" hidden="false" customHeight="false" outlineLevel="0" collapsed="false">
      <c r="E3" s="266"/>
      <c r="F3" s="266"/>
      <c r="G3" s="266"/>
      <c r="H3" s="266"/>
      <c r="I3" s="266"/>
      <c r="J3" s="266"/>
      <c r="K3" s="266"/>
      <c r="L3" s="266"/>
      <c r="M3" s="266"/>
      <c r="N3" s="266"/>
      <c r="O3" s="266"/>
      <c r="P3" s="266"/>
      <c r="Q3" s="266"/>
      <c r="R3" s="266"/>
      <c r="S3" s="266"/>
      <c r="T3" s="266"/>
      <c r="U3" s="266"/>
      <c r="V3" s="266"/>
    </row>
    <row r="4" customFormat="false" ht="13.5" hidden="false" customHeight="false" outlineLevel="0" collapsed="false">
      <c r="A4" s="154" t="s">
        <v>103</v>
      </c>
      <c r="B4" s="154" t="s">
        <v>164</v>
      </c>
      <c r="C4" s="268" t="n">
        <v>37256</v>
      </c>
      <c r="D4" s="268" t="n">
        <v>37621</v>
      </c>
      <c r="E4" s="268" t="n">
        <v>37986</v>
      </c>
      <c r="F4" s="268" t="n">
        <v>38352</v>
      </c>
      <c r="G4" s="268" t="n">
        <v>38717</v>
      </c>
      <c r="H4" s="268" t="n">
        <v>39082</v>
      </c>
      <c r="I4" s="268" t="n">
        <v>39447</v>
      </c>
      <c r="J4" s="268" t="n">
        <v>39813</v>
      </c>
      <c r="K4" s="268" t="n">
        <v>40178</v>
      </c>
      <c r="L4" s="268" t="n">
        <v>40543</v>
      </c>
      <c r="M4" s="268" t="n">
        <v>40908</v>
      </c>
      <c r="N4" s="268" t="n">
        <v>41274</v>
      </c>
      <c r="O4" s="268" t="n">
        <v>41639</v>
      </c>
      <c r="P4" s="268" t="n">
        <v>42004</v>
      </c>
      <c r="Q4" s="268" t="n">
        <v>42369</v>
      </c>
      <c r="R4" s="268" t="n">
        <v>42735</v>
      </c>
      <c r="S4" s="268" t="n">
        <v>43100</v>
      </c>
      <c r="T4" s="268" t="n">
        <v>43465</v>
      </c>
      <c r="U4" s="268" t="n">
        <v>43830</v>
      </c>
      <c r="V4" s="268" t="n">
        <v>44196</v>
      </c>
      <c r="W4" s="269"/>
      <c r="X4" s="269"/>
      <c r="Y4" s="269"/>
      <c r="Z4" s="269"/>
      <c r="AA4" s="269"/>
      <c r="AB4" s="269"/>
      <c r="AC4" s="269"/>
      <c r="AD4" s="269"/>
      <c r="AE4" s="269"/>
      <c r="AF4" s="269"/>
      <c r="AG4" s="269"/>
      <c r="AH4" s="269"/>
      <c r="AI4" s="269"/>
      <c r="AJ4" s="269"/>
      <c r="AK4" s="269"/>
      <c r="AL4" s="269"/>
      <c r="AM4" s="269"/>
      <c r="AN4" s="269"/>
      <c r="AO4" s="269"/>
      <c r="AP4" s="269"/>
      <c r="AQ4" s="269"/>
      <c r="AR4" s="269"/>
      <c r="AS4" s="269"/>
      <c r="AT4" s="269"/>
      <c r="AU4" s="269"/>
      <c r="AV4" s="269"/>
      <c r="AW4" s="269"/>
      <c r="AX4" s="269"/>
      <c r="AY4" s="269"/>
      <c r="AZ4" s="269"/>
      <c r="BA4" s="269"/>
      <c r="BB4" s="269"/>
      <c r="BC4" s="269"/>
      <c r="BD4" s="269"/>
      <c r="BE4" s="269"/>
      <c r="BF4" s="269"/>
      <c r="BG4" s="269"/>
      <c r="BH4" s="269"/>
      <c r="BI4" s="269"/>
      <c r="BJ4" s="269"/>
      <c r="BK4" s="269"/>
      <c r="BL4" s="269"/>
      <c r="BM4" s="269"/>
      <c r="BN4" s="269"/>
      <c r="BO4" s="269"/>
      <c r="BP4" s="269"/>
      <c r="BQ4" s="269"/>
      <c r="BR4" s="269"/>
      <c r="BS4" s="269"/>
      <c r="BT4" s="269"/>
      <c r="BU4" s="269"/>
      <c r="BV4" s="269"/>
      <c r="BW4" s="269"/>
      <c r="BX4" s="269"/>
      <c r="BY4" s="269"/>
      <c r="BZ4" s="269"/>
      <c r="CA4" s="269"/>
      <c r="CB4" s="269"/>
      <c r="CC4" s="269"/>
      <c r="CD4" s="269"/>
      <c r="CE4" s="269"/>
      <c r="CF4" s="269"/>
      <c r="CG4" s="269"/>
      <c r="CH4" s="269"/>
      <c r="CI4" s="269"/>
      <c r="CJ4" s="269"/>
      <c r="CK4" s="269"/>
      <c r="CL4" s="269"/>
      <c r="CM4" s="269"/>
      <c r="CN4" s="269"/>
      <c r="CO4" s="269"/>
      <c r="CP4" s="269"/>
      <c r="CQ4" s="269"/>
      <c r="CR4" s="269"/>
      <c r="CS4" s="269"/>
      <c r="CT4" s="269"/>
      <c r="CU4" s="269"/>
      <c r="CV4" s="269"/>
      <c r="CW4" s="269"/>
      <c r="CX4" s="269"/>
      <c r="CY4" s="269"/>
      <c r="CZ4" s="269"/>
      <c r="DA4" s="269"/>
      <c r="DB4" s="269"/>
      <c r="DC4" s="269"/>
      <c r="DD4" s="269"/>
      <c r="DE4" s="269"/>
      <c r="DF4" s="269"/>
      <c r="DG4" s="269"/>
      <c r="DH4" s="269"/>
      <c r="DI4" s="269"/>
      <c r="DJ4" s="269"/>
      <c r="DK4" s="269"/>
      <c r="DL4" s="269"/>
      <c r="DM4" s="269"/>
      <c r="DN4" s="269"/>
      <c r="DO4" s="269"/>
      <c r="DP4" s="269"/>
      <c r="DQ4" s="269"/>
      <c r="DR4" s="269"/>
      <c r="DS4" s="269"/>
      <c r="DT4" s="269"/>
      <c r="DU4" s="269"/>
      <c r="DV4" s="269"/>
      <c r="DW4" s="269"/>
      <c r="DX4" s="269"/>
      <c r="DY4" s="269"/>
      <c r="DZ4" s="269"/>
      <c r="EA4" s="269"/>
      <c r="EB4" s="269"/>
      <c r="EC4" s="269"/>
      <c r="ED4" s="269"/>
      <c r="EE4" s="269"/>
      <c r="EF4" s="269"/>
      <c r="EG4" s="269"/>
      <c r="EH4" s="269"/>
      <c r="EI4" s="269"/>
      <c r="EJ4" s="269"/>
      <c r="EK4" s="269"/>
      <c r="EL4" s="269"/>
      <c r="EM4" s="269"/>
      <c r="EN4" s="269"/>
      <c r="EO4" s="269"/>
      <c r="EP4" s="269"/>
      <c r="EQ4" s="269"/>
      <c r="ER4" s="269"/>
      <c r="ES4" s="269"/>
      <c r="ET4" s="269"/>
      <c r="EU4" s="269"/>
      <c r="EV4" s="269"/>
      <c r="EW4" s="269"/>
      <c r="EX4" s="269"/>
      <c r="EY4" s="269"/>
      <c r="EZ4" s="269"/>
      <c r="FA4" s="269"/>
      <c r="FB4" s="269"/>
      <c r="FC4" s="269"/>
      <c r="FD4" s="269"/>
      <c r="FE4" s="269"/>
      <c r="FF4" s="269"/>
      <c r="FG4" s="269"/>
      <c r="FH4" s="269"/>
      <c r="FI4" s="269"/>
      <c r="FJ4" s="269"/>
      <c r="FK4" s="269"/>
      <c r="FL4" s="269"/>
      <c r="FM4" s="269"/>
      <c r="FN4" s="269"/>
      <c r="FO4" s="269"/>
      <c r="FP4" s="269"/>
      <c r="FQ4" s="269"/>
      <c r="FR4" s="269"/>
      <c r="FS4" s="269"/>
      <c r="FT4" s="269"/>
      <c r="FU4" s="269"/>
      <c r="FV4" s="269"/>
      <c r="FW4" s="269"/>
      <c r="FX4" s="269"/>
      <c r="FY4" s="269"/>
      <c r="FZ4" s="269"/>
      <c r="GA4" s="269"/>
      <c r="GB4" s="269"/>
      <c r="GC4" s="269"/>
      <c r="GD4" s="269"/>
      <c r="GE4" s="269"/>
      <c r="GF4" s="269"/>
      <c r="GG4" s="269"/>
      <c r="GH4" s="269"/>
      <c r="GI4" s="269"/>
      <c r="GJ4" s="269"/>
      <c r="GK4" s="269"/>
      <c r="GL4" s="269"/>
      <c r="GM4" s="269"/>
      <c r="GN4" s="269"/>
      <c r="GO4" s="269"/>
      <c r="GP4" s="269"/>
      <c r="GQ4" s="269"/>
      <c r="GR4" s="269"/>
      <c r="GS4" s="269"/>
      <c r="GT4" s="269"/>
      <c r="GU4" s="269"/>
      <c r="GV4" s="269"/>
      <c r="GW4" s="269"/>
      <c r="GX4" s="269"/>
      <c r="GY4" s="269"/>
      <c r="GZ4" s="269"/>
      <c r="HA4" s="269"/>
      <c r="HB4" s="269"/>
      <c r="HC4" s="269"/>
      <c r="HD4" s="269"/>
      <c r="HE4" s="269"/>
      <c r="HF4" s="269"/>
      <c r="HG4" s="269"/>
      <c r="HH4" s="269"/>
      <c r="HI4" s="269"/>
      <c r="HJ4" s="269"/>
      <c r="HK4" s="269"/>
      <c r="HL4" s="269"/>
      <c r="HM4" s="269"/>
      <c r="HN4" s="269"/>
      <c r="HO4" s="269"/>
      <c r="HP4" s="269"/>
      <c r="HQ4" s="269"/>
      <c r="HR4" s="269"/>
      <c r="HS4" s="269"/>
      <c r="HT4" s="269"/>
      <c r="HU4" s="269"/>
      <c r="HV4" s="269"/>
      <c r="HW4" s="269"/>
      <c r="HX4" s="269"/>
      <c r="HY4" s="269"/>
      <c r="HZ4" s="269"/>
      <c r="IA4" s="269"/>
      <c r="IB4" s="269"/>
      <c r="IC4" s="269"/>
      <c r="ID4" s="269"/>
      <c r="IE4" s="269"/>
      <c r="IF4" s="269"/>
      <c r="IG4" s="269"/>
      <c r="IH4" s="269"/>
      <c r="II4" s="269"/>
      <c r="IJ4" s="269"/>
      <c r="IK4" s="269"/>
      <c r="IL4" s="269"/>
      <c r="IM4" s="269"/>
      <c r="IN4" s="269"/>
      <c r="IO4" s="269"/>
      <c r="IP4" s="269"/>
      <c r="IQ4" s="269"/>
      <c r="IR4" s="269"/>
      <c r="IS4" s="269"/>
      <c r="IT4" s="269"/>
      <c r="IU4" s="269"/>
      <c r="IV4" s="269"/>
      <c r="IW4" s="269"/>
    </row>
    <row r="5" customFormat="false" ht="12.75" hidden="false" customHeight="false" outlineLevel="0" collapsed="false">
      <c r="B5" s="270" t="n">
        <v>0</v>
      </c>
      <c r="C5" s="270" t="n">
        <v>1</v>
      </c>
      <c r="D5" s="270" t="n">
        <v>2</v>
      </c>
      <c r="E5" s="270" t="n">
        <f aca="false">D5+1</f>
        <v>3</v>
      </c>
      <c r="F5" s="270" t="n">
        <f aca="false">E5+1</f>
        <v>4</v>
      </c>
      <c r="G5" s="270" t="n">
        <f aca="false">F5+1</f>
        <v>5</v>
      </c>
      <c r="H5" s="270" t="n">
        <f aca="false">G5+1</f>
        <v>6</v>
      </c>
      <c r="I5" s="270" t="n">
        <f aca="false">H5+1</f>
        <v>7</v>
      </c>
      <c r="J5" s="270" t="n">
        <f aca="false">I5+1</f>
        <v>8</v>
      </c>
      <c r="K5" s="270" t="n">
        <f aca="false">J5+1</f>
        <v>9</v>
      </c>
      <c r="L5" s="270" t="n">
        <f aca="false">K5+1</f>
        <v>10</v>
      </c>
      <c r="M5" s="270" t="n">
        <f aca="false">L5+1</f>
        <v>11</v>
      </c>
      <c r="N5" s="270" t="n">
        <f aca="false">M5+1</f>
        <v>12</v>
      </c>
      <c r="O5" s="270" t="n">
        <f aca="false">N5+1</f>
        <v>13</v>
      </c>
      <c r="P5" s="270" t="n">
        <f aca="false">O5+1</f>
        <v>14</v>
      </c>
      <c r="Q5" s="270" t="n">
        <f aca="false">P5+1</f>
        <v>15</v>
      </c>
      <c r="R5" s="270" t="n">
        <f aca="false">Q5+1</f>
        <v>16</v>
      </c>
      <c r="S5" s="270" t="n">
        <f aca="false">R5+1</f>
        <v>17</v>
      </c>
      <c r="T5" s="270" t="n">
        <f aca="false">S5+1</f>
        <v>18</v>
      </c>
      <c r="U5" s="270" t="n">
        <f aca="false">T5+1</f>
        <v>19</v>
      </c>
      <c r="V5" s="270" t="n">
        <f aca="false">U5+1</f>
        <v>20</v>
      </c>
    </row>
    <row r="6" customFormat="false" ht="12.75" hidden="false" customHeight="false" outlineLevel="0" collapsed="false">
      <c r="A6" s="271" t="s">
        <v>37</v>
      </c>
      <c r="B6" s="270" t="n">
        <v>0</v>
      </c>
      <c r="C6" s="270" t="n">
        <v>1</v>
      </c>
      <c r="D6" s="270" t="n">
        <v>2</v>
      </c>
      <c r="E6" s="270" t="n">
        <f aca="false">D6+1</f>
        <v>3</v>
      </c>
      <c r="F6" s="270" t="n">
        <f aca="false">E6+1</f>
        <v>4</v>
      </c>
      <c r="G6" s="270" t="n">
        <f aca="false">F6+1</f>
        <v>5</v>
      </c>
      <c r="H6" s="270" t="n">
        <f aca="false">G6+1</f>
        <v>6</v>
      </c>
      <c r="I6" s="270" t="n">
        <f aca="false">H6+1</f>
        <v>7</v>
      </c>
      <c r="J6" s="270" t="n">
        <f aca="false">I6+1</f>
        <v>8</v>
      </c>
      <c r="K6" s="270" t="n">
        <f aca="false">J6+1</f>
        <v>9</v>
      </c>
      <c r="L6" s="270" t="n">
        <f aca="false">K6+1</f>
        <v>10</v>
      </c>
      <c r="M6" s="270" t="n">
        <f aca="false">L6+1</f>
        <v>11</v>
      </c>
      <c r="N6" s="270" t="n">
        <f aca="false">M6+1</f>
        <v>12</v>
      </c>
      <c r="O6" s="270" t="n">
        <f aca="false">N6+1</f>
        <v>13</v>
      </c>
      <c r="P6" s="270" t="n">
        <f aca="false">O6+1</f>
        <v>14</v>
      </c>
      <c r="Q6" s="270" t="n">
        <f aca="false">P6+1</f>
        <v>15</v>
      </c>
      <c r="R6" s="270" t="n">
        <f aca="false">Q6+1</f>
        <v>16</v>
      </c>
      <c r="S6" s="270" t="n">
        <f aca="false">R6+1</f>
        <v>17</v>
      </c>
      <c r="T6" s="270" t="n">
        <f aca="false">S6+1</f>
        <v>18</v>
      </c>
      <c r="U6" s="270" t="n">
        <f aca="false">T6+1</f>
        <v>19</v>
      </c>
      <c r="V6" s="270" t="n">
        <f aca="false">U6+1</f>
        <v>20</v>
      </c>
      <c r="W6" s="272"/>
      <c r="X6" s="272"/>
      <c r="Y6" s="272"/>
      <c r="Z6" s="272"/>
      <c r="AA6" s="272"/>
      <c r="AB6" s="272"/>
      <c r="AC6" s="272"/>
      <c r="AD6" s="272"/>
      <c r="AE6" s="272"/>
      <c r="AF6" s="272"/>
      <c r="AG6" s="272"/>
      <c r="AH6" s="272"/>
      <c r="AI6" s="272"/>
      <c r="AJ6" s="272"/>
      <c r="AK6" s="272"/>
      <c r="AL6" s="272"/>
      <c r="AM6" s="272"/>
      <c r="AN6" s="272"/>
      <c r="AO6" s="272"/>
      <c r="AP6" s="272"/>
      <c r="AQ6" s="272"/>
      <c r="AR6" s="272"/>
      <c r="AS6" s="272"/>
      <c r="AT6" s="272"/>
      <c r="AU6" s="272"/>
      <c r="AV6" s="272"/>
      <c r="AW6" s="272"/>
      <c r="AX6" s="272"/>
      <c r="AY6" s="272"/>
      <c r="AZ6" s="272"/>
      <c r="BA6" s="272"/>
      <c r="BB6" s="272"/>
      <c r="BC6" s="272"/>
      <c r="BD6" s="272"/>
      <c r="BE6" s="272"/>
      <c r="BF6" s="272"/>
      <c r="BG6" s="272"/>
      <c r="BH6" s="272"/>
      <c r="BI6" s="272"/>
      <c r="BJ6" s="272"/>
      <c r="BK6" s="272"/>
      <c r="BL6" s="272"/>
      <c r="BM6" s="272"/>
      <c r="BN6" s="272"/>
      <c r="BO6" s="272"/>
      <c r="BP6" s="272"/>
      <c r="BQ6" s="272"/>
      <c r="BR6" s="272"/>
      <c r="BS6" s="272"/>
      <c r="BT6" s="272"/>
      <c r="BU6" s="272"/>
      <c r="BV6" s="272"/>
      <c r="BW6" s="272"/>
      <c r="BX6" s="272"/>
      <c r="BY6" s="272"/>
      <c r="BZ6" s="272"/>
      <c r="CA6" s="272"/>
      <c r="CB6" s="272"/>
      <c r="CC6" s="272"/>
      <c r="CD6" s="272"/>
      <c r="CE6" s="272"/>
      <c r="CF6" s="272"/>
      <c r="CG6" s="272"/>
      <c r="CH6" s="272"/>
      <c r="CI6" s="272"/>
      <c r="CJ6" s="272"/>
      <c r="CK6" s="272"/>
      <c r="CL6" s="272"/>
      <c r="CM6" s="272"/>
      <c r="CN6" s="272"/>
      <c r="CO6" s="272"/>
      <c r="CP6" s="272"/>
      <c r="CQ6" s="272"/>
      <c r="CR6" s="272"/>
      <c r="CS6" s="272"/>
      <c r="CT6" s="272"/>
      <c r="CU6" s="272"/>
      <c r="CV6" s="272"/>
      <c r="CW6" s="272"/>
      <c r="CX6" s="272"/>
      <c r="CY6" s="272"/>
      <c r="CZ6" s="272"/>
      <c r="DA6" s="272"/>
      <c r="DB6" s="272"/>
      <c r="DC6" s="272"/>
      <c r="DD6" s="272"/>
      <c r="DE6" s="272"/>
      <c r="DF6" s="272"/>
      <c r="DG6" s="272"/>
      <c r="DH6" s="272"/>
      <c r="DI6" s="272"/>
      <c r="DJ6" s="272"/>
      <c r="DK6" s="272"/>
      <c r="DL6" s="272"/>
      <c r="DM6" s="272"/>
      <c r="DN6" s="272"/>
      <c r="DO6" s="272"/>
      <c r="DP6" s="272"/>
      <c r="DQ6" s="272"/>
      <c r="DR6" s="272"/>
      <c r="DS6" s="272"/>
      <c r="DT6" s="272"/>
      <c r="DU6" s="272"/>
      <c r="DV6" s="272"/>
      <c r="DW6" s="272"/>
      <c r="DX6" s="272"/>
      <c r="DY6" s="272"/>
      <c r="DZ6" s="272"/>
      <c r="EA6" s="272"/>
      <c r="EB6" s="272"/>
      <c r="EC6" s="272"/>
      <c r="ED6" s="272"/>
      <c r="EE6" s="272"/>
      <c r="EF6" s="272"/>
      <c r="EG6" s="272"/>
      <c r="EH6" s="272"/>
      <c r="EI6" s="272"/>
      <c r="EJ6" s="272"/>
      <c r="EK6" s="272"/>
      <c r="EL6" s="272"/>
      <c r="EM6" s="272"/>
      <c r="EN6" s="272"/>
      <c r="EO6" s="272"/>
      <c r="EP6" s="272"/>
      <c r="EQ6" s="272"/>
      <c r="ER6" s="272"/>
      <c r="ES6" s="272"/>
      <c r="ET6" s="272"/>
      <c r="EU6" s="272"/>
      <c r="EV6" s="272"/>
      <c r="EW6" s="272"/>
      <c r="EX6" s="272"/>
      <c r="EY6" s="272"/>
      <c r="EZ6" s="272"/>
      <c r="FA6" s="272"/>
      <c r="FB6" s="272"/>
      <c r="FC6" s="272"/>
      <c r="FD6" s="272"/>
      <c r="FE6" s="272"/>
      <c r="FF6" s="272"/>
      <c r="FG6" s="272"/>
      <c r="FH6" s="272"/>
      <c r="FI6" s="272"/>
      <c r="FJ6" s="272"/>
      <c r="FK6" s="272"/>
      <c r="FL6" s="272"/>
      <c r="FM6" s="272"/>
      <c r="FN6" s="272"/>
      <c r="FO6" s="272"/>
      <c r="FP6" s="272"/>
      <c r="FQ6" s="272"/>
      <c r="FR6" s="272"/>
      <c r="FS6" s="272"/>
      <c r="FT6" s="272"/>
      <c r="FU6" s="272"/>
      <c r="FV6" s="272"/>
      <c r="FW6" s="272"/>
      <c r="FX6" s="272"/>
      <c r="FY6" s="272"/>
      <c r="FZ6" s="272"/>
      <c r="GA6" s="272"/>
      <c r="GB6" s="272"/>
      <c r="GC6" s="272"/>
      <c r="GD6" s="272"/>
      <c r="GE6" s="272"/>
      <c r="GF6" s="272"/>
      <c r="GG6" s="272"/>
      <c r="GH6" s="272"/>
      <c r="GI6" s="272"/>
      <c r="GJ6" s="272"/>
      <c r="GK6" s="272"/>
      <c r="GL6" s="272"/>
      <c r="GM6" s="272"/>
      <c r="GN6" s="272"/>
      <c r="GO6" s="272"/>
      <c r="GP6" s="272"/>
      <c r="GQ6" s="272"/>
      <c r="GR6" s="272"/>
      <c r="GS6" s="272"/>
      <c r="GT6" s="272"/>
      <c r="GU6" s="272"/>
      <c r="GV6" s="272"/>
      <c r="GW6" s="272"/>
      <c r="GX6" s="272"/>
      <c r="GY6" s="272"/>
      <c r="GZ6" s="272"/>
      <c r="HA6" s="272"/>
      <c r="HB6" s="272"/>
      <c r="HC6" s="272"/>
      <c r="HD6" s="272"/>
      <c r="HE6" s="272"/>
      <c r="HF6" s="272"/>
      <c r="HG6" s="272"/>
      <c r="HH6" s="272"/>
      <c r="HI6" s="272"/>
      <c r="HJ6" s="272"/>
      <c r="HK6" s="272"/>
      <c r="HL6" s="272"/>
      <c r="HM6" s="272"/>
      <c r="HN6" s="272"/>
      <c r="HO6" s="272"/>
      <c r="HP6" s="272"/>
      <c r="HQ6" s="272"/>
      <c r="HR6" s="272"/>
      <c r="HS6" s="272"/>
      <c r="HT6" s="272"/>
      <c r="HU6" s="272"/>
      <c r="HV6" s="272"/>
      <c r="HW6" s="272"/>
      <c r="HX6" s="272"/>
      <c r="HY6" s="272"/>
      <c r="HZ6" s="272"/>
      <c r="IA6" s="272"/>
      <c r="IB6" s="272"/>
      <c r="IC6" s="272"/>
      <c r="ID6" s="272"/>
      <c r="IE6" s="272"/>
      <c r="IF6" s="272"/>
      <c r="IG6" s="272"/>
      <c r="IH6" s="272"/>
      <c r="II6" s="272"/>
      <c r="IJ6" s="272"/>
      <c r="IK6" s="272"/>
      <c r="IL6" s="272"/>
      <c r="IM6" s="272"/>
      <c r="IN6" s="272"/>
      <c r="IO6" s="272"/>
      <c r="IP6" s="272"/>
      <c r="IQ6" s="272"/>
      <c r="IR6" s="272"/>
      <c r="IS6" s="272"/>
      <c r="IT6" s="272"/>
      <c r="IU6" s="272"/>
      <c r="IV6" s="272"/>
      <c r="IW6" s="272"/>
    </row>
    <row r="7" customFormat="false" ht="12.75" hidden="false" customHeight="false" outlineLevel="0" collapsed="false">
      <c r="A7" s="272"/>
      <c r="E7" s="266"/>
      <c r="F7" s="266"/>
      <c r="G7" s="266"/>
      <c r="H7" s="266"/>
      <c r="I7" s="266"/>
      <c r="J7" s="266"/>
      <c r="K7" s="266"/>
      <c r="L7" s="266"/>
      <c r="M7" s="266"/>
      <c r="N7" s="266"/>
      <c r="O7" s="266"/>
      <c r="P7" s="266"/>
      <c r="Q7" s="266"/>
      <c r="R7" s="266"/>
      <c r="S7" s="266"/>
      <c r="T7" s="266"/>
      <c r="U7" s="266"/>
      <c r="V7" s="266"/>
      <c r="W7" s="272"/>
      <c r="X7" s="272"/>
      <c r="Y7" s="272"/>
      <c r="Z7" s="272"/>
      <c r="AA7" s="272"/>
      <c r="AB7" s="272"/>
      <c r="AC7" s="272"/>
      <c r="AD7" s="272"/>
      <c r="AE7" s="272"/>
      <c r="AF7" s="272"/>
      <c r="AG7" s="272"/>
      <c r="AH7" s="272"/>
      <c r="AI7" s="272"/>
      <c r="AJ7" s="272"/>
      <c r="AK7" s="272"/>
      <c r="AL7" s="272"/>
      <c r="AM7" s="272"/>
      <c r="AN7" s="272"/>
      <c r="AO7" s="272"/>
      <c r="AP7" s="272"/>
      <c r="AQ7" s="272"/>
      <c r="AR7" s="272"/>
      <c r="AS7" s="272"/>
      <c r="AT7" s="272"/>
      <c r="AU7" s="272"/>
      <c r="AV7" s="272"/>
      <c r="AW7" s="272"/>
      <c r="AX7" s="272"/>
      <c r="AY7" s="272"/>
      <c r="AZ7" s="272"/>
      <c r="BA7" s="272"/>
      <c r="BB7" s="272"/>
      <c r="BC7" s="272"/>
      <c r="BD7" s="272"/>
      <c r="BE7" s="272"/>
      <c r="BF7" s="272"/>
      <c r="BG7" s="272"/>
      <c r="BH7" s="272"/>
      <c r="BI7" s="272"/>
      <c r="BJ7" s="272"/>
      <c r="BK7" s="272"/>
      <c r="BL7" s="272"/>
      <c r="BM7" s="272"/>
      <c r="BN7" s="272"/>
      <c r="BO7" s="272"/>
      <c r="BP7" s="272"/>
      <c r="BQ7" s="272"/>
      <c r="BR7" s="272"/>
      <c r="BS7" s="272"/>
      <c r="BT7" s="272"/>
      <c r="BU7" s="272"/>
      <c r="BV7" s="272"/>
      <c r="BW7" s="272"/>
      <c r="BX7" s="272"/>
      <c r="BY7" s="272"/>
      <c r="BZ7" s="272"/>
      <c r="CA7" s="272"/>
      <c r="CB7" s="272"/>
      <c r="CC7" s="272"/>
      <c r="CD7" s="272"/>
      <c r="CE7" s="272"/>
      <c r="CF7" s="272"/>
      <c r="CG7" s="272"/>
      <c r="CH7" s="272"/>
      <c r="CI7" s="272"/>
      <c r="CJ7" s="272"/>
      <c r="CK7" s="272"/>
      <c r="CL7" s="272"/>
      <c r="CM7" s="272"/>
      <c r="CN7" s="272"/>
      <c r="CO7" s="272"/>
      <c r="CP7" s="272"/>
      <c r="CQ7" s="272"/>
      <c r="CR7" s="272"/>
      <c r="CS7" s="272"/>
      <c r="CT7" s="272"/>
      <c r="CU7" s="272"/>
      <c r="CV7" s="272"/>
      <c r="CW7" s="272"/>
      <c r="CX7" s="272"/>
      <c r="CY7" s="272"/>
      <c r="CZ7" s="272"/>
      <c r="DA7" s="272"/>
      <c r="DB7" s="272"/>
      <c r="DC7" s="272"/>
      <c r="DD7" s="272"/>
      <c r="DE7" s="272"/>
      <c r="DF7" s="272"/>
      <c r="DG7" s="272"/>
      <c r="DH7" s="272"/>
      <c r="DI7" s="272"/>
      <c r="DJ7" s="272"/>
      <c r="DK7" s="272"/>
      <c r="DL7" s="272"/>
      <c r="DM7" s="272"/>
      <c r="DN7" s="272"/>
      <c r="DO7" s="272"/>
      <c r="DP7" s="272"/>
      <c r="DQ7" s="272"/>
      <c r="DR7" s="272"/>
      <c r="DS7" s="272"/>
      <c r="DT7" s="272"/>
      <c r="DU7" s="272"/>
      <c r="DV7" s="272"/>
      <c r="DW7" s="272"/>
      <c r="DX7" s="272"/>
      <c r="DY7" s="272"/>
      <c r="DZ7" s="272"/>
      <c r="EA7" s="272"/>
      <c r="EB7" s="272"/>
      <c r="EC7" s="272"/>
      <c r="ED7" s="272"/>
      <c r="EE7" s="272"/>
      <c r="EF7" s="272"/>
      <c r="EG7" s="272"/>
      <c r="EH7" s="272"/>
      <c r="EI7" s="272"/>
      <c r="EJ7" s="272"/>
      <c r="EK7" s="272"/>
      <c r="EL7" s="272"/>
      <c r="EM7" s="272"/>
      <c r="EN7" s="272"/>
      <c r="EO7" s="272"/>
      <c r="EP7" s="272"/>
      <c r="EQ7" s="272"/>
      <c r="ER7" s="272"/>
      <c r="ES7" s="272"/>
      <c r="ET7" s="272"/>
      <c r="EU7" s="272"/>
      <c r="EV7" s="272"/>
      <c r="EW7" s="272"/>
      <c r="EX7" s="272"/>
      <c r="EY7" s="272"/>
      <c r="EZ7" s="272"/>
      <c r="FA7" s="272"/>
      <c r="FB7" s="272"/>
      <c r="FC7" s="272"/>
      <c r="FD7" s="272"/>
      <c r="FE7" s="272"/>
      <c r="FF7" s="272"/>
      <c r="FG7" s="272"/>
      <c r="FH7" s="272"/>
      <c r="FI7" s="272"/>
      <c r="FJ7" s="272"/>
      <c r="FK7" s="272"/>
      <c r="FL7" s="272"/>
      <c r="FM7" s="272"/>
      <c r="FN7" s="272"/>
      <c r="FO7" s="272"/>
      <c r="FP7" s="272"/>
      <c r="FQ7" s="272"/>
      <c r="FR7" s="272"/>
      <c r="FS7" s="272"/>
      <c r="FT7" s="272"/>
      <c r="FU7" s="272"/>
      <c r="FV7" s="272"/>
      <c r="FW7" s="272"/>
      <c r="FX7" s="272"/>
      <c r="FY7" s="272"/>
      <c r="FZ7" s="272"/>
      <c r="GA7" s="272"/>
      <c r="GB7" s="272"/>
      <c r="GC7" s="272"/>
      <c r="GD7" s="272"/>
      <c r="GE7" s="272"/>
      <c r="GF7" s="272"/>
      <c r="GG7" s="272"/>
      <c r="GH7" s="272"/>
      <c r="GI7" s="272"/>
      <c r="GJ7" s="272"/>
      <c r="GK7" s="272"/>
      <c r="GL7" s="272"/>
      <c r="GM7" s="272"/>
      <c r="GN7" s="272"/>
      <c r="GO7" s="272"/>
      <c r="GP7" s="272"/>
      <c r="GQ7" s="272"/>
      <c r="GR7" s="272"/>
      <c r="GS7" s="272"/>
      <c r="GT7" s="272"/>
      <c r="GU7" s="272"/>
      <c r="GV7" s="272"/>
      <c r="GW7" s="272"/>
      <c r="GX7" s="272"/>
      <c r="GY7" s="272"/>
      <c r="GZ7" s="272"/>
      <c r="HA7" s="272"/>
      <c r="HB7" s="272"/>
      <c r="HC7" s="272"/>
      <c r="HD7" s="272"/>
      <c r="HE7" s="272"/>
      <c r="HF7" s="272"/>
      <c r="HG7" s="272"/>
      <c r="HH7" s="272"/>
      <c r="HI7" s="272"/>
      <c r="HJ7" s="272"/>
      <c r="HK7" s="272"/>
      <c r="HL7" s="272"/>
      <c r="HM7" s="272"/>
      <c r="HN7" s="272"/>
      <c r="HO7" s="272"/>
      <c r="HP7" s="272"/>
      <c r="HQ7" s="272"/>
      <c r="HR7" s="272"/>
      <c r="HS7" s="272"/>
      <c r="HT7" s="272"/>
      <c r="HU7" s="272"/>
      <c r="HV7" s="272"/>
      <c r="HW7" s="272"/>
      <c r="HX7" s="272"/>
      <c r="HY7" s="272"/>
      <c r="HZ7" s="272"/>
      <c r="IA7" s="272"/>
      <c r="IB7" s="272"/>
      <c r="IC7" s="272"/>
      <c r="ID7" s="272"/>
      <c r="IE7" s="272"/>
      <c r="IF7" s="272"/>
      <c r="IG7" s="272"/>
      <c r="IH7" s="272"/>
      <c r="II7" s="272"/>
      <c r="IJ7" s="272"/>
      <c r="IK7" s="272"/>
      <c r="IL7" s="272"/>
      <c r="IM7" s="272"/>
      <c r="IN7" s="272"/>
      <c r="IO7" s="272"/>
      <c r="IP7" s="272"/>
      <c r="IQ7" s="272"/>
      <c r="IR7" s="272"/>
      <c r="IS7" s="272"/>
      <c r="IT7" s="272"/>
      <c r="IU7" s="272"/>
      <c r="IV7" s="272"/>
      <c r="IW7" s="272"/>
    </row>
    <row r="8" customFormat="false" ht="12.75" hidden="false" customHeight="false" outlineLevel="0" collapsed="false">
      <c r="A8" s="192" t="s">
        <v>56</v>
      </c>
      <c r="B8" s="1"/>
      <c r="C8" s="1"/>
      <c r="D8" s="1"/>
    </row>
    <row r="9" customFormat="false" ht="12.75" hidden="false" customHeight="false" outlineLevel="0" collapsed="false">
      <c r="A9" s="24" t="s">
        <v>165</v>
      </c>
      <c r="B9" s="273" t="n">
        <v>0</v>
      </c>
      <c r="C9" s="273" t="n">
        <v>12</v>
      </c>
      <c r="D9" s="273" t="n">
        <v>12</v>
      </c>
      <c r="E9" s="273" t="n">
        <v>12</v>
      </c>
      <c r="F9" s="273" t="n">
        <v>12</v>
      </c>
      <c r="G9" s="273" t="n">
        <v>12</v>
      </c>
      <c r="H9" s="273" t="n">
        <v>12</v>
      </c>
      <c r="I9" s="273" t="n">
        <v>12</v>
      </c>
      <c r="J9" s="273" t="n">
        <v>12</v>
      </c>
      <c r="K9" s="273" t="n">
        <v>12</v>
      </c>
      <c r="L9" s="273" t="n">
        <v>12</v>
      </c>
      <c r="M9" s="273" t="n">
        <v>12</v>
      </c>
      <c r="N9" s="273" t="n">
        <v>12</v>
      </c>
      <c r="O9" s="273" t="n">
        <v>12</v>
      </c>
      <c r="P9" s="273" t="n">
        <v>12</v>
      </c>
      <c r="Q9" s="273" t="n">
        <v>12</v>
      </c>
      <c r="R9" s="273" t="n">
        <v>12</v>
      </c>
      <c r="S9" s="273" t="n">
        <v>12</v>
      </c>
      <c r="T9" s="273" t="n">
        <v>12</v>
      </c>
      <c r="U9" s="273" t="n">
        <v>12</v>
      </c>
      <c r="V9" s="273" t="n">
        <v>12</v>
      </c>
    </row>
    <row r="10" customFormat="false" ht="12.75" hidden="false" customHeight="false" outlineLevel="0" collapsed="false">
      <c r="A10" s="1" t="s">
        <v>166</v>
      </c>
      <c r="B10" s="201" t="n">
        <v>0</v>
      </c>
      <c r="C10" s="201" t="n">
        <f aca="false">90%/30</f>
        <v>0.03</v>
      </c>
      <c r="D10" s="201" t="n">
        <f aca="false">90%/30</f>
        <v>0.03</v>
      </c>
      <c r="E10" s="201" t="n">
        <f aca="false">90%/30</f>
        <v>0.03</v>
      </c>
      <c r="F10" s="201" t="n">
        <f aca="false">90%/30</f>
        <v>0.03</v>
      </c>
      <c r="G10" s="201" t="n">
        <f aca="false">90%/30</f>
        <v>0.03</v>
      </c>
      <c r="H10" s="201" t="n">
        <f aca="false">90%/30</f>
        <v>0.03</v>
      </c>
      <c r="I10" s="201" t="n">
        <f aca="false">90%/30</f>
        <v>0.03</v>
      </c>
      <c r="J10" s="201" t="n">
        <f aca="false">90%/30</f>
        <v>0.03</v>
      </c>
      <c r="K10" s="201" t="n">
        <f aca="false">90%/30</f>
        <v>0.03</v>
      </c>
      <c r="L10" s="201" t="n">
        <f aca="false">90%/30</f>
        <v>0.03</v>
      </c>
      <c r="M10" s="201" t="n">
        <f aca="false">90%/30</f>
        <v>0.03</v>
      </c>
      <c r="N10" s="201" t="n">
        <f aca="false">90%/30</f>
        <v>0.03</v>
      </c>
      <c r="O10" s="201" t="n">
        <f aca="false">90%/30</f>
        <v>0.03</v>
      </c>
      <c r="P10" s="201" t="n">
        <f aca="false">90%/30</f>
        <v>0.03</v>
      </c>
      <c r="Q10" s="201" t="n">
        <f aca="false">90%/30</f>
        <v>0.03</v>
      </c>
      <c r="R10" s="201" t="n">
        <f aca="false">90%/30</f>
        <v>0.03</v>
      </c>
      <c r="S10" s="201" t="n">
        <f aca="false">90%/30</f>
        <v>0.03</v>
      </c>
      <c r="T10" s="201" t="n">
        <f aca="false">90%/30</f>
        <v>0.03</v>
      </c>
      <c r="U10" s="201" t="n">
        <f aca="false">90%/30</f>
        <v>0.03</v>
      </c>
      <c r="V10" s="201" t="n">
        <f aca="false">90%/30</f>
        <v>0.03</v>
      </c>
    </row>
    <row r="11" customFormat="false" ht="12.75" hidden="false" customHeight="false" outlineLevel="0" collapsed="false">
      <c r="B11" s="1"/>
      <c r="C11" s="1"/>
      <c r="D11" s="1"/>
    </row>
    <row r="12" customFormat="false" ht="12.75" hidden="false" customHeight="false" outlineLevel="0" collapsed="false">
      <c r="A12" s="1" t="s">
        <v>167</v>
      </c>
      <c r="B12" s="160" t="n">
        <f aca="false">'Summary Output'!$G$7*Allocation!$C$6</f>
        <v>236812.322335504</v>
      </c>
      <c r="C12" s="172" t="n">
        <f aca="false">B14</f>
        <v>236812.322335504</v>
      </c>
      <c r="D12" s="172" t="n">
        <f aca="false">C14</f>
        <v>229707.952665439</v>
      </c>
      <c r="E12" s="172" t="n">
        <f aca="false">D14</f>
        <v>222603.582995374</v>
      </c>
      <c r="F12" s="172" t="n">
        <f aca="false">E14</f>
        <v>215499.213325309</v>
      </c>
      <c r="G12" s="172" t="n">
        <f aca="false">F14</f>
        <v>208394.843655244</v>
      </c>
      <c r="H12" s="172" t="n">
        <f aca="false">G14</f>
        <v>201290.473985179</v>
      </c>
      <c r="I12" s="172" t="n">
        <f aca="false">H14</f>
        <v>194186.104315113</v>
      </c>
      <c r="J12" s="172" t="n">
        <f aca="false">I14</f>
        <v>187081.734645048</v>
      </c>
      <c r="K12" s="172" t="n">
        <f aca="false">J14</f>
        <v>179977.364974983</v>
      </c>
      <c r="L12" s="172" t="n">
        <f aca="false">K14</f>
        <v>172872.995304918</v>
      </c>
      <c r="M12" s="172" t="n">
        <f aca="false">L14</f>
        <v>165768.625634853</v>
      </c>
      <c r="N12" s="172" t="n">
        <f aca="false">M14</f>
        <v>158664.255964788</v>
      </c>
      <c r="O12" s="172" t="n">
        <f aca="false">N14</f>
        <v>151559.886294723</v>
      </c>
      <c r="P12" s="172" t="n">
        <f aca="false">O14</f>
        <v>144455.516624658</v>
      </c>
      <c r="Q12" s="172" t="n">
        <f aca="false">P14</f>
        <v>137351.146954592</v>
      </c>
      <c r="R12" s="172" t="n">
        <f aca="false">Q14</f>
        <v>130246.777284527</v>
      </c>
      <c r="S12" s="172" t="n">
        <f aca="false">R14</f>
        <v>123142.407614462</v>
      </c>
      <c r="T12" s="172" t="n">
        <f aca="false">S14</f>
        <v>116038.037944397</v>
      </c>
      <c r="U12" s="172" t="n">
        <f aca="false">T14</f>
        <v>108933.668274332</v>
      </c>
      <c r="V12" s="172" t="n">
        <f aca="false">U14</f>
        <v>101829.298604267</v>
      </c>
    </row>
    <row r="13" customFormat="false" ht="12.75" hidden="false" customHeight="false" outlineLevel="0" collapsed="false">
      <c r="A13" s="1" t="s">
        <v>168</v>
      </c>
      <c r="B13" s="197" t="n">
        <f aca="false">$B$12*B10</f>
        <v>0</v>
      </c>
      <c r="C13" s="197" t="n">
        <f aca="false">$B$12*C10</f>
        <v>7104.36967006512</v>
      </c>
      <c r="D13" s="197" t="n">
        <f aca="false">$B$12*D10</f>
        <v>7104.36967006512</v>
      </c>
      <c r="E13" s="197" t="n">
        <f aca="false">$B$12*E10</f>
        <v>7104.36967006512</v>
      </c>
      <c r="F13" s="197" t="n">
        <f aca="false">$B$12*F10</f>
        <v>7104.36967006512</v>
      </c>
      <c r="G13" s="197" t="n">
        <f aca="false">$B$12*G10</f>
        <v>7104.36967006512</v>
      </c>
      <c r="H13" s="197" t="n">
        <f aca="false">$B$12*H10</f>
        <v>7104.36967006512</v>
      </c>
      <c r="I13" s="197" t="n">
        <f aca="false">$B$12*I10</f>
        <v>7104.36967006512</v>
      </c>
      <c r="J13" s="197" t="n">
        <f aca="false">$B$12*J10</f>
        <v>7104.36967006512</v>
      </c>
      <c r="K13" s="197" t="n">
        <f aca="false">$B$12*K10</f>
        <v>7104.36967006512</v>
      </c>
      <c r="L13" s="197" t="n">
        <f aca="false">$B$12*L10</f>
        <v>7104.36967006512</v>
      </c>
      <c r="M13" s="197" t="n">
        <f aca="false">$B$12*M10</f>
        <v>7104.36967006512</v>
      </c>
      <c r="N13" s="197" t="n">
        <f aca="false">$B$12*N10</f>
        <v>7104.36967006512</v>
      </c>
      <c r="O13" s="197" t="n">
        <f aca="false">$B$12*O10</f>
        <v>7104.36967006512</v>
      </c>
      <c r="P13" s="197" t="n">
        <f aca="false">$B$12*P10</f>
        <v>7104.36967006512</v>
      </c>
      <c r="Q13" s="197" t="n">
        <f aca="false">$B$12*Q10</f>
        <v>7104.36967006512</v>
      </c>
      <c r="R13" s="197" t="n">
        <f aca="false">$B$12*R10</f>
        <v>7104.36967006512</v>
      </c>
      <c r="S13" s="197" t="n">
        <f aca="false">$B$12*S10</f>
        <v>7104.36967006512</v>
      </c>
      <c r="T13" s="197" t="n">
        <f aca="false">$B$12*T10</f>
        <v>7104.36967006512</v>
      </c>
      <c r="U13" s="197" t="n">
        <f aca="false">$B$12*U10</f>
        <v>7104.36967006512</v>
      </c>
      <c r="V13" s="197" t="n">
        <f aca="false">$B$12*V10</f>
        <v>7104.36967006512</v>
      </c>
    </row>
    <row r="14" customFormat="false" ht="12.75" hidden="false" customHeight="false" outlineLevel="0" collapsed="false">
      <c r="A14" s="1" t="s">
        <v>169</v>
      </c>
      <c r="B14" s="172" t="n">
        <f aca="false">B12-B13</f>
        <v>236812.322335504</v>
      </c>
      <c r="C14" s="172" t="n">
        <f aca="false">C12-C13</f>
        <v>229707.952665439</v>
      </c>
      <c r="D14" s="172" t="n">
        <f aca="false">D12-D13</f>
        <v>222603.582995374</v>
      </c>
      <c r="E14" s="172" t="n">
        <f aca="false">E12-E13</f>
        <v>215499.213325309</v>
      </c>
      <c r="F14" s="172" t="n">
        <f aca="false">F12-F13</f>
        <v>208394.843655244</v>
      </c>
      <c r="G14" s="172" t="n">
        <f aca="false">G12-G13</f>
        <v>201290.473985179</v>
      </c>
      <c r="H14" s="172" t="n">
        <f aca="false">H12-H13</f>
        <v>194186.104315113</v>
      </c>
      <c r="I14" s="172" t="n">
        <f aca="false">I12-I13</f>
        <v>187081.734645048</v>
      </c>
      <c r="J14" s="172" t="n">
        <f aca="false">J12-J13</f>
        <v>179977.364974983</v>
      </c>
      <c r="K14" s="172" t="n">
        <f aca="false">K12-K13</f>
        <v>172872.995304918</v>
      </c>
      <c r="L14" s="172" t="n">
        <f aca="false">L12-L13</f>
        <v>165768.625634853</v>
      </c>
      <c r="M14" s="172" t="n">
        <f aca="false">M12-M13</f>
        <v>158664.255964788</v>
      </c>
      <c r="N14" s="172" t="n">
        <f aca="false">N12-N13</f>
        <v>151559.886294723</v>
      </c>
      <c r="O14" s="172" t="n">
        <f aca="false">O12-O13</f>
        <v>144455.516624658</v>
      </c>
      <c r="P14" s="172" t="n">
        <f aca="false">P12-P13</f>
        <v>137351.146954592</v>
      </c>
      <c r="Q14" s="172" t="n">
        <f aca="false">Q12-Q13</f>
        <v>130246.777284527</v>
      </c>
      <c r="R14" s="172" t="n">
        <f aca="false">R12-R13</f>
        <v>123142.407614462</v>
      </c>
      <c r="S14" s="172" t="n">
        <f aca="false">S12-S13</f>
        <v>116038.037944397</v>
      </c>
      <c r="T14" s="172" t="n">
        <f aca="false">T12-T13</f>
        <v>108933.668274332</v>
      </c>
      <c r="U14" s="172" t="n">
        <f aca="false">U12-U13</f>
        <v>101829.298604267</v>
      </c>
      <c r="V14" s="172" t="n">
        <f aca="false">V12-V13</f>
        <v>94724.9289342017</v>
      </c>
    </row>
    <row r="15" customFormat="false" ht="12.75" hidden="false" customHeight="false" outlineLevel="0" collapsed="false">
      <c r="B15" s="1"/>
      <c r="C15" s="1"/>
      <c r="D15" s="1"/>
    </row>
    <row r="16" customFormat="false" ht="12.75" hidden="false" customHeight="false" outlineLevel="0" collapsed="false">
      <c r="A16" s="192" t="s">
        <v>57</v>
      </c>
      <c r="B16" s="1"/>
      <c r="C16" s="1"/>
      <c r="D16" s="1"/>
    </row>
    <row r="17" customFormat="false" ht="12.75" hidden="false" customHeight="false" outlineLevel="0" collapsed="false">
      <c r="A17" s="24" t="s">
        <v>165</v>
      </c>
      <c r="B17" s="273" t="n">
        <v>0</v>
      </c>
      <c r="C17" s="273" t="n">
        <v>12</v>
      </c>
      <c r="D17" s="273" t="n">
        <v>12</v>
      </c>
      <c r="E17" s="273" t="n">
        <v>12</v>
      </c>
      <c r="F17" s="273" t="n">
        <v>12</v>
      </c>
      <c r="G17" s="273" t="n">
        <v>12</v>
      </c>
      <c r="H17" s="273" t="n">
        <v>12</v>
      </c>
      <c r="I17" s="273" t="n">
        <v>12</v>
      </c>
      <c r="J17" s="273" t="n">
        <v>12</v>
      </c>
      <c r="K17" s="273" t="n">
        <v>12</v>
      </c>
      <c r="L17" s="273" t="n">
        <v>12</v>
      </c>
      <c r="M17" s="273" t="n">
        <v>12</v>
      </c>
      <c r="N17" s="273" t="n">
        <v>12</v>
      </c>
      <c r="O17" s="273" t="n">
        <v>12</v>
      </c>
      <c r="P17" s="273" t="n">
        <v>12</v>
      </c>
      <c r="Q17" s="273" t="n">
        <v>12</v>
      </c>
      <c r="R17" s="273" t="n">
        <v>12</v>
      </c>
      <c r="S17" s="273" t="n">
        <v>12</v>
      </c>
      <c r="T17" s="273" t="n">
        <v>12</v>
      </c>
      <c r="U17" s="273" t="n">
        <v>12</v>
      </c>
      <c r="V17" s="273" t="n">
        <v>12</v>
      </c>
    </row>
    <row r="18" customFormat="false" ht="12.75" hidden="false" customHeight="false" outlineLevel="0" collapsed="false">
      <c r="A18" s="1" t="s">
        <v>166</v>
      </c>
      <c r="B18" s="201" t="n">
        <v>0</v>
      </c>
      <c r="C18" s="201" t="n">
        <f aca="false">90%/30</f>
        <v>0.03</v>
      </c>
      <c r="D18" s="201" t="n">
        <f aca="false">90%/30</f>
        <v>0.03</v>
      </c>
      <c r="E18" s="201" t="n">
        <f aca="false">90%/30</f>
        <v>0.03</v>
      </c>
      <c r="F18" s="201" t="n">
        <f aca="false">90%/30</f>
        <v>0.03</v>
      </c>
      <c r="G18" s="201" t="n">
        <f aca="false">90%/30</f>
        <v>0.03</v>
      </c>
      <c r="H18" s="201" t="n">
        <f aca="false">90%/30</f>
        <v>0.03</v>
      </c>
      <c r="I18" s="201" t="n">
        <f aca="false">90%/30</f>
        <v>0.03</v>
      </c>
      <c r="J18" s="201" t="n">
        <f aca="false">90%/30</f>
        <v>0.03</v>
      </c>
      <c r="K18" s="201" t="n">
        <f aca="false">90%/30</f>
        <v>0.03</v>
      </c>
      <c r="L18" s="201" t="n">
        <f aca="false">90%/30</f>
        <v>0.03</v>
      </c>
      <c r="M18" s="201" t="n">
        <f aca="false">90%/30</f>
        <v>0.03</v>
      </c>
      <c r="N18" s="201" t="n">
        <f aca="false">90%/30</f>
        <v>0.03</v>
      </c>
      <c r="O18" s="201" t="n">
        <f aca="false">90%/30</f>
        <v>0.03</v>
      </c>
      <c r="P18" s="201" t="n">
        <f aca="false">90%/30</f>
        <v>0.03</v>
      </c>
      <c r="Q18" s="201" t="n">
        <f aca="false">90%/30</f>
        <v>0.03</v>
      </c>
      <c r="R18" s="201" t="n">
        <f aca="false">90%/30</f>
        <v>0.03</v>
      </c>
      <c r="S18" s="201" t="n">
        <f aca="false">90%/30</f>
        <v>0.03</v>
      </c>
      <c r="T18" s="201" t="n">
        <f aca="false">90%/30</f>
        <v>0.03</v>
      </c>
      <c r="U18" s="201" t="n">
        <f aca="false">90%/30</f>
        <v>0.03</v>
      </c>
      <c r="V18" s="201" t="n">
        <f aca="false">90%/30</f>
        <v>0.03</v>
      </c>
    </row>
    <row r="19" customFormat="false" ht="12.75" hidden="false" customHeight="false" outlineLevel="0" collapsed="false">
      <c r="B19" s="1"/>
      <c r="C19" s="1"/>
      <c r="D19" s="1"/>
      <c r="X19" s="274" t="s">
        <v>170</v>
      </c>
      <c r="Y19" s="275"/>
    </row>
    <row r="20" customFormat="false" ht="12.75" hidden="false" customHeight="false" outlineLevel="0" collapsed="false">
      <c r="A20" s="1" t="s">
        <v>167</v>
      </c>
      <c r="B20" s="160" t="n">
        <f aca="false">'Summary Output'!$G$7*Allocation!$C$7</f>
        <v>216621.991789046</v>
      </c>
      <c r="C20" s="172" t="n">
        <f aca="false">B22</f>
        <v>216621.991789046</v>
      </c>
      <c r="D20" s="172" t="n">
        <f aca="false">C22</f>
        <v>210123.332035374</v>
      </c>
      <c r="E20" s="172" t="n">
        <f aca="false">D22</f>
        <v>203624.672281703</v>
      </c>
      <c r="F20" s="172" t="n">
        <f aca="false">E22</f>
        <v>197126.012528032</v>
      </c>
      <c r="G20" s="172" t="n">
        <f aca="false">F22</f>
        <v>190627.35277436</v>
      </c>
      <c r="H20" s="172" t="n">
        <f aca="false">G22</f>
        <v>184128.693020689</v>
      </c>
      <c r="I20" s="172" t="n">
        <f aca="false">H22</f>
        <v>177630.033267018</v>
      </c>
      <c r="J20" s="172" t="n">
        <f aca="false">I22</f>
        <v>171131.373513346</v>
      </c>
      <c r="K20" s="172" t="n">
        <f aca="false">J22</f>
        <v>164632.713759675</v>
      </c>
      <c r="L20" s="172" t="n">
        <f aca="false">K22</f>
        <v>158134.054006003</v>
      </c>
      <c r="M20" s="172" t="n">
        <f aca="false">L22</f>
        <v>151635.394252332</v>
      </c>
      <c r="N20" s="172" t="n">
        <f aca="false">M22</f>
        <v>145136.734498661</v>
      </c>
      <c r="O20" s="172" t="n">
        <f aca="false">N22</f>
        <v>138638.074744989</v>
      </c>
      <c r="P20" s="172" t="n">
        <f aca="false">O22</f>
        <v>132139.414991318</v>
      </c>
      <c r="Q20" s="172" t="n">
        <f aca="false">P22</f>
        <v>125640.755237646</v>
      </c>
      <c r="R20" s="172" t="n">
        <f aca="false">Q22</f>
        <v>119142.095483975</v>
      </c>
      <c r="S20" s="172" t="n">
        <f aca="false">R22</f>
        <v>112643.435730304</v>
      </c>
      <c r="T20" s="172" t="n">
        <f aca="false">S22</f>
        <v>106144.775976632</v>
      </c>
      <c r="U20" s="172" t="n">
        <f aca="false">T22</f>
        <v>99646.116222961</v>
      </c>
      <c r="V20" s="172" t="n">
        <f aca="false">U22</f>
        <v>93147.4564692896</v>
      </c>
      <c r="X20" s="276"/>
      <c r="Y20" s="277"/>
    </row>
    <row r="21" customFormat="false" ht="12.75" hidden="false" customHeight="false" outlineLevel="0" collapsed="false">
      <c r="A21" s="1" t="s">
        <v>168</v>
      </c>
      <c r="B21" s="197" t="n">
        <f aca="false">$B$20*B18</f>
        <v>0</v>
      </c>
      <c r="C21" s="197" t="n">
        <f aca="false">$B$20*C18</f>
        <v>6498.65975367138</v>
      </c>
      <c r="D21" s="197" t="n">
        <f aca="false">$B$20*D18</f>
        <v>6498.65975367138</v>
      </c>
      <c r="E21" s="197" t="n">
        <f aca="false">$B$20*E18</f>
        <v>6498.65975367138</v>
      </c>
      <c r="F21" s="197" t="n">
        <f aca="false">$B$20*F18</f>
        <v>6498.65975367138</v>
      </c>
      <c r="G21" s="197" t="n">
        <f aca="false">$B$20*G18</f>
        <v>6498.65975367138</v>
      </c>
      <c r="H21" s="197" t="n">
        <f aca="false">$B$20*H18</f>
        <v>6498.65975367138</v>
      </c>
      <c r="I21" s="197" t="n">
        <f aca="false">$B$20*I18</f>
        <v>6498.65975367138</v>
      </c>
      <c r="J21" s="197" t="n">
        <f aca="false">$B$20*J18</f>
        <v>6498.65975367138</v>
      </c>
      <c r="K21" s="197" t="n">
        <f aca="false">$B$20*K18</f>
        <v>6498.65975367138</v>
      </c>
      <c r="L21" s="197" t="n">
        <f aca="false">$B$20*L18</f>
        <v>6498.65975367138</v>
      </c>
      <c r="M21" s="197" t="n">
        <f aca="false">$B$20*M18</f>
        <v>6498.65975367138</v>
      </c>
      <c r="N21" s="197" t="n">
        <f aca="false">$B$20*N18</f>
        <v>6498.65975367138</v>
      </c>
      <c r="O21" s="197" t="n">
        <f aca="false">$B$20*O18</f>
        <v>6498.65975367138</v>
      </c>
      <c r="P21" s="197" t="n">
        <f aca="false">$B$20*P18</f>
        <v>6498.65975367138</v>
      </c>
      <c r="Q21" s="197" t="n">
        <f aca="false">$B$20*Q18</f>
        <v>6498.65975367138</v>
      </c>
      <c r="R21" s="197" t="n">
        <f aca="false">$B$20*R18</f>
        <v>6498.65975367138</v>
      </c>
      <c r="S21" s="197" t="n">
        <f aca="false">$B$20*S18</f>
        <v>6498.65975367138</v>
      </c>
      <c r="T21" s="197" t="n">
        <f aca="false">$B$20*T18</f>
        <v>6498.65975367138</v>
      </c>
      <c r="U21" s="197" t="n">
        <f aca="false">$B$20*U18</f>
        <v>6498.65975367138</v>
      </c>
      <c r="V21" s="197" t="n">
        <f aca="false">$B$20*V18</f>
        <v>6498.65975367138</v>
      </c>
      <c r="X21" s="278" t="n">
        <v>0</v>
      </c>
      <c r="Y21" s="279" t="n">
        <v>0</v>
      </c>
    </row>
    <row r="22" customFormat="false" ht="12.75" hidden="false" customHeight="false" outlineLevel="0" collapsed="false">
      <c r="A22" s="1" t="s">
        <v>169</v>
      </c>
      <c r="B22" s="172" t="n">
        <f aca="false">B20-B21</f>
        <v>216621.991789046</v>
      </c>
      <c r="C22" s="172" t="n">
        <f aca="false">C20-C21</f>
        <v>210123.332035374</v>
      </c>
      <c r="D22" s="172" t="n">
        <f aca="false">D20-D21</f>
        <v>203624.672281703</v>
      </c>
      <c r="E22" s="172" t="n">
        <f aca="false">E20-E21</f>
        <v>197126.012528032</v>
      </c>
      <c r="F22" s="172" t="n">
        <f aca="false">F20-F21</f>
        <v>190627.35277436</v>
      </c>
      <c r="G22" s="172" t="n">
        <f aca="false">G20-G21</f>
        <v>184128.693020689</v>
      </c>
      <c r="H22" s="172" t="n">
        <f aca="false">H20-H21</f>
        <v>177630.033267018</v>
      </c>
      <c r="I22" s="172" t="n">
        <f aca="false">I20-I21</f>
        <v>171131.373513346</v>
      </c>
      <c r="J22" s="172" t="n">
        <f aca="false">J20-J21</f>
        <v>164632.713759675</v>
      </c>
      <c r="K22" s="172" t="n">
        <f aca="false">K20-K21</f>
        <v>158134.054006003</v>
      </c>
      <c r="L22" s="172" t="n">
        <f aca="false">L20-L21</f>
        <v>151635.394252332</v>
      </c>
      <c r="M22" s="172" t="n">
        <f aca="false">M20-M21</f>
        <v>145136.734498661</v>
      </c>
      <c r="N22" s="172" t="n">
        <f aca="false">N20-N21</f>
        <v>138638.074744989</v>
      </c>
      <c r="O22" s="172" t="n">
        <f aca="false">O20-O21</f>
        <v>132139.414991318</v>
      </c>
      <c r="P22" s="172" t="n">
        <f aca="false">P20-P21</f>
        <v>125640.755237646</v>
      </c>
      <c r="Q22" s="172" t="n">
        <f aca="false">Q20-Q21</f>
        <v>119142.095483975</v>
      </c>
      <c r="R22" s="172" t="n">
        <f aca="false">R20-R21</f>
        <v>112643.435730304</v>
      </c>
      <c r="S22" s="172" t="n">
        <f aca="false">S20-S21</f>
        <v>106144.775976632</v>
      </c>
      <c r="T22" s="172" t="n">
        <f aca="false">T20-T21</f>
        <v>99646.116222961</v>
      </c>
      <c r="U22" s="172" t="n">
        <f aca="false">U20-U21</f>
        <v>93147.4564692896</v>
      </c>
      <c r="V22" s="172" t="n">
        <f aca="false">V20-V21</f>
        <v>86648.7967156182</v>
      </c>
      <c r="X22" s="278" t="n">
        <v>1</v>
      </c>
      <c r="Y22" s="279" t="n">
        <v>0.05</v>
      </c>
    </row>
    <row r="23" customFormat="false" ht="12.75" hidden="false" customHeight="false" outlineLevel="0" collapsed="false">
      <c r="B23" s="1"/>
      <c r="C23" s="1"/>
      <c r="D23" s="1"/>
      <c r="X23" s="278" t="n">
        <v>2</v>
      </c>
      <c r="Y23" s="279" t="n">
        <v>0.095</v>
      </c>
    </row>
    <row r="24" customFormat="false" ht="12.75" hidden="false" customHeight="false" outlineLevel="0" collapsed="false">
      <c r="A24" s="192" t="s">
        <v>58</v>
      </c>
      <c r="B24" s="1"/>
      <c r="C24" s="1"/>
      <c r="D24" s="1"/>
      <c r="X24" s="278" t="n">
        <v>3</v>
      </c>
      <c r="Y24" s="279" t="n">
        <v>0.0855</v>
      </c>
    </row>
    <row r="25" customFormat="false" ht="12.75" hidden="false" customHeight="false" outlineLevel="0" collapsed="false">
      <c r="A25" s="24" t="s">
        <v>165</v>
      </c>
      <c r="B25" s="273" t="n">
        <v>0</v>
      </c>
      <c r="C25" s="273" t="n">
        <v>12</v>
      </c>
      <c r="D25" s="273" t="n">
        <v>12</v>
      </c>
      <c r="E25" s="273" t="n">
        <v>12</v>
      </c>
      <c r="F25" s="273" t="n">
        <v>12</v>
      </c>
      <c r="G25" s="273" t="n">
        <v>12</v>
      </c>
      <c r="H25" s="273" t="n">
        <v>12</v>
      </c>
      <c r="I25" s="273" t="n">
        <v>12</v>
      </c>
      <c r="J25" s="273" t="n">
        <v>12</v>
      </c>
      <c r="K25" s="273" t="n">
        <v>12</v>
      </c>
      <c r="L25" s="273" t="n">
        <v>12</v>
      </c>
      <c r="M25" s="273" t="n">
        <v>12</v>
      </c>
      <c r="N25" s="273" t="n">
        <v>12</v>
      </c>
      <c r="O25" s="273" t="n">
        <v>12</v>
      </c>
      <c r="P25" s="273" t="n">
        <v>12</v>
      </c>
      <c r="Q25" s="273" t="n">
        <v>12</v>
      </c>
      <c r="R25" s="273" t="n">
        <v>12</v>
      </c>
      <c r="S25" s="273" t="n">
        <v>12</v>
      </c>
      <c r="T25" s="273" t="n">
        <v>12</v>
      </c>
      <c r="U25" s="273" t="n">
        <v>12</v>
      </c>
      <c r="V25" s="273" t="n">
        <v>12</v>
      </c>
      <c r="X25" s="278" t="n">
        <v>4</v>
      </c>
      <c r="Y25" s="279" t="n">
        <v>0.077</v>
      </c>
    </row>
    <row r="26" customFormat="false" ht="12.75" hidden="false" customHeight="false" outlineLevel="0" collapsed="false">
      <c r="A26" s="1" t="s">
        <v>166</v>
      </c>
      <c r="B26" s="201" t="n">
        <v>0</v>
      </c>
      <c r="C26" s="201" t="n">
        <f aca="false">90%/30</f>
        <v>0.03</v>
      </c>
      <c r="D26" s="201" t="n">
        <f aca="false">90%/30</f>
        <v>0.03</v>
      </c>
      <c r="E26" s="201" t="n">
        <f aca="false">90%/30</f>
        <v>0.03</v>
      </c>
      <c r="F26" s="201" t="n">
        <f aca="false">90%/30</f>
        <v>0.03</v>
      </c>
      <c r="G26" s="201" t="n">
        <f aca="false">90%/30</f>
        <v>0.03</v>
      </c>
      <c r="H26" s="201" t="n">
        <f aca="false">90%/30</f>
        <v>0.03</v>
      </c>
      <c r="I26" s="201" t="n">
        <f aca="false">90%/30</f>
        <v>0.03</v>
      </c>
      <c r="J26" s="201" t="n">
        <f aca="false">90%/30</f>
        <v>0.03</v>
      </c>
      <c r="K26" s="201" t="n">
        <f aca="false">90%/30</f>
        <v>0.03</v>
      </c>
      <c r="L26" s="201" t="n">
        <f aca="false">90%/30</f>
        <v>0.03</v>
      </c>
      <c r="M26" s="201" t="n">
        <f aca="false">90%/30</f>
        <v>0.03</v>
      </c>
      <c r="N26" s="201" t="n">
        <f aca="false">90%/30</f>
        <v>0.03</v>
      </c>
      <c r="O26" s="201" t="n">
        <f aca="false">90%/30</f>
        <v>0.03</v>
      </c>
      <c r="P26" s="201" t="n">
        <f aca="false">90%/30</f>
        <v>0.03</v>
      </c>
      <c r="Q26" s="201" t="n">
        <f aca="false">90%/30</f>
        <v>0.03</v>
      </c>
      <c r="R26" s="201" t="n">
        <f aca="false">90%/30</f>
        <v>0.03</v>
      </c>
      <c r="S26" s="201" t="n">
        <f aca="false">90%/30</f>
        <v>0.03</v>
      </c>
      <c r="T26" s="201" t="n">
        <f aca="false">90%/30</f>
        <v>0.03</v>
      </c>
      <c r="U26" s="201" t="n">
        <f aca="false">90%/30</f>
        <v>0.03</v>
      </c>
      <c r="V26" s="201" t="n">
        <f aca="false">90%/30</f>
        <v>0.03</v>
      </c>
      <c r="X26" s="278" t="n">
        <v>5</v>
      </c>
      <c r="Y26" s="279" t="n">
        <v>0.0693</v>
      </c>
    </row>
    <row r="27" customFormat="false" ht="12.75" hidden="false" customHeight="false" outlineLevel="0" collapsed="false">
      <c r="B27" s="1"/>
      <c r="C27" s="1"/>
      <c r="D27" s="1"/>
      <c r="X27" s="278" t="n">
        <v>6</v>
      </c>
      <c r="Y27" s="279" t="n">
        <v>0.0623</v>
      </c>
    </row>
    <row r="28" customFormat="false" ht="12.75" hidden="false" customHeight="false" outlineLevel="0" collapsed="false">
      <c r="A28" s="1" t="s">
        <v>167</v>
      </c>
      <c r="B28" s="160" t="n">
        <f aca="false">'Summary Output'!$G$7*Allocation!$C$8</f>
        <v>348762.042691135</v>
      </c>
      <c r="C28" s="172" t="n">
        <f aca="false">B30</f>
        <v>348762.042691135</v>
      </c>
      <c r="D28" s="172" t="n">
        <f aca="false">C30</f>
        <v>338299.181410401</v>
      </c>
      <c r="E28" s="172" t="n">
        <f aca="false">D30</f>
        <v>327836.320129667</v>
      </c>
      <c r="F28" s="172" t="n">
        <f aca="false">E30</f>
        <v>317373.458848932</v>
      </c>
      <c r="G28" s="172" t="n">
        <f aca="false">F30</f>
        <v>306910.597568198</v>
      </c>
      <c r="H28" s="172" t="n">
        <f aca="false">G30</f>
        <v>296447.736287464</v>
      </c>
      <c r="I28" s="172" t="n">
        <f aca="false">H30</f>
        <v>285984.87500673</v>
      </c>
      <c r="J28" s="172" t="n">
        <f aca="false">I30</f>
        <v>275522.013725996</v>
      </c>
      <c r="K28" s="172" t="n">
        <f aca="false">J30</f>
        <v>265059.152445262</v>
      </c>
      <c r="L28" s="172" t="n">
        <f aca="false">K30</f>
        <v>254596.291164528</v>
      </c>
      <c r="M28" s="172" t="n">
        <f aca="false">L30</f>
        <v>244133.429883794</v>
      </c>
      <c r="N28" s="172" t="n">
        <f aca="false">M30</f>
        <v>233670.56860306</v>
      </c>
      <c r="O28" s="172" t="n">
        <f aca="false">N30</f>
        <v>223207.707322326</v>
      </c>
      <c r="P28" s="172" t="n">
        <f aca="false">O30</f>
        <v>212744.846041592</v>
      </c>
      <c r="Q28" s="172" t="n">
        <f aca="false">P30</f>
        <v>202281.984760858</v>
      </c>
      <c r="R28" s="172" t="n">
        <f aca="false">Q30</f>
        <v>191819.123480124</v>
      </c>
      <c r="S28" s="172" t="n">
        <f aca="false">R30</f>
        <v>181356.26219939</v>
      </c>
      <c r="T28" s="172" t="n">
        <f aca="false">S30</f>
        <v>170893.400918656</v>
      </c>
      <c r="U28" s="172" t="n">
        <f aca="false">T30</f>
        <v>160430.539637922</v>
      </c>
      <c r="V28" s="172" t="n">
        <f aca="false">U30</f>
        <v>149967.678357188</v>
      </c>
      <c r="X28" s="278" t="n">
        <v>7</v>
      </c>
      <c r="Y28" s="279" t="n">
        <v>0.059</v>
      </c>
    </row>
    <row r="29" customFormat="false" ht="12.75" hidden="false" customHeight="false" outlineLevel="0" collapsed="false">
      <c r="A29" s="1" t="s">
        <v>168</v>
      </c>
      <c r="B29" s="197" t="n">
        <f aca="false">$B$28*B26</f>
        <v>0</v>
      </c>
      <c r="C29" s="197" t="n">
        <f aca="false">$B$28*C26</f>
        <v>10462.861280734</v>
      </c>
      <c r="D29" s="197" t="n">
        <f aca="false">$B$28*D26</f>
        <v>10462.861280734</v>
      </c>
      <c r="E29" s="197" t="n">
        <f aca="false">$B$28*E26</f>
        <v>10462.861280734</v>
      </c>
      <c r="F29" s="197" t="n">
        <f aca="false">$B$28*F26</f>
        <v>10462.861280734</v>
      </c>
      <c r="G29" s="197" t="n">
        <f aca="false">$B$28*G26</f>
        <v>10462.861280734</v>
      </c>
      <c r="H29" s="197" t="n">
        <f aca="false">$B$28*H26</f>
        <v>10462.861280734</v>
      </c>
      <c r="I29" s="197" t="n">
        <f aca="false">$B$28*I26</f>
        <v>10462.861280734</v>
      </c>
      <c r="J29" s="197" t="n">
        <f aca="false">$B$28*J26</f>
        <v>10462.861280734</v>
      </c>
      <c r="K29" s="197" t="n">
        <f aca="false">$B$28*K26</f>
        <v>10462.861280734</v>
      </c>
      <c r="L29" s="197" t="n">
        <f aca="false">$B$28*L26</f>
        <v>10462.861280734</v>
      </c>
      <c r="M29" s="197" t="n">
        <f aca="false">$B$28*M26</f>
        <v>10462.861280734</v>
      </c>
      <c r="N29" s="197" t="n">
        <f aca="false">$B$28*N26</f>
        <v>10462.861280734</v>
      </c>
      <c r="O29" s="197" t="n">
        <f aca="false">$B$28*O26</f>
        <v>10462.861280734</v>
      </c>
      <c r="P29" s="197" t="n">
        <f aca="false">$B$28*P26</f>
        <v>10462.861280734</v>
      </c>
      <c r="Q29" s="197" t="n">
        <f aca="false">$B$28*Q26</f>
        <v>10462.861280734</v>
      </c>
      <c r="R29" s="197" t="n">
        <f aca="false">$B$28*R26</f>
        <v>10462.861280734</v>
      </c>
      <c r="S29" s="197" t="n">
        <f aca="false">$B$28*S26</f>
        <v>10462.861280734</v>
      </c>
      <c r="T29" s="197" t="n">
        <f aca="false">$B$28*T26</f>
        <v>10462.861280734</v>
      </c>
      <c r="U29" s="197" t="n">
        <f aca="false">$B$28*U26</f>
        <v>10462.861280734</v>
      </c>
      <c r="V29" s="197" t="n">
        <f aca="false">$B$28*V26</f>
        <v>10462.861280734</v>
      </c>
      <c r="X29" s="278" t="n">
        <v>8</v>
      </c>
      <c r="Y29" s="279" t="n">
        <v>0.0591</v>
      </c>
    </row>
    <row r="30" customFormat="false" ht="12.75" hidden="false" customHeight="false" outlineLevel="0" collapsed="false">
      <c r="A30" s="1" t="s">
        <v>169</v>
      </c>
      <c r="B30" s="172" t="n">
        <f aca="false">B28-B29</f>
        <v>348762.042691135</v>
      </c>
      <c r="C30" s="172" t="n">
        <f aca="false">C28-C29</f>
        <v>338299.181410401</v>
      </c>
      <c r="D30" s="172" t="n">
        <f aca="false">D28-D29</f>
        <v>327836.320129667</v>
      </c>
      <c r="E30" s="172" t="n">
        <f aca="false">E28-E29</f>
        <v>317373.458848932</v>
      </c>
      <c r="F30" s="172" t="n">
        <f aca="false">F28-F29</f>
        <v>306910.597568198</v>
      </c>
      <c r="G30" s="172" t="n">
        <f aca="false">G28-G29</f>
        <v>296447.736287464</v>
      </c>
      <c r="H30" s="172" t="n">
        <f aca="false">H28-H29</f>
        <v>285984.87500673</v>
      </c>
      <c r="I30" s="172" t="n">
        <f aca="false">I28-I29</f>
        <v>275522.013725996</v>
      </c>
      <c r="J30" s="172" t="n">
        <f aca="false">J28-J29</f>
        <v>265059.152445262</v>
      </c>
      <c r="K30" s="172" t="n">
        <f aca="false">K28-K29</f>
        <v>254596.291164528</v>
      </c>
      <c r="L30" s="172" t="n">
        <f aca="false">L28-L29</f>
        <v>244133.429883794</v>
      </c>
      <c r="M30" s="172" t="n">
        <f aca="false">M28-M29</f>
        <v>233670.56860306</v>
      </c>
      <c r="N30" s="172" t="n">
        <f aca="false">N28-N29</f>
        <v>223207.707322326</v>
      </c>
      <c r="O30" s="172" t="n">
        <f aca="false">O28-O29</f>
        <v>212744.846041592</v>
      </c>
      <c r="P30" s="172" t="n">
        <f aca="false">P28-P29</f>
        <v>202281.984760858</v>
      </c>
      <c r="Q30" s="172" t="n">
        <f aca="false">Q28-Q29</f>
        <v>191819.123480124</v>
      </c>
      <c r="R30" s="172" t="n">
        <f aca="false">R28-R29</f>
        <v>181356.26219939</v>
      </c>
      <c r="S30" s="172" t="n">
        <f aca="false">S28-S29</f>
        <v>170893.400918656</v>
      </c>
      <c r="T30" s="172" t="n">
        <f aca="false">T28-T29</f>
        <v>160430.539637922</v>
      </c>
      <c r="U30" s="172" t="n">
        <f aca="false">U28-U29</f>
        <v>149967.678357188</v>
      </c>
      <c r="V30" s="172" t="n">
        <f aca="false">V28-V29</f>
        <v>139504.817076454</v>
      </c>
      <c r="X30" s="278" t="n">
        <v>9</v>
      </c>
      <c r="Y30" s="279" t="n">
        <v>0.059</v>
      </c>
    </row>
    <row r="31" customFormat="false" ht="12.75" hidden="false" customHeight="false" outlineLevel="0" collapsed="false">
      <c r="B31" s="1"/>
      <c r="C31" s="1"/>
      <c r="D31" s="1"/>
      <c r="X31" s="278" t="n">
        <v>10</v>
      </c>
      <c r="Y31" s="279" t="n">
        <v>0.0591</v>
      </c>
    </row>
    <row r="32" customFormat="false" ht="12.75" hidden="false" customHeight="false" outlineLevel="0" collapsed="false">
      <c r="A32" s="192" t="s">
        <v>171</v>
      </c>
      <c r="B32" s="1"/>
      <c r="C32" s="1"/>
      <c r="D32" s="1"/>
      <c r="X32" s="278" t="n">
        <v>11</v>
      </c>
      <c r="Y32" s="279" t="n">
        <v>0.059</v>
      </c>
    </row>
    <row r="33" customFormat="false" ht="12.75" hidden="false" customHeight="false" outlineLevel="0" collapsed="false">
      <c r="A33" s="1" t="s">
        <v>167</v>
      </c>
      <c r="B33" s="280" t="n">
        <f aca="false">SUM(B20,B28,B12)</f>
        <v>802196.356815685</v>
      </c>
      <c r="C33" s="280" t="n">
        <f aca="false">B35</f>
        <v>802196.356815685</v>
      </c>
      <c r="D33" s="280" t="n">
        <f aca="false">C35</f>
        <v>778130.466111214</v>
      </c>
      <c r="E33" s="280" t="n">
        <f aca="false">D35</f>
        <v>754064.575406743</v>
      </c>
      <c r="F33" s="280" t="n">
        <f aca="false">E35</f>
        <v>729998.684702273</v>
      </c>
      <c r="G33" s="280" t="n">
        <f aca="false">F35</f>
        <v>705932.793997802</v>
      </c>
      <c r="H33" s="280" t="n">
        <f aca="false">G35</f>
        <v>681866.903293332</v>
      </c>
      <c r="I33" s="280" t="n">
        <f aca="false">H35</f>
        <v>657801.012588861</v>
      </c>
      <c r="J33" s="280" t="n">
        <f aca="false">I35</f>
        <v>633735.121884391</v>
      </c>
      <c r="K33" s="280" t="n">
        <f aca="false">J35</f>
        <v>609669.23117992</v>
      </c>
      <c r="L33" s="280" t="n">
        <f aca="false">K35</f>
        <v>585603.340475449</v>
      </c>
      <c r="M33" s="280" t="n">
        <f aca="false">L35</f>
        <v>561537.449770979</v>
      </c>
      <c r="N33" s="280" t="n">
        <f aca="false">M35</f>
        <v>537471.559066508</v>
      </c>
      <c r="O33" s="280" t="n">
        <f aca="false">N35</f>
        <v>513405.668362038</v>
      </c>
      <c r="P33" s="280" t="n">
        <f aca="false">O35</f>
        <v>489339.777657567</v>
      </c>
      <c r="Q33" s="280" t="n">
        <f aca="false">P35</f>
        <v>465273.886953097</v>
      </c>
      <c r="R33" s="280" t="n">
        <f aca="false">Q35</f>
        <v>441207.996248626</v>
      </c>
      <c r="S33" s="280" t="n">
        <f aca="false">R35</f>
        <v>417142.105544156</v>
      </c>
      <c r="T33" s="280" t="n">
        <f aca="false">S35</f>
        <v>393076.214839685</v>
      </c>
      <c r="U33" s="280" t="n">
        <f aca="false">T35</f>
        <v>369010.324135215</v>
      </c>
      <c r="V33" s="280" t="n">
        <f aca="false">U35</f>
        <v>344944.433430744</v>
      </c>
      <c r="X33" s="278" t="n">
        <v>12</v>
      </c>
      <c r="Y33" s="279" t="n">
        <v>0.0591</v>
      </c>
    </row>
    <row r="34" customFormat="false" ht="12.75" hidden="false" customHeight="false" outlineLevel="0" collapsed="false">
      <c r="A34" s="1" t="s">
        <v>168</v>
      </c>
      <c r="B34" s="281" t="n">
        <f aca="false">SUM(B21,B29,B13)</f>
        <v>0</v>
      </c>
      <c r="C34" s="281" t="n">
        <f aca="false">SUM(C21,C29,C13)</f>
        <v>24065.8907044705</v>
      </c>
      <c r="D34" s="281" t="n">
        <f aca="false">SUM(D21,D29,D13)</f>
        <v>24065.8907044705</v>
      </c>
      <c r="E34" s="281" t="n">
        <f aca="false">SUM(E21,E29,E13)</f>
        <v>24065.8907044705</v>
      </c>
      <c r="F34" s="281" t="n">
        <f aca="false">SUM(F21,F29,F13)</f>
        <v>24065.8907044705</v>
      </c>
      <c r="G34" s="281" t="n">
        <f aca="false">SUM(G21,G29,G13)</f>
        <v>24065.8907044705</v>
      </c>
      <c r="H34" s="281" t="n">
        <f aca="false">SUM(H21,H29,H13)</f>
        <v>24065.8907044705</v>
      </c>
      <c r="I34" s="281" t="n">
        <f aca="false">SUM(I21,I29,I13)</f>
        <v>24065.8907044705</v>
      </c>
      <c r="J34" s="281" t="n">
        <f aca="false">SUM(J21,J29,J13)</f>
        <v>24065.8907044705</v>
      </c>
      <c r="K34" s="281" t="n">
        <f aca="false">SUM(K21,K29,K13)</f>
        <v>24065.8907044705</v>
      </c>
      <c r="L34" s="281" t="n">
        <f aca="false">SUM(L21,L29,L13)</f>
        <v>24065.8907044705</v>
      </c>
      <c r="M34" s="281" t="n">
        <f aca="false">SUM(M21,M29,M13)</f>
        <v>24065.8907044705</v>
      </c>
      <c r="N34" s="281" t="n">
        <f aca="false">SUM(N21,N29,N13)</f>
        <v>24065.8907044705</v>
      </c>
      <c r="O34" s="281" t="n">
        <f aca="false">SUM(O21,O29,O13)</f>
        <v>24065.8907044705</v>
      </c>
      <c r="P34" s="281" t="n">
        <f aca="false">SUM(P21,P29,P13)</f>
        <v>24065.8907044705</v>
      </c>
      <c r="Q34" s="281" t="n">
        <f aca="false">SUM(Q21,Q29,Q13)</f>
        <v>24065.8907044705</v>
      </c>
      <c r="R34" s="281" t="n">
        <f aca="false">SUM(R21,R29,R13)</f>
        <v>24065.8907044705</v>
      </c>
      <c r="S34" s="281" t="n">
        <f aca="false">SUM(S21,S29,S13)</f>
        <v>24065.8907044705</v>
      </c>
      <c r="T34" s="281" t="n">
        <f aca="false">SUM(T21,T29,T13)</f>
        <v>24065.8907044705</v>
      </c>
      <c r="U34" s="281" t="n">
        <f aca="false">SUM(U21,U29,U13)</f>
        <v>24065.8907044705</v>
      </c>
      <c r="V34" s="281" t="n">
        <f aca="false">SUM(V21,V29,V13)</f>
        <v>24065.8907044705</v>
      </c>
      <c r="X34" s="278" t="n">
        <v>13</v>
      </c>
      <c r="Y34" s="279" t="n">
        <v>0.059</v>
      </c>
    </row>
    <row r="35" customFormat="false" ht="12.75" hidden="false" customHeight="false" outlineLevel="0" collapsed="false">
      <c r="A35" s="1" t="s">
        <v>169</v>
      </c>
      <c r="B35" s="280" t="n">
        <f aca="false">B33-B34</f>
        <v>802196.356815685</v>
      </c>
      <c r="C35" s="280" t="n">
        <f aca="false">C33-C34</f>
        <v>778130.466111214</v>
      </c>
      <c r="D35" s="280" t="n">
        <f aca="false">D33-D34</f>
        <v>754064.575406743</v>
      </c>
      <c r="E35" s="280" t="n">
        <f aca="false">E33-E34</f>
        <v>729998.684702273</v>
      </c>
      <c r="F35" s="280" t="n">
        <f aca="false">F33-F34</f>
        <v>705932.793997802</v>
      </c>
      <c r="G35" s="280" t="n">
        <f aca="false">G33-G34</f>
        <v>681866.903293332</v>
      </c>
      <c r="H35" s="280" t="n">
        <f aca="false">H33-H34</f>
        <v>657801.012588861</v>
      </c>
      <c r="I35" s="280" t="n">
        <f aca="false">I33-I34</f>
        <v>633735.121884391</v>
      </c>
      <c r="J35" s="280" t="n">
        <f aca="false">J33-J34</f>
        <v>609669.23117992</v>
      </c>
      <c r="K35" s="280" t="n">
        <f aca="false">K33-K34</f>
        <v>585603.340475449</v>
      </c>
      <c r="L35" s="280" t="n">
        <f aca="false">L33-L34</f>
        <v>561537.449770979</v>
      </c>
      <c r="M35" s="280" t="n">
        <f aca="false">M33-M34</f>
        <v>537471.559066508</v>
      </c>
      <c r="N35" s="280" t="n">
        <f aca="false">N33-N34</f>
        <v>513405.668362038</v>
      </c>
      <c r="O35" s="280" t="n">
        <f aca="false">O33-O34</f>
        <v>489339.777657567</v>
      </c>
      <c r="P35" s="280" t="n">
        <f aca="false">P33-P34</f>
        <v>465273.886953097</v>
      </c>
      <c r="Q35" s="280" t="n">
        <f aca="false">Q33-Q34</f>
        <v>441207.996248626</v>
      </c>
      <c r="R35" s="280" t="n">
        <f aca="false">R33-R34</f>
        <v>417142.105544156</v>
      </c>
      <c r="S35" s="280" t="n">
        <f aca="false">S33-S34</f>
        <v>393076.214839685</v>
      </c>
      <c r="T35" s="280" t="n">
        <f aca="false">T33-T34</f>
        <v>369010.324135215</v>
      </c>
      <c r="U35" s="280" t="n">
        <f aca="false">U33-U34</f>
        <v>344944.433430744</v>
      </c>
      <c r="V35" s="280" t="n">
        <f aca="false">V33-V34</f>
        <v>320878.542726274</v>
      </c>
      <c r="X35" s="278" t="n">
        <v>14</v>
      </c>
      <c r="Y35" s="279" t="n">
        <v>0.0591</v>
      </c>
    </row>
    <row r="36" customFormat="false" ht="12.75" hidden="false" customHeight="false" outlineLevel="0" collapsed="false">
      <c r="B36" s="282"/>
      <c r="C36" s="1"/>
      <c r="D36" s="1"/>
      <c r="V36" s="283"/>
      <c r="X36" s="278" t="n">
        <v>15</v>
      </c>
      <c r="Y36" s="279" t="n">
        <v>0.059</v>
      </c>
    </row>
    <row r="37" customFormat="false" ht="12.75" hidden="false" customHeight="false" outlineLevel="0" collapsed="false">
      <c r="B37" s="1"/>
      <c r="C37" s="1"/>
      <c r="D37" s="1"/>
      <c r="X37" s="278" t="n">
        <v>16</v>
      </c>
      <c r="Y37" s="284" t="n">
        <v>0.0295</v>
      </c>
    </row>
    <row r="38" customFormat="false" ht="12.75" hidden="false" customHeight="false" outlineLevel="0" collapsed="false">
      <c r="A38" s="271" t="s">
        <v>172</v>
      </c>
      <c r="E38" s="266"/>
      <c r="F38" s="266"/>
      <c r="G38" s="266"/>
      <c r="H38" s="266"/>
      <c r="I38" s="266"/>
      <c r="J38" s="266"/>
      <c r="K38" s="266"/>
      <c r="L38" s="266"/>
      <c r="M38" s="266"/>
      <c r="N38" s="266"/>
      <c r="O38" s="266"/>
      <c r="P38" s="266"/>
      <c r="Q38" s="266"/>
      <c r="R38" s="266"/>
      <c r="S38" s="266"/>
      <c r="T38" s="266"/>
      <c r="U38" s="266"/>
      <c r="V38" s="266"/>
      <c r="W38" s="272"/>
      <c r="X38" s="285"/>
      <c r="Y38" s="286" t="n">
        <f aca="false">SUM(Y22:Y37)</f>
        <v>1</v>
      </c>
    </row>
    <row r="39" customFormat="false" ht="12.75" hidden="false" customHeight="false" outlineLevel="0" collapsed="false">
      <c r="A39" s="272"/>
      <c r="E39" s="266"/>
      <c r="F39" s="266"/>
      <c r="G39" s="266"/>
      <c r="H39" s="266"/>
      <c r="I39" s="266"/>
      <c r="J39" s="266"/>
      <c r="K39" s="266"/>
      <c r="L39" s="266"/>
      <c r="M39" s="266"/>
      <c r="N39" s="266"/>
      <c r="O39" s="266"/>
      <c r="P39" s="266"/>
      <c r="Q39" s="266"/>
      <c r="R39" s="266"/>
      <c r="S39" s="266"/>
      <c r="T39" s="266"/>
      <c r="U39" s="266"/>
      <c r="V39" s="266"/>
      <c r="W39" s="272"/>
    </row>
    <row r="40" customFormat="false" ht="12.75" hidden="false" customHeight="false" outlineLevel="0" collapsed="false">
      <c r="A40" s="192" t="s">
        <v>173</v>
      </c>
      <c r="B40" s="1"/>
      <c r="C40" s="1"/>
      <c r="D40" s="1"/>
    </row>
    <row r="41" customFormat="false" ht="12.75" hidden="false" customHeight="false" outlineLevel="0" collapsed="false">
      <c r="A41" s="192"/>
      <c r="B41" s="1"/>
      <c r="C41" s="1"/>
      <c r="D41" s="1"/>
    </row>
    <row r="42" customFormat="false" ht="12.75" hidden="false" customHeight="false" outlineLevel="0" collapsed="false">
      <c r="A42" s="287" t="s">
        <v>56</v>
      </c>
    </row>
    <row r="43" customFormat="false" ht="12.75" hidden="false" customHeight="false" outlineLevel="0" collapsed="false">
      <c r="A43" s="1" t="s">
        <v>174</v>
      </c>
      <c r="B43" s="288" t="n">
        <f aca="false">'Summary Output'!$G$7*Allocation!$C$6</f>
        <v>236812.322335504</v>
      </c>
      <c r="C43" s="288" t="n">
        <f aca="false">B46</f>
        <v>236812.322335504</v>
      </c>
      <c r="D43" s="288" t="n">
        <f aca="false">C46</f>
        <v>224971.706218729</v>
      </c>
      <c r="E43" s="288" t="n">
        <f aca="false">D46</f>
        <v>202474.535596856</v>
      </c>
      <c r="F43" s="288" t="n">
        <f aca="false">E46</f>
        <v>182227.08203717</v>
      </c>
      <c r="G43" s="288" t="n">
        <f aca="false">F46</f>
        <v>163992.533217337</v>
      </c>
      <c r="H43" s="288" t="n">
        <f aca="false">G46</f>
        <v>147581.439279486</v>
      </c>
      <c r="I43" s="288" t="n">
        <f aca="false">H46</f>
        <v>132828.031597984</v>
      </c>
      <c r="J43" s="288" t="n">
        <f aca="false">I46</f>
        <v>118856.10458019</v>
      </c>
      <c r="K43" s="288" t="n">
        <f aca="false">J46</f>
        <v>104860.496330161</v>
      </c>
      <c r="L43" s="288" t="n">
        <f aca="false">K46</f>
        <v>90888.5693123665</v>
      </c>
      <c r="M43" s="288" t="n">
        <f aca="false">L46</f>
        <v>76892.9610623382</v>
      </c>
      <c r="N43" s="288" t="n">
        <f aca="false">M46</f>
        <v>62921.0340445434</v>
      </c>
      <c r="O43" s="288" t="n">
        <f aca="false">N46</f>
        <v>48925.4257945151</v>
      </c>
      <c r="P43" s="288" t="n">
        <f aca="false">O46</f>
        <v>34953.4987767204</v>
      </c>
      <c r="Q43" s="288" t="n">
        <f aca="false">P46</f>
        <v>20957.8905266921</v>
      </c>
      <c r="R43" s="288" t="n">
        <f aca="false">Q46</f>
        <v>6985.96350889735</v>
      </c>
      <c r="S43" s="288" t="n">
        <f aca="false">R46</f>
        <v>0</v>
      </c>
      <c r="T43" s="288" t="n">
        <f aca="false">S46</f>
        <v>0</v>
      </c>
      <c r="U43" s="288" t="n">
        <f aca="false">T46</f>
        <v>0</v>
      </c>
      <c r="V43" s="288" t="n">
        <f aca="false">U46</f>
        <v>0</v>
      </c>
    </row>
    <row r="44" customFormat="false" ht="12.75" hidden="false" customHeight="false" outlineLevel="0" collapsed="false">
      <c r="A44" s="1" t="s">
        <v>166</v>
      </c>
      <c r="B44" s="289" t="n">
        <f aca="false">VLOOKUP(B6,$X$21:$Y$37,2)</f>
        <v>0</v>
      </c>
      <c r="C44" s="289" t="n">
        <f aca="false">VLOOKUP(C6,$X$21:$Y$37,2)</f>
        <v>0.05</v>
      </c>
      <c r="D44" s="289" t="n">
        <f aca="false">VLOOKUP(D6,$X$21:$Y$37,2)</f>
        <v>0.095</v>
      </c>
      <c r="E44" s="289" t="n">
        <f aca="false">VLOOKUP(E6,$X$21:$Y$37,2)</f>
        <v>0.0855</v>
      </c>
      <c r="F44" s="289" t="n">
        <f aca="false">VLOOKUP(F6,$X$21:$Y$37,2)</f>
        <v>0.077</v>
      </c>
      <c r="G44" s="289" t="n">
        <f aca="false">VLOOKUP(G6,$X$21:$Y$37,2)</f>
        <v>0.0693</v>
      </c>
      <c r="H44" s="289" t="n">
        <f aca="false">VLOOKUP(H6,$X$21:$Y$37,2)</f>
        <v>0.0623</v>
      </c>
      <c r="I44" s="289" t="n">
        <f aca="false">VLOOKUP(I6,$X$21:$Y$37,2)</f>
        <v>0.059</v>
      </c>
      <c r="J44" s="289" t="n">
        <f aca="false">VLOOKUP(J6,$X$21:$Y$37,2)</f>
        <v>0.0591</v>
      </c>
      <c r="K44" s="289" t="n">
        <f aca="false">VLOOKUP(K6,$X$21:$Y$37,2)</f>
        <v>0.059</v>
      </c>
      <c r="L44" s="289" t="n">
        <f aca="false">VLOOKUP(L6,$X$21:$Y$37,2)</f>
        <v>0.0591</v>
      </c>
      <c r="M44" s="289" t="n">
        <f aca="false">VLOOKUP(M6,$X$21:$Y$37,2)</f>
        <v>0.059</v>
      </c>
      <c r="N44" s="289" t="n">
        <f aca="false">VLOOKUP(N6,$X$21:$Y$37,2)</f>
        <v>0.0591</v>
      </c>
      <c r="O44" s="289" t="n">
        <f aca="false">VLOOKUP(O6,$X$21:$Y$37,2)</f>
        <v>0.059</v>
      </c>
      <c r="P44" s="289" t="n">
        <f aca="false">VLOOKUP(P6,$X$21:$Y$37,2)</f>
        <v>0.0591</v>
      </c>
      <c r="Q44" s="289" t="n">
        <f aca="false">VLOOKUP(Q6,$X$21:$Y$37,2)</f>
        <v>0.059</v>
      </c>
      <c r="R44" s="289" t="n">
        <f aca="false">VLOOKUP(R6,$X$21:$Y$37,2)</f>
        <v>0.0295</v>
      </c>
      <c r="S44" s="289" t="n">
        <v>0</v>
      </c>
      <c r="T44" s="289" t="n">
        <v>0</v>
      </c>
      <c r="U44" s="289" t="n">
        <v>0</v>
      </c>
      <c r="V44" s="289" t="n">
        <v>0</v>
      </c>
    </row>
    <row r="45" customFormat="false" ht="12.75" hidden="false" customHeight="false" outlineLevel="0" collapsed="false">
      <c r="A45" s="1" t="s">
        <v>168</v>
      </c>
      <c r="B45" s="260" t="n">
        <f aca="false">$B$43*B44</f>
        <v>0</v>
      </c>
      <c r="C45" s="260" t="n">
        <f aca="false">$B$43*C44</f>
        <v>11840.6161167752</v>
      </c>
      <c r="D45" s="260" t="n">
        <f aca="false">$B$43*D44</f>
        <v>22497.1706218729</v>
      </c>
      <c r="E45" s="260" t="n">
        <f aca="false">$B$43*E44</f>
        <v>20247.4535596856</v>
      </c>
      <c r="F45" s="260" t="n">
        <f aca="false">$B$43*F44</f>
        <v>18234.5488198338</v>
      </c>
      <c r="G45" s="260" t="n">
        <f aca="false">$B$43*G44</f>
        <v>16411.0939378504</v>
      </c>
      <c r="H45" s="260" t="n">
        <f aca="false">$B$43*H44</f>
        <v>14753.4076815019</v>
      </c>
      <c r="I45" s="260" t="n">
        <f aca="false">$B$43*I44</f>
        <v>13971.9270177947</v>
      </c>
      <c r="J45" s="260" t="n">
        <f aca="false">$B$43*J44</f>
        <v>13995.6082500283</v>
      </c>
      <c r="K45" s="260" t="n">
        <f aca="false">$B$43*K44</f>
        <v>13971.9270177947</v>
      </c>
      <c r="L45" s="260" t="n">
        <f aca="false">$B$43*L44</f>
        <v>13995.6082500283</v>
      </c>
      <c r="M45" s="260" t="n">
        <f aca="false">$B$43*M44</f>
        <v>13971.9270177947</v>
      </c>
      <c r="N45" s="260" t="n">
        <f aca="false">$B$43*N44</f>
        <v>13995.6082500283</v>
      </c>
      <c r="O45" s="260" t="n">
        <f aca="false">$B$43*O44</f>
        <v>13971.9270177947</v>
      </c>
      <c r="P45" s="260" t="n">
        <f aca="false">$B$43*P44</f>
        <v>13995.6082500283</v>
      </c>
      <c r="Q45" s="260" t="n">
        <f aca="false">$B$43*Q44</f>
        <v>13971.9270177947</v>
      </c>
      <c r="R45" s="260" t="n">
        <f aca="false">$B$43*R44</f>
        <v>6985.96350889737</v>
      </c>
      <c r="S45" s="260" t="n">
        <f aca="false">$B$43*S44</f>
        <v>0</v>
      </c>
      <c r="T45" s="260" t="n">
        <f aca="false">$B$43*T44</f>
        <v>0</v>
      </c>
      <c r="U45" s="260" t="n">
        <f aca="false">$B$43*U44</f>
        <v>0</v>
      </c>
      <c r="V45" s="260" t="n">
        <f aca="false">$B$43*V44</f>
        <v>0</v>
      </c>
    </row>
    <row r="46" customFormat="false" ht="12.75" hidden="false" customHeight="false" outlineLevel="0" collapsed="false">
      <c r="A46" s="1" t="s">
        <v>175</v>
      </c>
      <c r="B46" s="172" t="n">
        <f aca="false">B43-B45</f>
        <v>236812.322335504</v>
      </c>
      <c r="C46" s="172" t="n">
        <f aca="false">C43-C45</f>
        <v>224971.706218729</v>
      </c>
      <c r="D46" s="172" t="n">
        <f aca="false">D43-D45</f>
        <v>202474.535596856</v>
      </c>
      <c r="E46" s="172" t="n">
        <f aca="false">E43-E45</f>
        <v>182227.08203717</v>
      </c>
      <c r="F46" s="172" t="n">
        <f aca="false">F43-F45</f>
        <v>163992.533217337</v>
      </c>
      <c r="G46" s="172" t="n">
        <f aca="false">G43-G45</f>
        <v>147581.439279486</v>
      </c>
      <c r="H46" s="172" t="n">
        <f aca="false">H43-H45</f>
        <v>132828.031597984</v>
      </c>
      <c r="I46" s="172" t="n">
        <f aca="false">I43-I45</f>
        <v>118856.10458019</v>
      </c>
      <c r="J46" s="172" t="n">
        <f aca="false">J43-J45</f>
        <v>104860.496330161</v>
      </c>
      <c r="K46" s="172" t="n">
        <f aca="false">K43-K45</f>
        <v>90888.5693123665</v>
      </c>
      <c r="L46" s="172" t="n">
        <f aca="false">L43-L45</f>
        <v>76892.9610623382</v>
      </c>
      <c r="M46" s="172" t="n">
        <f aca="false">M43-M45</f>
        <v>62921.0340445434</v>
      </c>
      <c r="N46" s="172" t="n">
        <f aca="false">N43-N45</f>
        <v>48925.4257945151</v>
      </c>
      <c r="O46" s="172" t="n">
        <f aca="false">O43-O45</f>
        <v>34953.4987767204</v>
      </c>
      <c r="P46" s="172" t="n">
        <f aca="false">P43-P45</f>
        <v>20957.8905266921</v>
      </c>
      <c r="Q46" s="172" t="n">
        <f aca="false">Q43-Q45</f>
        <v>6985.96350889735</v>
      </c>
      <c r="R46" s="172" t="n">
        <f aca="false">R43-R45</f>
        <v>0</v>
      </c>
      <c r="S46" s="172" t="n">
        <f aca="false">S43-S45</f>
        <v>0</v>
      </c>
      <c r="T46" s="172" t="n">
        <f aca="false">T43-T45</f>
        <v>0</v>
      </c>
      <c r="U46" s="172" t="n">
        <f aca="false">U43-U45</f>
        <v>0</v>
      </c>
      <c r="V46" s="172" t="n">
        <f aca="false">V43-V45</f>
        <v>0</v>
      </c>
    </row>
    <row r="48" customFormat="false" ht="12.75" hidden="false" customHeight="false" outlineLevel="0" collapsed="false">
      <c r="A48" s="287" t="s">
        <v>57</v>
      </c>
    </row>
    <row r="49" customFormat="false" ht="12.75" hidden="false" customHeight="false" outlineLevel="0" collapsed="false">
      <c r="A49" s="1" t="s">
        <v>174</v>
      </c>
      <c r="B49" s="288" t="n">
        <f aca="false">'Summary Output'!$G$7*Allocation!$C$7</f>
        <v>216621.991789046</v>
      </c>
      <c r="C49" s="288" t="n">
        <f aca="false">B52</f>
        <v>216621.991789046</v>
      </c>
      <c r="D49" s="288" t="n">
        <f aca="false">C52</f>
        <v>205790.892199594</v>
      </c>
      <c r="E49" s="288" t="n">
        <f aca="false">D52</f>
        <v>185211.802979634</v>
      </c>
      <c r="F49" s="288" t="n">
        <f aca="false">E52</f>
        <v>166690.622681671</v>
      </c>
      <c r="G49" s="288" t="n">
        <f aca="false">F52</f>
        <v>150010.729313914</v>
      </c>
      <c r="H49" s="288" t="n">
        <f aca="false">G52</f>
        <v>134998.825282933</v>
      </c>
      <c r="I49" s="288" t="n">
        <f aca="false">H52</f>
        <v>121503.275194476</v>
      </c>
      <c r="J49" s="288" t="n">
        <f aca="false">I52</f>
        <v>108722.577678922</v>
      </c>
      <c r="K49" s="288" t="n">
        <f aca="false">J52</f>
        <v>95920.2179641895</v>
      </c>
      <c r="L49" s="288" t="n">
        <f aca="false">K52</f>
        <v>83139.5204486358</v>
      </c>
      <c r="M49" s="288" t="n">
        <f aca="false">L52</f>
        <v>70337.1607339032</v>
      </c>
      <c r="N49" s="288" t="n">
        <f aca="false">M52</f>
        <v>57556.4632183495</v>
      </c>
      <c r="O49" s="288" t="n">
        <f aca="false">N52</f>
        <v>44754.1035036169</v>
      </c>
      <c r="P49" s="288" t="n">
        <f aca="false">O52</f>
        <v>31973.4059880632</v>
      </c>
      <c r="Q49" s="288" t="n">
        <f aca="false">P52</f>
        <v>19171.0462733305</v>
      </c>
      <c r="R49" s="288" t="n">
        <f aca="false">Q52</f>
        <v>6390.34875777684</v>
      </c>
      <c r="S49" s="288" t="n">
        <f aca="false">R52</f>
        <v>0</v>
      </c>
      <c r="T49" s="288" t="n">
        <f aca="false">S52</f>
        <v>0</v>
      </c>
      <c r="U49" s="288" t="n">
        <f aca="false">T52</f>
        <v>0</v>
      </c>
      <c r="V49" s="288" t="n">
        <f aca="false">U52</f>
        <v>0</v>
      </c>
    </row>
    <row r="50" customFormat="false" ht="12.75" hidden="false" customHeight="false" outlineLevel="0" collapsed="false">
      <c r="A50" s="1" t="s">
        <v>166</v>
      </c>
      <c r="B50" s="289" t="n">
        <f aca="false">VLOOKUP(B6,$X$21:$Y$37,2)</f>
        <v>0</v>
      </c>
      <c r="C50" s="289" t="n">
        <f aca="false">VLOOKUP(C6,$X$21:$Y$37,2)</f>
        <v>0.05</v>
      </c>
      <c r="D50" s="289" t="n">
        <f aca="false">VLOOKUP(D6,$X$21:$Y$37,2)</f>
        <v>0.095</v>
      </c>
      <c r="E50" s="289" t="n">
        <f aca="false">VLOOKUP(E6,$X$21:$Y$37,2)</f>
        <v>0.0855</v>
      </c>
      <c r="F50" s="289" t="n">
        <f aca="false">VLOOKUP(F6,$X$21:$Y$37,2)</f>
        <v>0.077</v>
      </c>
      <c r="G50" s="289" t="n">
        <f aca="false">VLOOKUP(G6,$X$21:$Y$37,2)</f>
        <v>0.0693</v>
      </c>
      <c r="H50" s="289" t="n">
        <f aca="false">VLOOKUP(H6,$X$21:$Y$37,2)</f>
        <v>0.0623</v>
      </c>
      <c r="I50" s="289" t="n">
        <f aca="false">VLOOKUP(I6,$X$21:$Y$37,2)</f>
        <v>0.059</v>
      </c>
      <c r="J50" s="289" t="n">
        <f aca="false">VLOOKUP(J6,$X$21:$Y$37,2)</f>
        <v>0.0591</v>
      </c>
      <c r="K50" s="289" t="n">
        <f aca="false">VLOOKUP(K6,$X$21:$Y$37,2)</f>
        <v>0.059</v>
      </c>
      <c r="L50" s="289" t="n">
        <f aca="false">VLOOKUP(L6,$X$21:$Y$37,2)</f>
        <v>0.0591</v>
      </c>
      <c r="M50" s="289" t="n">
        <f aca="false">VLOOKUP(M6,$X$21:$Y$37,2)</f>
        <v>0.059</v>
      </c>
      <c r="N50" s="289" t="n">
        <f aca="false">VLOOKUP(N6,$X$21:$Y$37,2)</f>
        <v>0.0591</v>
      </c>
      <c r="O50" s="289" t="n">
        <f aca="false">VLOOKUP(O6,$X$21:$Y$37,2)</f>
        <v>0.059</v>
      </c>
      <c r="P50" s="289" t="n">
        <f aca="false">VLOOKUP(P6,$X$21:$Y$37,2)</f>
        <v>0.0591</v>
      </c>
      <c r="Q50" s="289" t="n">
        <f aca="false">VLOOKUP(Q6,$X$21:$Y$37,2)</f>
        <v>0.059</v>
      </c>
      <c r="R50" s="289" t="n">
        <f aca="false">VLOOKUP(R6,$X$21:$Y$37,2)</f>
        <v>0.0295</v>
      </c>
      <c r="S50" s="289" t="n">
        <v>0</v>
      </c>
      <c r="T50" s="289" t="n">
        <v>0</v>
      </c>
      <c r="U50" s="289" t="n">
        <v>0</v>
      </c>
      <c r="V50" s="289" t="n">
        <v>0</v>
      </c>
    </row>
    <row r="51" customFormat="false" ht="12.75" hidden="false" customHeight="false" outlineLevel="0" collapsed="false">
      <c r="A51" s="1" t="s">
        <v>168</v>
      </c>
      <c r="B51" s="260" t="n">
        <f aca="false">$B$49*B50</f>
        <v>0</v>
      </c>
      <c r="C51" s="260" t="n">
        <f aca="false">$B$49*C50</f>
        <v>10831.0995894523</v>
      </c>
      <c r="D51" s="260" t="n">
        <f aca="false">$B$49*D50</f>
        <v>20579.0892199594</v>
      </c>
      <c r="E51" s="260" t="n">
        <f aca="false">$B$49*E50</f>
        <v>18521.1802979634</v>
      </c>
      <c r="F51" s="260" t="n">
        <f aca="false">$B$49*F50</f>
        <v>16679.8933677565</v>
      </c>
      <c r="G51" s="260" t="n">
        <f aca="false">$B$49*G50</f>
        <v>15011.9040309809</v>
      </c>
      <c r="H51" s="260" t="n">
        <f aca="false">$B$49*H50</f>
        <v>13495.5500884576</v>
      </c>
      <c r="I51" s="260" t="n">
        <f aca="false">$B$49*I50</f>
        <v>12780.6975155537</v>
      </c>
      <c r="J51" s="260" t="n">
        <f aca="false">$B$49*J50</f>
        <v>12802.3597147326</v>
      </c>
      <c r="K51" s="260" t="n">
        <f aca="false">$B$49*K50</f>
        <v>12780.6975155537</v>
      </c>
      <c r="L51" s="260" t="n">
        <f aca="false">$B$49*L50</f>
        <v>12802.3597147326</v>
      </c>
      <c r="M51" s="260" t="n">
        <f aca="false">$B$49*M50</f>
        <v>12780.6975155537</v>
      </c>
      <c r="N51" s="260" t="n">
        <f aca="false">$B$49*N50</f>
        <v>12802.3597147326</v>
      </c>
      <c r="O51" s="260" t="n">
        <f aca="false">$B$49*O50</f>
        <v>12780.6975155537</v>
      </c>
      <c r="P51" s="260" t="n">
        <f aca="false">$B$49*P50</f>
        <v>12802.3597147326</v>
      </c>
      <c r="Q51" s="260" t="n">
        <f aca="false">$B$49*Q50</f>
        <v>12780.6975155537</v>
      </c>
      <c r="R51" s="260" t="n">
        <f aca="false">$B$49*R50</f>
        <v>6390.34875777685</v>
      </c>
      <c r="S51" s="260" t="n">
        <f aca="false">$B$49*S50</f>
        <v>0</v>
      </c>
      <c r="T51" s="260" t="n">
        <f aca="false">$B$49*T50</f>
        <v>0</v>
      </c>
      <c r="U51" s="260" t="n">
        <f aca="false">$B$49*U50</f>
        <v>0</v>
      </c>
      <c r="V51" s="260" t="n">
        <f aca="false">$B$49*V50</f>
        <v>0</v>
      </c>
    </row>
    <row r="52" customFormat="false" ht="12.75" hidden="false" customHeight="false" outlineLevel="0" collapsed="false">
      <c r="A52" s="1" t="s">
        <v>175</v>
      </c>
      <c r="B52" s="172" t="n">
        <f aca="false">B49-B51</f>
        <v>216621.991789046</v>
      </c>
      <c r="C52" s="172" t="n">
        <f aca="false">C49-C51</f>
        <v>205790.892199594</v>
      </c>
      <c r="D52" s="172" t="n">
        <f aca="false">D49-D51</f>
        <v>185211.802979634</v>
      </c>
      <c r="E52" s="172" t="n">
        <f aca="false">E49-E51</f>
        <v>166690.622681671</v>
      </c>
      <c r="F52" s="172" t="n">
        <f aca="false">F49-F51</f>
        <v>150010.729313914</v>
      </c>
      <c r="G52" s="172" t="n">
        <f aca="false">G49-G51</f>
        <v>134998.825282933</v>
      </c>
      <c r="H52" s="172" t="n">
        <f aca="false">H49-H51</f>
        <v>121503.275194476</v>
      </c>
      <c r="I52" s="172" t="n">
        <f aca="false">I49-I51</f>
        <v>108722.577678922</v>
      </c>
      <c r="J52" s="172" t="n">
        <f aca="false">J49-J51</f>
        <v>95920.2179641895</v>
      </c>
      <c r="K52" s="172" t="n">
        <f aca="false">K49-K51</f>
        <v>83139.5204486358</v>
      </c>
      <c r="L52" s="172" t="n">
        <f aca="false">L49-L51</f>
        <v>70337.1607339032</v>
      </c>
      <c r="M52" s="172" t="n">
        <f aca="false">M49-M51</f>
        <v>57556.4632183495</v>
      </c>
      <c r="N52" s="172" t="n">
        <f aca="false">N49-N51</f>
        <v>44754.1035036169</v>
      </c>
      <c r="O52" s="172" t="n">
        <f aca="false">O49-O51</f>
        <v>31973.4059880632</v>
      </c>
      <c r="P52" s="172" t="n">
        <f aca="false">P49-P51</f>
        <v>19171.0462733305</v>
      </c>
      <c r="Q52" s="172" t="n">
        <f aca="false">Q49-Q51</f>
        <v>6390.34875777684</v>
      </c>
      <c r="R52" s="172" t="n">
        <f aca="false">R49-R51</f>
        <v>0</v>
      </c>
      <c r="S52" s="172" t="n">
        <f aca="false">S49-S51</f>
        <v>0</v>
      </c>
      <c r="T52" s="172" t="n">
        <f aca="false">T49-T51</f>
        <v>0</v>
      </c>
      <c r="U52" s="172" t="n">
        <f aca="false">U49-U51</f>
        <v>0</v>
      </c>
      <c r="V52" s="172" t="n">
        <f aca="false">V49-V51</f>
        <v>0</v>
      </c>
    </row>
    <row r="54" customFormat="false" ht="12.75" hidden="false" customHeight="false" outlineLevel="0" collapsed="false">
      <c r="A54" s="287" t="s">
        <v>58</v>
      </c>
    </row>
    <row r="55" customFormat="false" ht="12.75" hidden="false" customHeight="false" outlineLevel="0" collapsed="false">
      <c r="A55" s="1" t="s">
        <v>174</v>
      </c>
      <c r="B55" s="288" t="n">
        <f aca="false">'Summary Output'!$G$7*Allocation!$C$8</f>
        <v>348762.042691135</v>
      </c>
      <c r="C55" s="172" t="n">
        <f aca="false">B58</f>
        <v>348762.042691135</v>
      </c>
      <c r="D55" s="172" t="n">
        <f aca="false">C58</f>
        <v>331323.940556578</v>
      </c>
      <c r="E55" s="172" t="n">
        <f aca="false">D58</f>
        <v>298191.54650092</v>
      </c>
      <c r="F55" s="172" t="n">
        <f aca="false">E58</f>
        <v>268372.391850828</v>
      </c>
      <c r="G55" s="172" t="n">
        <f aca="false">F58</f>
        <v>241517.714563611</v>
      </c>
      <c r="H55" s="172" t="n">
        <f aca="false">G58</f>
        <v>217348.505005115</v>
      </c>
      <c r="I55" s="172" t="n">
        <f aca="false">H58</f>
        <v>195620.629745457</v>
      </c>
      <c r="J55" s="172" t="n">
        <f aca="false">I58</f>
        <v>175043.66922668</v>
      </c>
      <c r="K55" s="172" t="n">
        <f aca="false">J58</f>
        <v>154431.832503634</v>
      </c>
      <c r="L55" s="172" t="n">
        <f aca="false">K58</f>
        <v>133854.871984857</v>
      </c>
      <c r="M55" s="172" t="n">
        <f aca="false">L58</f>
        <v>113243.035261811</v>
      </c>
      <c r="N55" s="172" t="n">
        <f aca="false">M58</f>
        <v>92666.0747430344</v>
      </c>
      <c r="O55" s="172" t="n">
        <f aca="false">N58</f>
        <v>72054.2380199884</v>
      </c>
      <c r="P55" s="172" t="n">
        <f aca="false">O58</f>
        <v>51477.2775012114</v>
      </c>
      <c r="Q55" s="172" t="n">
        <f aca="false">P58</f>
        <v>30865.4407781654</v>
      </c>
      <c r="R55" s="172" t="n">
        <f aca="false">Q58</f>
        <v>10288.4802593884</v>
      </c>
      <c r="S55" s="172" t="n">
        <f aca="false">R58</f>
        <v>0</v>
      </c>
      <c r="T55" s="172" t="n">
        <f aca="false">S58</f>
        <v>0</v>
      </c>
      <c r="U55" s="172" t="n">
        <f aca="false">T58</f>
        <v>0</v>
      </c>
      <c r="V55" s="172" t="n">
        <f aca="false">U58</f>
        <v>0</v>
      </c>
    </row>
    <row r="56" customFormat="false" ht="12.75" hidden="false" customHeight="false" outlineLevel="0" collapsed="false">
      <c r="A56" s="1" t="s">
        <v>166</v>
      </c>
      <c r="B56" s="289" t="n">
        <f aca="false">VLOOKUP(B6,$X$21:$Y$37,2)</f>
        <v>0</v>
      </c>
      <c r="C56" s="289" t="n">
        <f aca="false">VLOOKUP(C6,$X$21:$Y$37,2)</f>
        <v>0.05</v>
      </c>
      <c r="D56" s="289" t="n">
        <f aca="false">VLOOKUP(D6,$X$21:$Y$37,2)</f>
        <v>0.095</v>
      </c>
      <c r="E56" s="289" t="n">
        <f aca="false">VLOOKUP(E6,$X$21:$Y$37,2)</f>
        <v>0.0855</v>
      </c>
      <c r="F56" s="289" t="n">
        <f aca="false">VLOOKUP(F6,$X$21:$Y$37,2)</f>
        <v>0.077</v>
      </c>
      <c r="G56" s="289" t="n">
        <f aca="false">VLOOKUP(G6,$X$21:$Y$37,2)</f>
        <v>0.0693</v>
      </c>
      <c r="H56" s="289" t="n">
        <f aca="false">VLOOKUP(H6,$X$21:$Y$37,2)</f>
        <v>0.0623</v>
      </c>
      <c r="I56" s="289" t="n">
        <f aca="false">VLOOKUP(I6,$X$21:$Y$37,2)</f>
        <v>0.059</v>
      </c>
      <c r="J56" s="289" t="n">
        <f aca="false">VLOOKUP(J6,$X$21:$Y$37,2)</f>
        <v>0.0591</v>
      </c>
      <c r="K56" s="289" t="n">
        <f aca="false">VLOOKUP(K6,$X$21:$Y$37,2)</f>
        <v>0.059</v>
      </c>
      <c r="L56" s="289" t="n">
        <f aca="false">VLOOKUP(L6,$X$21:$Y$37,2)</f>
        <v>0.0591</v>
      </c>
      <c r="M56" s="289" t="n">
        <f aca="false">VLOOKUP(M6,$X$21:$Y$37,2)</f>
        <v>0.059</v>
      </c>
      <c r="N56" s="289" t="n">
        <f aca="false">VLOOKUP(N6,$X$21:$Y$37,2)</f>
        <v>0.0591</v>
      </c>
      <c r="O56" s="289" t="n">
        <f aca="false">VLOOKUP(O6,$X$21:$Y$37,2)</f>
        <v>0.059</v>
      </c>
      <c r="P56" s="289" t="n">
        <f aca="false">VLOOKUP(P6,$X$21:$Y$37,2)</f>
        <v>0.0591</v>
      </c>
      <c r="Q56" s="289" t="n">
        <f aca="false">VLOOKUP(Q6,$X$21:$Y$37,2)</f>
        <v>0.059</v>
      </c>
      <c r="R56" s="289" t="n">
        <f aca="false">VLOOKUP(R6,$X$21:$Y$37,2)</f>
        <v>0.0295</v>
      </c>
      <c r="S56" s="289" t="n">
        <v>0</v>
      </c>
      <c r="T56" s="289" t="n">
        <v>0</v>
      </c>
      <c r="U56" s="289" t="n">
        <v>0</v>
      </c>
      <c r="V56" s="289" t="n">
        <v>0</v>
      </c>
    </row>
    <row r="57" customFormat="false" ht="12.75" hidden="false" customHeight="false" outlineLevel="0" collapsed="false">
      <c r="A57" s="1" t="s">
        <v>168</v>
      </c>
      <c r="B57" s="260" t="n">
        <f aca="false">$B$55*B56</f>
        <v>0</v>
      </c>
      <c r="C57" s="260" t="n">
        <f aca="false">$B$55*C56</f>
        <v>17438.1021345567</v>
      </c>
      <c r="D57" s="260" t="n">
        <f aca="false">$B$55*D56</f>
        <v>33132.3940556578</v>
      </c>
      <c r="E57" s="260" t="n">
        <f aca="false">$B$55*E56</f>
        <v>29819.154650092</v>
      </c>
      <c r="F57" s="260" t="n">
        <f aca="false">$B$55*F56</f>
        <v>26854.6772872174</v>
      </c>
      <c r="G57" s="260" t="n">
        <f aca="false">$B$55*G56</f>
        <v>24169.2095584956</v>
      </c>
      <c r="H57" s="260" t="n">
        <f aca="false">$B$55*H56</f>
        <v>21727.8752596577</v>
      </c>
      <c r="I57" s="260" t="n">
        <f aca="false">$B$55*I56</f>
        <v>20576.9605187769</v>
      </c>
      <c r="J57" s="260" t="n">
        <f aca="false">$B$55*J56</f>
        <v>20611.8367230461</v>
      </c>
      <c r="K57" s="260" t="n">
        <f aca="false">$B$55*K56</f>
        <v>20576.9605187769</v>
      </c>
      <c r="L57" s="260" t="n">
        <f aca="false">$B$55*L56</f>
        <v>20611.8367230461</v>
      </c>
      <c r="M57" s="260" t="n">
        <f aca="false">$B$55*M56</f>
        <v>20576.9605187769</v>
      </c>
      <c r="N57" s="260" t="n">
        <f aca="false">$B$55*N56</f>
        <v>20611.8367230461</v>
      </c>
      <c r="O57" s="260" t="n">
        <f aca="false">$B$55*O56</f>
        <v>20576.9605187769</v>
      </c>
      <c r="P57" s="260" t="n">
        <f aca="false">$B$55*P56</f>
        <v>20611.8367230461</v>
      </c>
      <c r="Q57" s="260" t="n">
        <f aca="false">$B$55*Q56</f>
        <v>20576.9605187769</v>
      </c>
      <c r="R57" s="260" t="n">
        <f aca="false">$B$55*R56</f>
        <v>10288.4802593885</v>
      </c>
      <c r="S57" s="260" t="n">
        <f aca="false">$B$55*S56</f>
        <v>0</v>
      </c>
      <c r="T57" s="260" t="n">
        <f aca="false">$B$55*T56</f>
        <v>0</v>
      </c>
      <c r="U57" s="260" t="n">
        <f aca="false">$B$55*U56</f>
        <v>0</v>
      </c>
      <c r="V57" s="260" t="n">
        <f aca="false">$B$55*V56</f>
        <v>0</v>
      </c>
    </row>
    <row r="58" customFormat="false" ht="12.75" hidden="false" customHeight="false" outlineLevel="0" collapsed="false">
      <c r="A58" s="1" t="s">
        <v>175</v>
      </c>
      <c r="B58" s="172" t="n">
        <f aca="false">B55-B57</f>
        <v>348762.042691135</v>
      </c>
      <c r="C58" s="172" t="n">
        <f aca="false">C55-C57</f>
        <v>331323.940556578</v>
      </c>
      <c r="D58" s="172" t="n">
        <f aca="false">D55-D57</f>
        <v>298191.54650092</v>
      </c>
      <c r="E58" s="172" t="n">
        <f aca="false">E55-E57</f>
        <v>268372.391850828</v>
      </c>
      <c r="F58" s="172" t="n">
        <f aca="false">F55-F57</f>
        <v>241517.714563611</v>
      </c>
      <c r="G58" s="172" t="n">
        <f aca="false">G55-G57</f>
        <v>217348.505005115</v>
      </c>
      <c r="H58" s="172" t="n">
        <f aca="false">H55-H57</f>
        <v>195620.629745457</v>
      </c>
      <c r="I58" s="172" t="n">
        <f aca="false">I55-I57</f>
        <v>175043.66922668</v>
      </c>
      <c r="J58" s="172" t="n">
        <f aca="false">J55-J57</f>
        <v>154431.832503634</v>
      </c>
      <c r="K58" s="172" t="n">
        <f aca="false">K55-K57</f>
        <v>133854.871984857</v>
      </c>
      <c r="L58" s="172" t="n">
        <f aca="false">L55-L57</f>
        <v>113243.035261811</v>
      </c>
      <c r="M58" s="172" t="n">
        <f aca="false">M55-M57</f>
        <v>92666.0747430344</v>
      </c>
      <c r="N58" s="172" t="n">
        <f aca="false">N55-N57</f>
        <v>72054.2380199884</v>
      </c>
      <c r="O58" s="172" t="n">
        <f aca="false">O55-O57</f>
        <v>51477.2775012114</v>
      </c>
      <c r="P58" s="172" t="n">
        <f aca="false">P55-P57</f>
        <v>30865.4407781654</v>
      </c>
      <c r="Q58" s="172" t="n">
        <f aca="false">Q55-Q57</f>
        <v>10288.4802593884</v>
      </c>
      <c r="R58" s="172" t="n">
        <f aca="false">R55-R57</f>
        <v>0</v>
      </c>
      <c r="S58" s="172" t="n">
        <f aca="false">S55-S57</f>
        <v>0</v>
      </c>
      <c r="T58" s="172" t="n">
        <f aca="false">T55-T57</f>
        <v>0</v>
      </c>
      <c r="U58" s="172" t="n">
        <f aca="false">U55-U57</f>
        <v>0</v>
      </c>
      <c r="V58" s="172" t="n">
        <f aca="false">V55-V57</f>
        <v>0</v>
      </c>
    </row>
    <row r="60" customFormat="false" ht="12.75" hidden="false" customHeight="false" outlineLevel="0" collapsed="false">
      <c r="A60" s="287" t="s">
        <v>171</v>
      </c>
    </row>
    <row r="61" customFormat="false" ht="12.75" hidden="false" customHeight="false" outlineLevel="0" collapsed="false">
      <c r="A61" s="1" t="s">
        <v>174</v>
      </c>
      <c r="B61" s="172" t="n">
        <f aca="false">SUM(B43,B49,B55)</f>
        <v>802196.356815685</v>
      </c>
      <c r="C61" s="172" t="n">
        <f aca="false">B63</f>
        <v>802196.356815685</v>
      </c>
      <c r="D61" s="172" t="n">
        <f aca="false">C63</f>
        <v>762086.5389749</v>
      </c>
      <c r="E61" s="172" t="n">
        <f aca="false">D63</f>
        <v>685877.88507741</v>
      </c>
      <c r="F61" s="172" t="n">
        <f aca="false">E63</f>
        <v>617290.096569669</v>
      </c>
      <c r="G61" s="172" t="n">
        <f aca="false">F63</f>
        <v>555520.977094861</v>
      </c>
      <c r="H61" s="172" t="n">
        <f aca="false">G63</f>
        <v>499928.769567535</v>
      </c>
      <c r="I61" s="172" t="n">
        <f aca="false">H63</f>
        <v>449951.936537917</v>
      </c>
      <c r="J61" s="172" t="n">
        <f aca="false">I63</f>
        <v>402622.351485792</v>
      </c>
      <c r="K61" s="172" t="n">
        <f aca="false">J63</f>
        <v>355212.546797985</v>
      </c>
      <c r="L61" s="172" t="n">
        <f aca="false">K63</f>
        <v>307882.96174586</v>
      </c>
      <c r="M61" s="172" t="n">
        <f aca="false">L63</f>
        <v>260473.157058053</v>
      </c>
      <c r="N61" s="172" t="n">
        <f aca="false">M63</f>
        <v>213143.572005927</v>
      </c>
      <c r="O61" s="172" t="n">
        <f aca="false">N63</f>
        <v>165733.76731812</v>
      </c>
      <c r="P61" s="172" t="n">
        <f aca="false">O63</f>
        <v>118404.182265995</v>
      </c>
      <c r="Q61" s="172" t="n">
        <f aca="false">P63</f>
        <v>70994.3775781879</v>
      </c>
      <c r="R61" s="172" t="n">
        <f aca="false">Q63</f>
        <v>23664.7925260626</v>
      </c>
      <c r="S61" s="172" t="n">
        <f aca="false">R63</f>
        <v>-1.34605215862393E-010</v>
      </c>
      <c r="T61" s="172" t="n">
        <f aca="false">S63</f>
        <v>-1.34605215862393E-010</v>
      </c>
      <c r="U61" s="172" t="n">
        <f aca="false">T63</f>
        <v>-1.34605215862393E-010</v>
      </c>
      <c r="V61" s="172" t="n">
        <f aca="false">U63</f>
        <v>-1.34605215862393E-010</v>
      </c>
    </row>
    <row r="62" customFormat="false" ht="12.75" hidden="false" customHeight="false" outlineLevel="0" collapsed="false">
      <c r="A62" s="1" t="s">
        <v>168</v>
      </c>
      <c r="B62" s="260" t="n">
        <f aca="false">SUM(B45,B51,B57)</f>
        <v>0</v>
      </c>
      <c r="C62" s="260" t="n">
        <f aca="false">SUM(C45,C51,C57)</f>
        <v>40109.8178407842</v>
      </c>
      <c r="D62" s="260" t="n">
        <f aca="false">SUM(D45,D51,D57)</f>
        <v>76208.65389749</v>
      </c>
      <c r="E62" s="260" t="n">
        <f aca="false">SUM(E45,E51,E57)</f>
        <v>68587.788507741</v>
      </c>
      <c r="F62" s="260" t="n">
        <f aca="false">SUM(F45,F51,F57)</f>
        <v>61769.1194748077</v>
      </c>
      <c r="G62" s="260" t="n">
        <f aca="false">SUM(G45,G51,G57)</f>
        <v>55592.2075273269</v>
      </c>
      <c r="H62" s="260" t="n">
        <f aca="false">SUM(H45,H51,H57)</f>
        <v>49976.8330296172</v>
      </c>
      <c r="I62" s="260" t="n">
        <f aca="false">SUM(I45,I51,I57)</f>
        <v>47329.5850521254</v>
      </c>
      <c r="J62" s="260" t="n">
        <f aca="false">SUM(J45,J51,J57)</f>
        <v>47409.804687807</v>
      </c>
      <c r="K62" s="260" t="n">
        <f aca="false">SUM(K45,K51,K57)</f>
        <v>47329.5850521254</v>
      </c>
      <c r="L62" s="260" t="n">
        <f aca="false">SUM(L45,L51,L57)</f>
        <v>47409.804687807</v>
      </c>
      <c r="M62" s="260" t="n">
        <f aca="false">SUM(M45,M51,M57)</f>
        <v>47329.5850521254</v>
      </c>
      <c r="N62" s="260" t="n">
        <f aca="false">SUM(N45,N51,N57)</f>
        <v>47409.804687807</v>
      </c>
      <c r="O62" s="260" t="n">
        <f aca="false">SUM(O45,O51,O57)</f>
        <v>47329.5850521254</v>
      </c>
      <c r="P62" s="260" t="n">
        <f aca="false">SUM(P45,P51,P57)</f>
        <v>47409.804687807</v>
      </c>
      <c r="Q62" s="260" t="n">
        <f aca="false">SUM(Q45,Q51,Q57)</f>
        <v>47329.5850521254</v>
      </c>
      <c r="R62" s="260" t="n">
        <f aca="false">SUM(R45,R51,R57)</f>
        <v>23664.7925260627</v>
      </c>
      <c r="S62" s="260" t="n">
        <f aca="false">SUM(S45,S51,S57)</f>
        <v>0</v>
      </c>
      <c r="T62" s="260" t="n">
        <f aca="false">SUM(T45,T51,T57)</f>
        <v>0</v>
      </c>
      <c r="U62" s="260" t="n">
        <f aca="false">SUM(U45,U51,U57)</f>
        <v>0</v>
      </c>
      <c r="V62" s="260" t="n">
        <f aca="false">SUM(V45,V51,V57)</f>
        <v>0</v>
      </c>
    </row>
    <row r="63" customFormat="false" ht="12.75" hidden="false" customHeight="false" outlineLevel="0" collapsed="false">
      <c r="A63" s="1" t="s">
        <v>175</v>
      </c>
      <c r="B63" s="172" t="n">
        <f aca="false">B61-B62</f>
        <v>802196.356815685</v>
      </c>
      <c r="C63" s="172" t="n">
        <f aca="false">C61-C62</f>
        <v>762086.5389749</v>
      </c>
      <c r="D63" s="172" t="n">
        <f aca="false">D61-D62</f>
        <v>685877.88507741</v>
      </c>
      <c r="E63" s="172" t="n">
        <f aca="false">E61-E62</f>
        <v>617290.096569669</v>
      </c>
      <c r="F63" s="172" t="n">
        <f aca="false">F61-F62</f>
        <v>555520.977094861</v>
      </c>
      <c r="G63" s="172" t="n">
        <f aca="false">G61-G62</f>
        <v>499928.769567535</v>
      </c>
      <c r="H63" s="172" t="n">
        <f aca="false">H61-H62</f>
        <v>449951.936537917</v>
      </c>
      <c r="I63" s="172" t="n">
        <f aca="false">I61-I62</f>
        <v>402622.351485792</v>
      </c>
      <c r="J63" s="172" t="n">
        <f aca="false">J61-J62</f>
        <v>355212.546797985</v>
      </c>
      <c r="K63" s="172" t="n">
        <f aca="false">K61-K62</f>
        <v>307882.96174586</v>
      </c>
      <c r="L63" s="172" t="n">
        <f aca="false">L61-L62</f>
        <v>260473.157058053</v>
      </c>
      <c r="M63" s="172" t="n">
        <f aca="false">M61-M62</f>
        <v>213143.572005927</v>
      </c>
      <c r="N63" s="172" t="n">
        <f aca="false">N61-N62</f>
        <v>165733.76731812</v>
      </c>
      <c r="O63" s="172" t="n">
        <f aca="false">O61-O62</f>
        <v>118404.182265995</v>
      </c>
      <c r="P63" s="172" t="n">
        <f aca="false">P61-P62</f>
        <v>70994.3775781879</v>
      </c>
      <c r="Q63" s="172" t="n">
        <f aca="false">Q61-Q62</f>
        <v>23664.7925260626</v>
      </c>
      <c r="R63" s="172" t="n">
        <f aca="false">R61-R62</f>
        <v>-1.34605215862393E-010</v>
      </c>
      <c r="S63" s="172" t="n">
        <f aca="false">S61-S62</f>
        <v>-1.34605215862393E-010</v>
      </c>
      <c r="T63" s="172" t="n">
        <f aca="false">T61-T62</f>
        <v>-1.34605215862393E-010</v>
      </c>
      <c r="U63" s="172" t="n">
        <f aca="false">U61-U62</f>
        <v>-1.34605215862393E-010</v>
      </c>
      <c r="V63" s="172" t="n">
        <f aca="false">V61-V62</f>
        <v>-1.34605215862393E-010</v>
      </c>
    </row>
    <row r="67" customFormat="false" ht="12.75" hidden="false" customHeight="false" outlineLevel="0" collapsed="false">
      <c r="A67" s="168" t="s">
        <v>176</v>
      </c>
      <c r="B67" s="256" t="n">
        <f aca="false">B62</f>
        <v>0</v>
      </c>
      <c r="C67" s="256" t="n">
        <f aca="false">C62</f>
        <v>40109.8178407842</v>
      </c>
      <c r="D67" s="256" t="n">
        <f aca="false">D62</f>
        <v>76208.65389749</v>
      </c>
      <c r="E67" s="256" t="n">
        <f aca="false">E62</f>
        <v>68587.788507741</v>
      </c>
      <c r="F67" s="256" t="n">
        <f aca="false">F62</f>
        <v>61769.1194748077</v>
      </c>
      <c r="G67" s="256" t="n">
        <f aca="false">G62</f>
        <v>55592.2075273269</v>
      </c>
      <c r="H67" s="256" t="n">
        <f aca="false">H62</f>
        <v>49976.8330296172</v>
      </c>
      <c r="I67" s="256" t="n">
        <f aca="false">I62</f>
        <v>47329.5850521254</v>
      </c>
      <c r="J67" s="256" t="n">
        <f aca="false">J62</f>
        <v>47409.804687807</v>
      </c>
      <c r="K67" s="256" t="n">
        <f aca="false">K62</f>
        <v>47329.5850521254</v>
      </c>
      <c r="L67" s="256" t="n">
        <f aca="false">L62</f>
        <v>47409.804687807</v>
      </c>
      <c r="M67" s="256" t="n">
        <f aca="false">M62</f>
        <v>47329.5850521254</v>
      </c>
      <c r="N67" s="256" t="n">
        <f aca="false">N62</f>
        <v>47409.804687807</v>
      </c>
      <c r="O67" s="256" t="n">
        <f aca="false">O62</f>
        <v>47329.5850521254</v>
      </c>
      <c r="P67" s="256" t="n">
        <f aca="false">P62</f>
        <v>47409.804687807</v>
      </c>
      <c r="Q67" s="256" t="n">
        <f aca="false">Q62</f>
        <v>47329.5850521254</v>
      </c>
      <c r="R67" s="256" t="n">
        <f aca="false">R62</f>
        <v>23664.7925260627</v>
      </c>
      <c r="S67" s="256" t="n">
        <f aca="false">S62</f>
        <v>0</v>
      </c>
      <c r="T67" s="256" t="n">
        <f aca="false">T62</f>
        <v>0</v>
      </c>
      <c r="U67" s="256" t="n">
        <f aca="false">U62</f>
        <v>0</v>
      </c>
      <c r="V67" s="256" t="n">
        <f aca="false">V62</f>
        <v>0</v>
      </c>
    </row>
    <row r="68" customFormat="false" ht="12.75" hidden="false" customHeight="false" outlineLevel="0" collapsed="false">
      <c r="A68" s="290" t="s">
        <v>177</v>
      </c>
      <c r="B68" s="262" t="n">
        <v>0</v>
      </c>
      <c r="C68" s="262" t="n">
        <f aca="false">SUM(Gleason!B85,Wheatland!B86,Wilton!B79)</f>
        <v>-40109.8178407842</v>
      </c>
      <c r="D68" s="262" t="n">
        <f aca="false">SUM(Gleason!C85,Wheatland!C86,Wilton!C79)</f>
        <v>-76208.65389749</v>
      </c>
      <c r="E68" s="262" t="n">
        <f aca="false">SUM(Gleason!D85,Wheatland!D86,Wilton!D79)</f>
        <v>-68587.788507741</v>
      </c>
      <c r="F68" s="262" t="n">
        <f aca="false">SUM(Gleason!E85,Wheatland!E86,Wilton!E79)</f>
        <v>-61769.1194748077</v>
      </c>
      <c r="G68" s="262" t="n">
        <f aca="false">SUM(Gleason!F85,Wheatland!F86,Wilton!F79)</f>
        <v>-55592.2075273269</v>
      </c>
      <c r="H68" s="262" t="n">
        <f aca="false">SUM(Gleason!G85,Wheatland!G86,Wilton!G79)</f>
        <v>-49976.8330296172</v>
      </c>
      <c r="I68" s="262" t="n">
        <f aca="false">SUM(Gleason!H85,Wheatland!H86,Wilton!H79)</f>
        <v>-47329.5850521254</v>
      </c>
      <c r="J68" s="262" t="n">
        <f aca="false">SUM(Gleason!I85,Wheatland!I86,Wilton!I79)</f>
        <v>-47409.804687807</v>
      </c>
      <c r="K68" s="262" t="n">
        <f aca="false">SUM(Gleason!J85,Wheatland!J86,Wilton!J79)</f>
        <v>-47329.5850521254</v>
      </c>
      <c r="L68" s="262" t="n">
        <f aca="false">SUM(Gleason!K85,Wheatland!K86,Wilton!K79)</f>
        <v>-47409.804687807</v>
      </c>
      <c r="M68" s="262" t="n">
        <f aca="false">SUM(Gleason!L85,Wheatland!L86,Wilton!L79)</f>
        <v>-47329.5850521254</v>
      </c>
      <c r="N68" s="262" t="n">
        <f aca="false">SUM(Gleason!M85,Wheatland!M86,Wilton!M79)</f>
        <v>-47409.804687807</v>
      </c>
      <c r="O68" s="262" t="n">
        <f aca="false">SUM(Gleason!N85,Wheatland!N86,Wilton!N79)</f>
        <v>-47329.5850521254</v>
      </c>
      <c r="P68" s="262" t="n">
        <f aca="false">SUM(Gleason!O85,Wheatland!O86,Wilton!O79)</f>
        <v>-47409.804687807</v>
      </c>
      <c r="Q68" s="262" t="n">
        <f aca="false">SUM(Gleason!P85,Wheatland!P86,Wilton!P79)</f>
        <v>-47329.5850521254</v>
      </c>
      <c r="R68" s="262" t="n">
        <f aca="false">SUM(Gleason!Q85,Wheatland!Q86,Wilton!Q79)</f>
        <v>-23664.7925260627</v>
      </c>
      <c r="S68" s="262" t="n">
        <f aca="false">SUM(Gleason!R85,Wheatland!R86,Wilton!R79)</f>
        <v>0</v>
      </c>
      <c r="T68" s="262" t="n">
        <f aca="false">SUM(Gleason!S85,Wheatland!S86,Wilton!S79)</f>
        <v>0</v>
      </c>
      <c r="U68" s="262" t="n">
        <f aca="false">SUM(Gleason!T85,Wheatland!T86,Wilton!T79)</f>
        <v>0</v>
      </c>
      <c r="V68" s="262" t="n">
        <f aca="false">SUM(Gleason!U85,Wheatland!U86,Wilton!U79)</f>
        <v>0</v>
      </c>
    </row>
    <row r="69" customFormat="false" ht="12.75" hidden="false" customHeight="false" outlineLevel="0" collapsed="false">
      <c r="A69" s="168" t="s">
        <v>178</v>
      </c>
      <c r="B69" s="256" t="n">
        <f aca="false">B67+B68</f>
        <v>0</v>
      </c>
      <c r="C69" s="256" t="n">
        <f aca="false">C67+C68</f>
        <v>0</v>
      </c>
      <c r="D69" s="256" t="n">
        <f aca="false">D67+D68</f>
        <v>0</v>
      </c>
      <c r="E69" s="256" t="n">
        <f aca="false">E67+E68</f>
        <v>0</v>
      </c>
      <c r="F69" s="256" t="n">
        <f aca="false">F67+F68</f>
        <v>0</v>
      </c>
      <c r="G69" s="256" t="n">
        <f aca="false">G67+G68</f>
        <v>0</v>
      </c>
      <c r="H69" s="256" t="n">
        <f aca="false">H67+H68</f>
        <v>0</v>
      </c>
      <c r="I69" s="256" t="n">
        <f aca="false">I67+I68</f>
        <v>0</v>
      </c>
      <c r="J69" s="256" t="n">
        <f aca="false">J67+J68</f>
        <v>0</v>
      </c>
      <c r="K69" s="256" t="n">
        <f aca="false">K67+K68</f>
        <v>0</v>
      </c>
      <c r="L69" s="256" t="n">
        <f aca="false">L67+L68</f>
        <v>0</v>
      </c>
      <c r="M69" s="256" t="n">
        <f aca="false">M67+M68</f>
        <v>0</v>
      </c>
      <c r="N69" s="256" t="n">
        <f aca="false">N67+N68</f>
        <v>0</v>
      </c>
      <c r="O69" s="256" t="n">
        <f aca="false">O67+O68</f>
        <v>0</v>
      </c>
      <c r="P69" s="256" t="n">
        <f aca="false">P67+P68</f>
        <v>0</v>
      </c>
      <c r="Q69" s="256" t="n">
        <f aca="false">Q67+Q68</f>
        <v>0</v>
      </c>
      <c r="R69" s="256" t="n">
        <f aca="false">R67+R68</f>
        <v>0</v>
      </c>
      <c r="S69" s="256" t="n">
        <f aca="false">S67+S68</f>
        <v>0</v>
      </c>
      <c r="T69" s="256" t="n">
        <f aca="false">T67+T68</f>
        <v>0</v>
      </c>
      <c r="U69" s="256" t="n">
        <f aca="false">U67+U68</f>
        <v>0</v>
      </c>
      <c r="V69" s="256" t="n">
        <f aca="false">V67+V68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&amp;L&amp;12Enron's Generation&amp;RCONFIDENTIAL</oddHeader>
    <oddFooter>&amp;L&amp;D&amp;C&amp;F&amp;RPage &amp;P</oddFooter>
  </headerFooter>
  <rowBreaks count="1" manualBreakCount="1">
    <brk id="37" man="true" max="16383" min="0"/>
  </rowBreak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Y25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1" ySplit="5" topLeftCell="B6" activePane="bottomRight" state="frozen"/>
      <selection pane="topLeft" activeCell="A1" activeCellId="0" sqref="A1"/>
      <selection pane="topRight" activeCell="B1" activeCellId="0" sqref="B1"/>
      <selection pane="bottomLeft" activeCell="A6" activeCellId="0" sqref="A6"/>
      <selection pane="bottomRight" activeCell="A24" activeCellId="0" sqref="A24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40.42"/>
    <col collapsed="false" customWidth="true" hidden="false" outlineLevel="0" max="2" min="2" style="1" width="8.28"/>
    <col collapsed="false" customWidth="true" hidden="false" outlineLevel="0" max="5" min="3" style="1" width="9.28"/>
    <col collapsed="false" customWidth="true" hidden="false" outlineLevel="0" max="21" min="6" style="1" width="8.7"/>
    <col collapsed="false" customWidth="false" hidden="false" outlineLevel="0" max="22" min="22" style="4" width="9.14"/>
    <col collapsed="false" customWidth="true" hidden="false" outlineLevel="0" max="24" min="23" style="4" width="10.85"/>
    <col collapsed="false" customWidth="true" hidden="false" outlineLevel="0" max="25" min="25" style="4" width="4.7"/>
    <col collapsed="false" customWidth="false" hidden="false" outlineLevel="0" max="257" min="26" style="4" width="9.14"/>
  </cols>
  <sheetData>
    <row r="2" customFormat="false" ht="18" hidden="false" customHeight="false" outlineLevel="0" collapsed="false">
      <c r="A2" s="291" t="s">
        <v>179</v>
      </c>
      <c r="B2" s="272"/>
      <c r="C2" s="272"/>
      <c r="D2" s="272"/>
      <c r="E2" s="272"/>
      <c r="F2" s="272"/>
      <c r="G2" s="272"/>
      <c r="H2" s="272"/>
      <c r="I2" s="272"/>
      <c r="J2" s="272"/>
      <c r="K2" s="272"/>
      <c r="L2" s="272"/>
      <c r="M2" s="272"/>
      <c r="N2" s="272"/>
      <c r="O2" s="272"/>
      <c r="P2" s="272"/>
      <c r="Q2" s="272"/>
      <c r="R2" s="272"/>
      <c r="S2" s="272"/>
      <c r="T2" s="272"/>
      <c r="U2" s="272"/>
      <c r="V2" s="292"/>
      <c r="W2" s="292"/>
    </row>
    <row r="3" customFormat="false" ht="12.75" hidden="false" customHeight="false" outlineLevel="0" collapsed="false">
      <c r="A3" s="293"/>
      <c r="B3" s="294"/>
      <c r="C3" s="294"/>
      <c r="D3" s="294"/>
      <c r="E3" s="294"/>
      <c r="F3" s="294"/>
      <c r="G3" s="295"/>
      <c r="H3" s="294"/>
      <c r="I3" s="294"/>
      <c r="J3" s="294"/>
      <c r="K3" s="294"/>
      <c r="L3" s="294"/>
      <c r="M3" s="295"/>
      <c r="N3" s="294"/>
      <c r="O3" s="294"/>
      <c r="P3" s="294"/>
      <c r="Q3" s="294"/>
      <c r="R3" s="294"/>
      <c r="S3" s="295"/>
      <c r="T3" s="294"/>
      <c r="U3" s="294"/>
      <c r="V3" s="296"/>
      <c r="W3" s="296"/>
    </row>
    <row r="4" customFormat="false" ht="12.75" hidden="false" customHeight="false" outlineLevel="0" collapsed="false">
      <c r="A4" s="248"/>
      <c r="B4" s="297" t="n">
        <v>3</v>
      </c>
      <c r="C4" s="297" t="n">
        <v>4</v>
      </c>
      <c r="D4" s="297" t="n">
        <v>5</v>
      </c>
      <c r="E4" s="298" t="n">
        <v>6</v>
      </c>
      <c r="F4" s="297" t="n">
        <v>7</v>
      </c>
      <c r="G4" s="297" t="n">
        <v>8</v>
      </c>
      <c r="H4" s="297" t="n">
        <v>9</v>
      </c>
      <c r="I4" s="297" t="n">
        <v>10</v>
      </c>
      <c r="J4" s="297" t="n">
        <v>11</v>
      </c>
      <c r="K4" s="298" t="n">
        <v>12</v>
      </c>
      <c r="L4" s="297" t="n">
        <v>13</v>
      </c>
      <c r="M4" s="297" t="n">
        <v>14</v>
      </c>
      <c r="N4" s="297" t="n">
        <v>15</v>
      </c>
      <c r="O4" s="297" t="n">
        <v>16</v>
      </c>
      <c r="P4" s="297" t="n">
        <v>17</v>
      </c>
      <c r="Q4" s="298" t="n">
        <v>18</v>
      </c>
      <c r="R4" s="297" t="n">
        <v>19</v>
      </c>
      <c r="S4" s="297" t="n">
        <v>20</v>
      </c>
      <c r="T4" s="297" t="n">
        <v>21</v>
      </c>
      <c r="U4" s="297" t="n">
        <v>22</v>
      </c>
      <c r="V4" s="299"/>
      <c r="W4" s="296"/>
    </row>
    <row r="5" customFormat="false" ht="13.5" hidden="false" customHeight="false" outlineLevel="0" collapsed="false">
      <c r="A5" s="154" t="s">
        <v>103</v>
      </c>
      <c r="B5" s="155" t="n">
        <v>2001</v>
      </c>
      <c r="C5" s="155" t="n">
        <v>2002</v>
      </c>
      <c r="D5" s="155" t="n">
        <v>2003</v>
      </c>
      <c r="E5" s="155" t="n">
        <v>2004</v>
      </c>
      <c r="F5" s="155" t="n">
        <v>2005</v>
      </c>
      <c r="G5" s="155" t="n">
        <v>2006</v>
      </c>
      <c r="H5" s="155" t="n">
        <v>2007</v>
      </c>
      <c r="I5" s="155" t="n">
        <v>2008</v>
      </c>
      <c r="J5" s="155" t="n">
        <v>2009</v>
      </c>
      <c r="K5" s="155" t="n">
        <v>2010</v>
      </c>
      <c r="L5" s="155" t="n">
        <v>2011</v>
      </c>
      <c r="M5" s="155" t="n">
        <v>2012</v>
      </c>
      <c r="N5" s="155" t="n">
        <v>2013</v>
      </c>
      <c r="O5" s="155" t="n">
        <v>2014</v>
      </c>
      <c r="P5" s="155" t="n">
        <v>2015</v>
      </c>
      <c r="Q5" s="155" t="n">
        <v>2016</v>
      </c>
      <c r="R5" s="155" t="n">
        <v>2017</v>
      </c>
      <c r="S5" s="155" t="n">
        <v>2018</v>
      </c>
      <c r="T5" s="155" t="n">
        <v>2019</v>
      </c>
      <c r="U5" s="155" t="n">
        <v>2020</v>
      </c>
    </row>
    <row r="6" customFormat="false" ht="12.75" hidden="false" customHeight="false" outlineLevel="0" collapsed="false">
      <c r="A6" s="248"/>
      <c r="B6" s="300"/>
      <c r="C6" s="156"/>
      <c r="D6" s="156"/>
      <c r="E6" s="156"/>
      <c r="F6" s="156"/>
      <c r="G6" s="156"/>
      <c r="H6" s="156"/>
      <c r="I6" s="156"/>
      <c r="J6" s="156"/>
      <c r="K6" s="156"/>
      <c r="L6" s="156"/>
      <c r="M6" s="156"/>
      <c r="N6" s="156"/>
      <c r="O6" s="156"/>
      <c r="P6" s="156"/>
      <c r="Q6" s="156"/>
      <c r="R6" s="156"/>
      <c r="S6" s="156"/>
      <c r="T6" s="156"/>
      <c r="U6" s="156"/>
      <c r="V6" s="156"/>
      <c r="W6" s="156"/>
      <c r="X6" s="156"/>
    </row>
    <row r="7" customFormat="false" ht="12.75" hidden="false" customHeight="false" outlineLevel="0" collapsed="false">
      <c r="A7" s="301" t="s">
        <v>180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302"/>
      <c r="W7" s="302"/>
    </row>
    <row r="8" customFormat="false" ht="13.5" hidden="false" customHeight="false" outlineLevel="0" collapsed="false">
      <c r="A8" s="40" t="s">
        <v>181</v>
      </c>
      <c r="B8" s="303" t="n">
        <f aca="false">SUM(Wheatland!B100,Wilton!B91,Gleason!B97)</f>
        <v>1791.66921219888</v>
      </c>
      <c r="C8" s="303" t="n">
        <f aca="false">SUM(Wheatland!C100,Wilton!C91,Gleason!C97)</f>
        <v>485.540212692667</v>
      </c>
      <c r="D8" s="303" t="n">
        <f aca="false">SUM(Wheatland!D100,Wilton!D91,Gleason!D97)</f>
        <v>790.677774680996</v>
      </c>
      <c r="E8" s="303" t="n">
        <f aca="false">SUM(Wheatland!E100,Wilton!E91,Gleason!E97)</f>
        <v>1324.98595264897</v>
      </c>
      <c r="F8" s="303" t="n">
        <f aca="false">SUM(Wheatland!F100,Wilton!F91,Gleason!F97)</f>
        <v>2186.70524720954</v>
      </c>
      <c r="G8" s="303" t="n">
        <f aca="false">SUM(Wheatland!G100,Wilton!G91,Gleason!G97)</f>
        <v>2995.72130071919</v>
      </c>
      <c r="H8" s="303" t="n">
        <f aca="false">SUM(Wheatland!H100,Wilton!H91,Gleason!H97)</f>
        <v>3362.46624995727</v>
      </c>
      <c r="I8" s="303" t="n">
        <f aca="false">SUM(Wheatland!I100,Wilton!I91,Gleason!I97)</f>
        <v>3569.24438131222</v>
      </c>
      <c r="J8" s="303" t="n">
        <f aca="false">SUM(Wheatland!J100,Wilton!J91,Gleason!J97)</f>
        <v>3818.77568951385</v>
      </c>
      <c r="K8" s="303" t="n">
        <f aca="false">SUM(Wheatland!K100,Wilton!K91,Gleason!K97)</f>
        <v>4072.11686884445</v>
      </c>
      <c r="L8" s="303" t="n">
        <f aca="false">SUM(Wheatland!L100,Wilton!L91,Gleason!L97)</f>
        <v>4366.85064110603</v>
      </c>
      <c r="M8" s="303" t="n">
        <f aca="false">SUM(Wheatland!M100,Wilton!M91,Gleason!M97)</f>
        <v>4752.21279742248</v>
      </c>
      <c r="N8" s="303" t="n">
        <f aca="false">SUM(Wheatland!N100,Wilton!N91,Gleason!N97)</f>
        <v>5140.11238075906</v>
      </c>
      <c r="O8" s="303" t="n">
        <f aca="false">SUM(Wheatland!O100,Wilton!O91,Gleason!O97)</f>
        <v>5536.43606828085</v>
      </c>
      <c r="P8" s="303" t="n">
        <f aca="false">SUM(Wheatland!P100,Wilton!P91,Gleason!P97)</f>
        <v>5921.71966437037</v>
      </c>
      <c r="Q8" s="303" t="n">
        <f aca="false">SUM(Wheatland!Q100,Wilton!Q91,Gleason!Q97)</f>
        <v>7795.35048769415</v>
      </c>
      <c r="R8" s="303" t="n">
        <f aca="false">SUM(Wheatland!R100,Wilton!R91,Gleason!R97)</f>
        <v>9650.54371860571</v>
      </c>
      <c r="S8" s="303" t="n">
        <f aca="false">SUM(Wheatland!S100,Wilton!S91,Gleason!S97)</f>
        <v>10047.4048422753</v>
      </c>
      <c r="T8" s="303" t="n">
        <f aca="false">SUM(Wheatland!T100,Wilton!T91,Gleason!T97)</f>
        <v>10411.3407583419</v>
      </c>
      <c r="U8" s="303" t="n">
        <f aca="false">SUM(Wheatland!U100,Wilton!U91,Gleason!U97)</f>
        <v>10776.7215347115</v>
      </c>
      <c r="V8" s="304"/>
      <c r="W8" s="160" t="n">
        <f aca="false">SUM(B8:U8)</f>
        <v>98796.5957833454</v>
      </c>
      <c r="X8" s="256" t="n">
        <f aca="false">SUM(Gleason!W97,Wheatland!W100,Wilton!W91)</f>
        <v>98796.5957833454</v>
      </c>
      <c r="Y8" s="152" t="n">
        <f aca="false">W8-X8</f>
        <v>0</v>
      </c>
    </row>
    <row r="9" customFormat="false" ht="12.75" hidden="false" customHeight="false" outlineLevel="0" collapsed="false">
      <c r="A9" s="40"/>
      <c r="B9" s="160"/>
      <c r="C9" s="160"/>
      <c r="D9" s="160"/>
      <c r="E9" s="160"/>
      <c r="F9" s="160"/>
      <c r="G9" s="160"/>
      <c r="H9" s="160"/>
      <c r="I9" s="160"/>
      <c r="J9" s="160"/>
      <c r="K9" s="160"/>
      <c r="L9" s="160"/>
      <c r="M9" s="160"/>
      <c r="N9" s="160"/>
      <c r="O9" s="160"/>
      <c r="P9" s="160"/>
      <c r="Q9" s="160"/>
      <c r="R9" s="160"/>
      <c r="S9" s="160"/>
      <c r="T9" s="160"/>
      <c r="U9" s="160"/>
      <c r="V9" s="304"/>
      <c r="W9" s="304"/>
    </row>
    <row r="10" customFormat="false" ht="12.75" hidden="false" customHeight="false" outlineLevel="0" collapsed="false">
      <c r="A10" s="24"/>
      <c r="B10" s="172"/>
      <c r="C10" s="172"/>
      <c r="D10" s="172"/>
      <c r="E10" s="172"/>
      <c r="F10" s="172"/>
      <c r="G10" s="172"/>
      <c r="H10" s="172"/>
      <c r="I10" s="172"/>
      <c r="J10" s="172"/>
      <c r="K10" s="172"/>
      <c r="L10" s="172"/>
      <c r="M10" s="172"/>
      <c r="N10" s="172"/>
      <c r="O10" s="172"/>
      <c r="P10" s="172"/>
      <c r="Q10" s="172"/>
      <c r="R10" s="172"/>
      <c r="S10" s="172"/>
      <c r="T10" s="172"/>
      <c r="U10" s="172"/>
      <c r="V10" s="305"/>
      <c r="W10" s="305"/>
    </row>
    <row r="11" customFormat="false" ht="12.75" hidden="false" customHeight="false" outlineLevel="0" collapsed="false">
      <c r="A11" s="301" t="s">
        <v>182</v>
      </c>
      <c r="B11" s="172"/>
      <c r="C11" s="172"/>
      <c r="D11" s="172"/>
      <c r="E11" s="172"/>
      <c r="F11" s="172"/>
      <c r="G11" s="172"/>
      <c r="H11" s="172"/>
      <c r="I11" s="172"/>
      <c r="J11" s="172"/>
      <c r="K11" s="172"/>
      <c r="L11" s="172"/>
      <c r="M11" s="172"/>
      <c r="N11" s="172"/>
      <c r="O11" s="172"/>
      <c r="P11" s="172"/>
      <c r="Q11" s="172"/>
      <c r="R11" s="172"/>
      <c r="S11" s="172"/>
      <c r="T11" s="172"/>
      <c r="U11" s="172"/>
      <c r="V11" s="305"/>
      <c r="W11" s="305"/>
    </row>
    <row r="12" customFormat="false" ht="12.75" hidden="false" customHeight="false" outlineLevel="0" collapsed="false">
      <c r="A12" s="24" t="s">
        <v>183</v>
      </c>
      <c r="B12" s="172" t="n">
        <f aca="false">IS!B35</f>
        <v>39413.1950899969</v>
      </c>
      <c r="C12" s="172" t="n">
        <f aca="false">IS!C35</f>
        <v>44407.7698856311</v>
      </c>
      <c r="D12" s="172" t="n">
        <f aca="false">IS!D35</f>
        <v>49784.4816233817</v>
      </c>
      <c r="E12" s="172" t="n">
        <f aca="false">IS!E35</f>
        <v>55571.6042327752</v>
      </c>
      <c r="F12" s="172" t="n">
        <f aca="false">IS!F35</f>
        <v>62329.759599459</v>
      </c>
      <c r="G12" s="172" t="n">
        <f aca="false">IS!G35</f>
        <v>65045.402063494</v>
      </c>
      <c r="H12" s="172" t="n">
        <f aca="false">IS!H35</f>
        <v>67940.1402628245</v>
      </c>
      <c r="I12" s="172" t="n">
        <f aca="false">IS!I35</f>
        <v>70920.0845997141</v>
      </c>
      <c r="J12" s="172" t="n">
        <f aca="false">IS!J35</f>
        <v>74354.4942763579</v>
      </c>
      <c r="K12" s="172" t="n">
        <f aca="false">IS!K35</f>
        <v>77971.0830351532</v>
      </c>
      <c r="L12" s="172" t="n">
        <f aca="false">IS!L35</f>
        <v>82144.7012603353</v>
      </c>
      <c r="M12" s="172" t="n">
        <f aca="false">IS!M35</f>
        <v>87727.6661929649</v>
      </c>
      <c r="N12" s="172" t="n">
        <f aca="false">IS!N35</f>
        <v>93156.4982789493</v>
      </c>
      <c r="O12" s="172" t="n">
        <f aca="false">IS!O35</f>
        <v>98897.4261831669</v>
      </c>
      <c r="P12" s="172" t="n">
        <f aca="false">IS!P35</f>
        <v>104278.268477015</v>
      </c>
      <c r="Q12" s="172" t="n">
        <f aca="false">IS!Q35</f>
        <v>110447.47494609</v>
      </c>
      <c r="R12" s="172" t="n">
        <f aca="false">IS!R35</f>
        <v>116268.173320077</v>
      </c>
      <c r="S12" s="172" t="n">
        <f aca="false">IS!S35</f>
        <v>121905.372968916</v>
      </c>
      <c r="T12" s="172" t="n">
        <f aca="false">IS!T35</f>
        <v>127074.340348024</v>
      </c>
      <c r="U12" s="172" t="n">
        <f aca="false">IS!U35</f>
        <v>132263.661625663</v>
      </c>
      <c r="V12" s="305"/>
      <c r="W12" s="160" t="n">
        <f aca="false">SUM(B12:U12)</f>
        <v>1681901.59826999</v>
      </c>
      <c r="X12" s="256" t="n">
        <f aca="false">SUM(Wheatland!W84,Wilton!W77,Gleason!W83)</f>
        <v>1681901.59826999</v>
      </c>
      <c r="Y12" s="152" t="n">
        <f aca="false">W12-X12</f>
        <v>0</v>
      </c>
    </row>
    <row r="13" customFormat="false" ht="12.75" hidden="false" customHeight="false" outlineLevel="0" collapsed="false">
      <c r="A13" s="24" t="s">
        <v>184</v>
      </c>
      <c r="B13" s="172" t="n">
        <f aca="false">IS!B29</f>
        <v>24065.8907044705</v>
      </c>
      <c r="C13" s="172" t="n">
        <f aca="false">IS!C29</f>
        <v>24065.8907044705</v>
      </c>
      <c r="D13" s="172" t="n">
        <f aca="false">IS!D29</f>
        <v>24065.8907044705</v>
      </c>
      <c r="E13" s="172" t="n">
        <f aca="false">IS!E29</f>
        <v>24065.8907044705</v>
      </c>
      <c r="F13" s="172" t="n">
        <f aca="false">IS!F29</f>
        <v>24065.8907044705</v>
      </c>
      <c r="G13" s="172" t="n">
        <f aca="false">IS!G29</f>
        <v>24065.8907044705</v>
      </c>
      <c r="H13" s="172" t="n">
        <f aca="false">IS!H29</f>
        <v>24065.8907044705</v>
      </c>
      <c r="I13" s="172" t="n">
        <f aca="false">IS!I29</f>
        <v>24065.8907044705</v>
      </c>
      <c r="J13" s="172" t="n">
        <f aca="false">IS!J29</f>
        <v>24065.8907044705</v>
      </c>
      <c r="K13" s="172" t="n">
        <f aca="false">IS!K29</f>
        <v>24065.8907044705</v>
      </c>
      <c r="L13" s="172" t="n">
        <f aca="false">IS!L29</f>
        <v>24065.8907044705</v>
      </c>
      <c r="M13" s="172" t="n">
        <f aca="false">IS!M29</f>
        <v>24065.8907044705</v>
      </c>
      <c r="N13" s="172" t="n">
        <f aca="false">IS!N29</f>
        <v>24065.8907044705</v>
      </c>
      <c r="O13" s="172" t="n">
        <f aca="false">IS!O29</f>
        <v>24065.8907044705</v>
      </c>
      <c r="P13" s="172" t="n">
        <f aca="false">IS!P29</f>
        <v>24065.8907044705</v>
      </c>
      <c r="Q13" s="172" t="n">
        <f aca="false">IS!Q29</f>
        <v>24065.8907044705</v>
      </c>
      <c r="R13" s="172" t="n">
        <f aca="false">IS!R29</f>
        <v>24065.8907044705</v>
      </c>
      <c r="S13" s="172" t="n">
        <f aca="false">IS!S29</f>
        <v>24065.8907044705</v>
      </c>
      <c r="T13" s="172" t="n">
        <f aca="false">IS!T29</f>
        <v>24065.8907044705</v>
      </c>
      <c r="U13" s="172" t="n">
        <f aca="false">IS!U29</f>
        <v>24065.8907044705</v>
      </c>
      <c r="V13" s="305"/>
      <c r="W13" s="160" t="n">
        <f aca="false">SUM(B13:U13)</f>
        <v>481317.814089411</v>
      </c>
      <c r="X13" s="256" t="n">
        <f aca="false">SUM(Wheatland!W85,Wilton!W78,Gleason!W84)</f>
        <v>481317.814089411</v>
      </c>
      <c r="Y13" s="152" t="n">
        <f aca="false">W13-X13</f>
        <v>0</v>
      </c>
    </row>
    <row r="14" customFormat="false" ht="12.75" hidden="false" customHeight="false" outlineLevel="0" collapsed="false">
      <c r="A14" s="24" t="s">
        <v>185</v>
      </c>
      <c r="B14" s="172" t="n">
        <f aca="false">-Depreciation!C62</f>
        <v>-40109.8178407842</v>
      </c>
      <c r="C14" s="172" t="n">
        <f aca="false">-Depreciation!D62</f>
        <v>-76208.65389749</v>
      </c>
      <c r="D14" s="172" t="n">
        <f aca="false">-Depreciation!E62</f>
        <v>-68587.788507741</v>
      </c>
      <c r="E14" s="172" t="n">
        <f aca="false">-Depreciation!F62</f>
        <v>-61769.1194748077</v>
      </c>
      <c r="F14" s="172" t="n">
        <f aca="false">-Depreciation!G62</f>
        <v>-55592.2075273269</v>
      </c>
      <c r="G14" s="172" t="n">
        <f aca="false">-Depreciation!H62</f>
        <v>-49976.8330296172</v>
      </c>
      <c r="H14" s="172" t="n">
        <f aca="false">-Depreciation!I62</f>
        <v>-47329.5850521254</v>
      </c>
      <c r="I14" s="172" t="n">
        <f aca="false">-Depreciation!J62</f>
        <v>-47409.804687807</v>
      </c>
      <c r="J14" s="172" t="n">
        <f aca="false">-Depreciation!K62</f>
        <v>-47329.5850521254</v>
      </c>
      <c r="K14" s="172" t="n">
        <f aca="false">-Depreciation!L62</f>
        <v>-47409.804687807</v>
      </c>
      <c r="L14" s="172" t="n">
        <f aca="false">-Depreciation!M62</f>
        <v>-47329.5850521254</v>
      </c>
      <c r="M14" s="172" t="n">
        <f aca="false">-Depreciation!N62</f>
        <v>-47409.804687807</v>
      </c>
      <c r="N14" s="172" t="n">
        <f aca="false">-Depreciation!O62</f>
        <v>-47329.5850521254</v>
      </c>
      <c r="O14" s="172" t="n">
        <f aca="false">-Depreciation!P62</f>
        <v>-47409.804687807</v>
      </c>
      <c r="P14" s="172" t="n">
        <f aca="false">-Depreciation!Q62</f>
        <v>-47329.5850521254</v>
      </c>
      <c r="Q14" s="172" t="n">
        <f aca="false">-Depreciation!R62</f>
        <v>-23664.7925260627</v>
      </c>
      <c r="R14" s="172" t="n">
        <f aca="false">-Depreciation!S62</f>
        <v>-0</v>
      </c>
      <c r="S14" s="172" t="n">
        <f aca="false">-Depreciation!T62</f>
        <v>-0</v>
      </c>
      <c r="T14" s="172" t="n">
        <f aca="false">-Depreciation!U62</f>
        <v>-0</v>
      </c>
      <c r="U14" s="172" t="n">
        <f aca="false">-Depreciation!V62</f>
        <v>-0</v>
      </c>
      <c r="V14" s="305"/>
      <c r="W14" s="160" t="n">
        <f aca="false">SUM(B14:U14)</f>
        <v>-802196.356815685</v>
      </c>
      <c r="X14" s="256" t="n">
        <f aca="false">SUM(Wheatland!W86,Wilton!W79,Gleason!W85)</f>
        <v>-802196.356815685</v>
      </c>
      <c r="Y14" s="152" t="n">
        <f aca="false">W14-X14</f>
        <v>0</v>
      </c>
    </row>
    <row r="15" customFormat="false" ht="15" hidden="false" customHeight="false" outlineLevel="0" collapsed="false">
      <c r="A15" s="24" t="s">
        <v>186</v>
      </c>
      <c r="B15" s="197" t="n">
        <f aca="false">-B8</f>
        <v>-1791.66921219888</v>
      </c>
      <c r="C15" s="197" t="n">
        <f aca="false">-C8</f>
        <v>-485.540212692667</v>
      </c>
      <c r="D15" s="197" t="n">
        <f aca="false">-D8</f>
        <v>-790.677774680996</v>
      </c>
      <c r="E15" s="197" t="n">
        <f aca="false">-E8</f>
        <v>-1324.98595264897</v>
      </c>
      <c r="F15" s="197" t="n">
        <f aca="false">-F8</f>
        <v>-2186.70524720954</v>
      </c>
      <c r="G15" s="197" t="n">
        <f aca="false">-G8</f>
        <v>-2995.72130071919</v>
      </c>
      <c r="H15" s="197" t="n">
        <f aca="false">-H8</f>
        <v>-3362.46624995727</v>
      </c>
      <c r="I15" s="197" t="n">
        <f aca="false">-I8</f>
        <v>-3569.24438131222</v>
      </c>
      <c r="J15" s="197" t="n">
        <f aca="false">-J8</f>
        <v>-3818.77568951385</v>
      </c>
      <c r="K15" s="197" t="n">
        <f aca="false">-K8</f>
        <v>-4072.11686884445</v>
      </c>
      <c r="L15" s="197" t="n">
        <f aca="false">-L8</f>
        <v>-4366.85064110603</v>
      </c>
      <c r="M15" s="197" t="n">
        <f aca="false">-M8</f>
        <v>-4752.21279742248</v>
      </c>
      <c r="N15" s="197" t="n">
        <f aca="false">-N8</f>
        <v>-5140.11238075906</v>
      </c>
      <c r="O15" s="197" t="n">
        <f aca="false">-O8</f>
        <v>-5536.43606828085</v>
      </c>
      <c r="P15" s="197" t="n">
        <f aca="false">-P8</f>
        <v>-5921.71966437037</v>
      </c>
      <c r="Q15" s="197" t="n">
        <f aca="false">-Q8</f>
        <v>-7795.35048769415</v>
      </c>
      <c r="R15" s="197" t="n">
        <f aca="false">-R8</f>
        <v>-9650.54371860571</v>
      </c>
      <c r="S15" s="197" t="n">
        <f aca="false">-S8</f>
        <v>-10047.4048422753</v>
      </c>
      <c r="T15" s="197" t="n">
        <f aca="false">-T8</f>
        <v>-10411.3407583419</v>
      </c>
      <c r="U15" s="197" t="n">
        <f aca="false">-U8</f>
        <v>-10776.7215347115</v>
      </c>
      <c r="V15" s="306"/>
      <c r="W15" s="160" t="n">
        <f aca="false">SUM(B15:U15)</f>
        <v>-98796.5957833454</v>
      </c>
      <c r="X15" s="256" t="n">
        <f aca="false">SUM(Gleason!W97,Wheatland!W100,Wilton!W91)</f>
        <v>98796.5957833454</v>
      </c>
      <c r="Y15" s="152" t="n">
        <f aca="false">X15+W15</f>
        <v>0</v>
      </c>
    </row>
    <row r="16" customFormat="false" ht="12.75" hidden="false" customHeight="false" outlineLevel="0" collapsed="false">
      <c r="A16" s="307" t="s">
        <v>187</v>
      </c>
      <c r="B16" s="160" t="n">
        <f aca="false">SUM(B12:B15)</f>
        <v>21577.5987414843</v>
      </c>
      <c r="C16" s="160" t="n">
        <f aca="false">SUM(C12:C15)</f>
        <v>-8220.53352008103</v>
      </c>
      <c r="D16" s="160" t="n">
        <f aca="false">SUM(D12:D15)</f>
        <v>4471.9060454302</v>
      </c>
      <c r="E16" s="160" t="n">
        <f aca="false">SUM(E12:E15)</f>
        <v>16543.389509789</v>
      </c>
      <c r="F16" s="160" t="n">
        <f aca="false">SUM(F12:F15)</f>
        <v>28616.7375293931</v>
      </c>
      <c r="G16" s="160" t="n">
        <f aca="false">SUM(G12:G15)</f>
        <v>36138.7384376282</v>
      </c>
      <c r="H16" s="160" t="n">
        <f aca="false">SUM(H12:H15)</f>
        <v>41313.9796652124</v>
      </c>
      <c r="I16" s="160" t="n">
        <f aca="false">SUM(I12:I15)</f>
        <v>44006.9262350654</v>
      </c>
      <c r="J16" s="160" t="n">
        <f aca="false">SUM(J12:J15)</f>
        <v>47272.0242391892</v>
      </c>
      <c r="K16" s="160" t="n">
        <f aca="false">SUM(K12:K15)</f>
        <v>50555.0521829723</v>
      </c>
      <c r="L16" s="160" t="n">
        <f aca="false">SUM(L12:L15)</f>
        <v>54514.1562715744</v>
      </c>
      <c r="M16" s="160" t="n">
        <f aca="false">SUM(M12:M15)</f>
        <v>59631.539412206</v>
      </c>
      <c r="N16" s="160" t="n">
        <f aca="false">SUM(N12:N15)</f>
        <v>64752.6915505354</v>
      </c>
      <c r="O16" s="160" t="n">
        <f aca="false">SUM(O12:O15)</f>
        <v>70017.0761315496</v>
      </c>
      <c r="P16" s="160" t="n">
        <f aca="false">SUM(P12:P15)</f>
        <v>75092.8544649895</v>
      </c>
      <c r="Q16" s="160" t="n">
        <f aca="false">SUM(Q12:Q15)</f>
        <v>103053.222636804</v>
      </c>
      <c r="R16" s="160" t="n">
        <f aca="false">SUM(R12:R15)</f>
        <v>130683.520305942</v>
      </c>
      <c r="S16" s="160" t="n">
        <f aca="false">SUM(S12:S15)</f>
        <v>135923.858831112</v>
      </c>
      <c r="T16" s="160" t="n">
        <f aca="false">SUM(T12:T15)</f>
        <v>140728.890294153</v>
      </c>
      <c r="U16" s="160" t="n">
        <f aca="false">SUM(U12:U15)</f>
        <v>145552.830795422</v>
      </c>
      <c r="V16" s="304"/>
      <c r="W16" s="160"/>
      <c r="X16" s="256"/>
      <c r="Y16" s="152"/>
    </row>
    <row r="17" customFormat="false" ht="12.75" hidden="false" customHeight="false" outlineLevel="0" collapsed="false">
      <c r="A17" s="307"/>
      <c r="B17" s="160"/>
      <c r="C17" s="160"/>
      <c r="D17" s="160"/>
      <c r="E17" s="160"/>
      <c r="F17" s="160"/>
      <c r="G17" s="160"/>
      <c r="H17" s="160"/>
      <c r="I17" s="160"/>
      <c r="J17" s="160"/>
      <c r="K17" s="160"/>
      <c r="L17" s="160"/>
      <c r="M17" s="160"/>
      <c r="N17" s="160"/>
      <c r="O17" s="160"/>
      <c r="P17" s="160"/>
      <c r="Q17" s="160"/>
      <c r="R17" s="160"/>
      <c r="S17" s="160"/>
      <c r="T17" s="160"/>
      <c r="U17" s="160"/>
      <c r="V17" s="304"/>
      <c r="W17" s="304"/>
    </row>
    <row r="18" customFormat="false" ht="12.75" hidden="false" customHeight="false" outlineLevel="0" collapsed="false">
      <c r="A18" s="24" t="s">
        <v>188</v>
      </c>
      <c r="B18" s="308" t="n">
        <f aca="false">Assumptions!$G$37</f>
        <v>0.35</v>
      </c>
      <c r="C18" s="308" t="n">
        <f aca="false">Assumptions!$G$37</f>
        <v>0.35</v>
      </c>
      <c r="D18" s="308" t="n">
        <f aca="false">Assumptions!$G$37</f>
        <v>0.35</v>
      </c>
      <c r="E18" s="308" t="n">
        <f aca="false">Assumptions!$G$37</f>
        <v>0.35</v>
      </c>
      <c r="F18" s="308" t="n">
        <f aca="false">Assumptions!$G$37</f>
        <v>0.35</v>
      </c>
      <c r="G18" s="308" t="n">
        <f aca="false">Assumptions!$G$37</f>
        <v>0.35</v>
      </c>
      <c r="H18" s="308" t="n">
        <f aca="false">Assumptions!$G$37</f>
        <v>0.35</v>
      </c>
      <c r="I18" s="308" t="n">
        <f aca="false">Assumptions!$G$37</f>
        <v>0.35</v>
      </c>
      <c r="J18" s="308" t="n">
        <f aca="false">Assumptions!$G$37</f>
        <v>0.35</v>
      </c>
      <c r="K18" s="308" t="n">
        <f aca="false">Assumptions!$G$37</f>
        <v>0.35</v>
      </c>
      <c r="L18" s="308" t="n">
        <f aca="false">Assumptions!$G$37</f>
        <v>0.35</v>
      </c>
      <c r="M18" s="308" t="n">
        <f aca="false">Assumptions!$G$37</f>
        <v>0.35</v>
      </c>
      <c r="N18" s="308" t="n">
        <f aca="false">Assumptions!$G$37</f>
        <v>0.35</v>
      </c>
      <c r="O18" s="308" t="n">
        <f aca="false">Assumptions!$G$37</f>
        <v>0.35</v>
      </c>
      <c r="P18" s="308" t="n">
        <f aca="false">Assumptions!$G$37</f>
        <v>0.35</v>
      </c>
      <c r="Q18" s="308" t="n">
        <f aca="false">Assumptions!$G$37</f>
        <v>0.35</v>
      </c>
      <c r="R18" s="308" t="n">
        <f aca="false">Assumptions!$G$37</f>
        <v>0.35</v>
      </c>
      <c r="S18" s="308" t="n">
        <f aca="false">Assumptions!$G$37</f>
        <v>0.35</v>
      </c>
      <c r="T18" s="308" t="n">
        <f aca="false">Assumptions!$G$37</f>
        <v>0.35</v>
      </c>
      <c r="U18" s="308" t="n">
        <f aca="false">Assumptions!$G$37</f>
        <v>0.35</v>
      </c>
      <c r="V18" s="309"/>
      <c r="W18" s="309"/>
    </row>
    <row r="19" customFormat="false" ht="12.75" hidden="false" customHeight="false" outlineLevel="0" collapsed="false">
      <c r="A19" s="307" t="s">
        <v>189</v>
      </c>
      <c r="B19" s="160" t="n">
        <f aca="false">B16*B18</f>
        <v>7552.15955951951</v>
      </c>
      <c r="C19" s="160" t="n">
        <f aca="false">C16*C18</f>
        <v>-2877.18673202836</v>
      </c>
      <c r="D19" s="160" t="n">
        <f aca="false">D16*D18</f>
        <v>1565.16711590057</v>
      </c>
      <c r="E19" s="160" t="n">
        <f aca="false">E16*E18</f>
        <v>5790.18632842616</v>
      </c>
      <c r="F19" s="160" t="n">
        <f aca="false">F16*F18</f>
        <v>10015.8581352876</v>
      </c>
      <c r="G19" s="160" t="n">
        <f aca="false">G16*G18</f>
        <v>12648.5584531699</v>
      </c>
      <c r="H19" s="160" t="n">
        <f aca="false">H16*H18</f>
        <v>14459.8928828243</v>
      </c>
      <c r="I19" s="160" t="n">
        <f aca="false">I16*I18</f>
        <v>15402.4241822729</v>
      </c>
      <c r="J19" s="160" t="n">
        <f aca="false">J16*J18</f>
        <v>16545.2084837162</v>
      </c>
      <c r="K19" s="160" t="n">
        <f aca="false">K16*K18</f>
        <v>17694.2682640403</v>
      </c>
      <c r="L19" s="160" t="n">
        <f aca="false">L16*L18</f>
        <v>19079.954695051</v>
      </c>
      <c r="M19" s="160" t="n">
        <f aca="false">M16*M18</f>
        <v>20871.0387942721</v>
      </c>
      <c r="N19" s="160" t="n">
        <f aca="false">N16*N18</f>
        <v>22663.4420426874</v>
      </c>
      <c r="O19" s="160" t="n">
        <f aca="false">O16*O18</f>
        <v>24505.9766460424</v>
      </c>
      <c r="P19" s="160" t="n">
        <f aca="false">P16*P18</f>
        <v>26282.4990627463</v>
      </c>
      <c r="Q19" s="160" t="n">
        <f aca="false">Q16*Q18</f>
        <v>36068.6279228813</v>
      </c>
      <c r="R19" s="160" t="n">
        <f aca="false">R16*R18</f>
        <v>45739.2321070796</v>
      </c>
      <c r="S19" s="160" t="n">
        <f aca="false">S16*S18</f>
        <v>47573.3505908891</v>
      </c>
      <c r="T19" s="160" t="n">
        <f aca="false">T16*T18</f>
        <v>49255.1116029535</v>
      </c>
      <c r="U19" s="160" t="n">
        <f aca="false">U16*U18</f>
        <v>50943.4907783976</v>
      </c>
      <c r="V19" s="305"/>
      <c r="W19" s="305"/>
    </row>
    <row r="20" customFormat="false" ht="12.75" hidden="false" customHeight="false" outlineLevel="0" collapsed="false">
      <c r="A20" s="12"/>
      <c r="B20" s="172"/>
      <c r="C20" s="172"/>
      <c r="D20" s="172"/>
      <c r="E20" s="172"/>
      <c r="F20" s="172"/>
      <c r="G20" s="172"/>
      <c r="H20" s="172"/>
      <c r="I20" s="172"/>
      <c r="J20" s="172"/>
      <c r="K20" s="172"/>
      <c r="L20" s="172"/>
      <c r="M20" s="172"/>
      <c r="N20" s="172"/>
      <c r="O20" s="172"/>
      <c r="P20" s="172"/>
      <c r="Q20" s="172"/>
      <c r="R20" s="172"/>
      <c r="S20" s="172"/>
      <c r="T20" s="172"/>
      <c r="U20" s="172"/>
      <c r="V20" s="305"/>
      <c r="W20" s="305"/>
    </row>
    <row r="21" customFormat="false" ht="12.75" hidden="false" customHeight="false" outlineLevel="0" collapsed="false">
      <c r="A21" s="12" t="s">
        <v>190</v>
      </c>
      <c r="B21" s="172" t="n">
        <f aca="false">IF(B19&lt;0,-B19,0)</f>
        <v>0</v>
      </c>
      <c r="C21" s="172" t="n">
        <f aca="false">IF(C19&lt;0,-C19+B21-B22,B21-B22)</f>
        <v>2877.18673202836</v>
      </c>
      <c r="D21" s="172" t="n">
        <f aca="false">IF(D19&lt;0,-D19+C21-C22,C21-C22)</f>
        <v>2877.18673202836</v>
      </c>
      <c r="E21" s="172" t="n">
        <f aca="false">IF(E19&lt;0,-E19+D21-D22,D21-D22)</f>
        <v>1312.01961612779</v>
      </c>
      <c r="F21" s="172" t="n">
        <f aca="false">IF(F19&lt;0,-F19+E21-E22,E21-E22)</f>
        <v>0</v>
      </c>
      <c r="G21" s="172" t="n">
        <f aca="false">IF(G19&lt;0,-G19+F21-F22,F21-F22)</f>
        <v>0</v>
      </c>
      <c r="H21" s="172" t="n">
        <f aca="false">IF(H19&lt;0,-H19+G21-G22,G21-G22)</f>
        <v>0</v>
      </c>
      <c r="I21" s="172" t="n">
        <f aca="false">IF(I19&lt;0,-I19+H21-H22,H21-H22)</f>
        <v>0</v>
      </c>
      <c r="J21" s="172" t="n">
        <f aca="false">IF(J19&lt;0,-J19+I21-I22,I21-I22)</f>
        <v>0</v>
      </c>
      <c r="K21" s="172" t="n">
        <f aca="false">IF(K19&lt;0,-K19+J21-J22,J21-J22)</f>
        <v>0</v>
      </c>
      <c r="L21" s="172" t="n">
        <f aca="false">IF(L19&lt;0,-L19+K21-K22,K21-K22)</f>
        <v>0</v>
      </c>
      <c r="M21" s="172" t="n">
        <f aca="false">IF(M19&lt;0,-M19+L21-L22,L21-L22)</f>
        <v>0</v>
      </c>
      <c r="N21" s="172" t="n">
        <f aca="false">IF(N19&lt;0,-N19+M21-M22,M21-M22)</f>
        <v>0</v>
      </c>
      <c r="O21" s="172" t="n">
        <f aca="false">IF(O19&lt;0,-O19+N21-N22,N21-N22)</f>
        <v>0</v>
      </c>
      <c r="P21" s="172" t="n">
        <f aca="false">IF(P19&lt;0,-P19+O21-O22,O21-O22)</f>
        <v>0</v>
      </c>
      <c r="Q21" s="172" t="n">
        <f aca="false">IF(Q19&lt;0,-Q19+P21-P22,P21-P22)</f>
        <v>0</v>
      </c>
      <c r="R21" s="172" t="n">
        <f aca="false">IF(R19&lt;0,-R19+Q21-Q22,Q21-Q22)</f>
        <v>0</v>
      </c>
      <c r="S21" s="172" t="n">
        <f aca="false">IF(S19&lt;0,-S19+R21-R22,R21-R22)</f>
        <v>0</v>
      </c>
      <c r="T21" s="172" t="n">
        <f aca="false">IF(T19&lt;0,-T19+S21-S22,S21-S22)</f>
        <v>0</v>
      </c>
      <c r="U21" s="172" t="n">
        <f aca="false">IF(U19&lt;0,-U19+T21-T22,T21-T22)</f>
        <v>0</v>
      </c>
      <c r="V21" s="305"/>
      <c r="W21" s="305"/>
    </row>
    <row r="22" customFormat="false" ht="12.75" hidden="false" customHeight="false" outlineLevel="0" collapsed="false">
      <c r="A22" s="12" t="s">
        <v>191</v>
      </c>
      <c r="B22" s="172" t="n">
        <f aca="false">IF(B19&lt;0,0,IF(B21&gt;B19,B19,B21))</f>
        <v>0</v>
      </c>
      <c r="C22" s="172" t="n">
        <f aca="false">IF(C19&lt;0,0,IF(C21&gt;C19,C19,C21))</f>
        <v>0</v>
      </c>
      <c r="D22" s="172" t="n">
        <f aca="false">IF(D19&lt;0,0,IF(D21&gt;D19,D19,D21))</f>
        <v>1565.16711590057</v>
      </c>
      <c r="E22" s="172" t="n">
        <f aca="false">IF(E19&lt;0,0,IF(E21&gt;E19,E19,E21))</f>
        <v>1312.01961612779</v>
      </c>
      <c r="F22" s="172" t="n">
        <f aca="false">IF(F19&lt;0,0,IF(F21&gt;F19,F19,F21))</f>
        <v>0</v>
      </c>
      <c r="G22" s="172" t="n">
        <f aca="false">IF(G19&lt;0,0,IF(G21&gt;G19,G19,G21))</f>
        <v>0</v>
      </c>
      <c r="H22" s="172" t="n">
        <f aca="false">IF(H19&lt;0,0,IF(H21&gt;H19,H19,H21))</f>
        <v>0</v>
      </c>
      <c r="I22" s="172" t="n">
        <f aca="false">IF(I19&lt;0,0,IF(I21&gt;I19,I19,I21))</f>
        <v>0</v>
      </c>
      <c r="J22" s="172" t="n">
        <f aca="false">IF(J19&lt;0,0,IF(J21&gt;J19,J19,J21))</f>
        <v>0</v>
      </c>
      <c r="K22" s="172" t="n">
        <f aca="false">IF(K19&lt;0,0,IF(K21&gt;K19,K19,K21))</f>
        <v>0</v>
      </c>
      <c r="L22" s="172" t="n">
        <f aca="false">IF(L19&lt;0,0,IF(L21&gt;L19,L19,L21))</f>
        <v>0</v>
      </c>
      <c r="M22" s="172" t="n">
        <f aca="false">IF(M19&lt;0,0,IF(M21&gt;M19,M19,M21))</f>
        <v>0</v>
      </c>
      <c r="N22" s="172" t="n">
        <f aca="false">IF(N19&lt;0,0,IF(N21&gt;N19,N19,N21))</f>
        <v>0</v>
      </c>
      <c r="O22" s="172" t="n">
        <f aca="false">IF(O19&lt;0,0,IF(O21&gt;O19,O19,O21))</f>
        <v>0</v>
      </c>
      <c r="P22" s="172" t="n">
        <f aca="false">IF(P19&lt;0,0,IF(P21&gt;P19,P19,P21))</f>
        <v>0</v>
      </c>
      <c r="Q22" s="172" t="n">
        <f aca="false">IF(Q19&lt;0,0,IF(Q21&gt;Q19,Q19,Q21))</f>
        <v>0</v>
      </c>
      <c r="R22" s="172" t="n">
        <f aca="false">IF(R19&lt;0,0,IF(R21&gt;R19,R19,R21))</f>
        <v>0</v>
      </c>
      <c r="S22" s="172" t="n">
        <f aca="false">IF(S19&lt;0,0,IF(S21&gt;S19,S19,S21))</f>
        <v>0</v>
      </c>
      <c r="T22" s="172" t="n">
        <f aca="false">IF(T19&lt;0,0,IF(T21&gt;T19,T19,T21))</f>
        <v>0</v>
      </c>
      <c r="U22" s="172" t="n">
        <f aca="false">IF(U19&lt;0,0,IF(U21&gt;U19,U19,U21))</f>
        <v>0</v>
      </c>
      <c r="V22" s="310"/>
      <c r="W22" s="310"/>
    </row>
    <row r="23" customFormat="false" ht="12.75" hidden="false" customHeight="false" outlineLevel="0" collapsed="false">
      <c r="A23" s="12"/>
      <c r="B23" s="172"/>
      <c r="C23" s="172"/>
      <c r="D23" s="172"/>
      <c r="E23" s="172"/>
      <c r="F23" s="172"/>
      <c r="G23" s="172"/>
      <c r="H23" s="172"/>
      <c r="I23" s="172"/>
      <c r="J23" s="172"/>
      <c r="K23" s="172"/>
      <c r="L23" s="172"/>
      <c r="M23" s="172"/>
      <c r="N23" s="172"/>
      <c r="O23" s="172"/>
      <c r="P23" s="172"/>
      <c r="Q23" s="172"/>
      <c r="R23" s="172"/>
      <c r="S23" s="172"/>
      <c r="T23" s="172"/>
      <c r="U23" s="172"/>
      <c r="V23" s="305"/>
      <c r="W23" s="305"/>
    </row>
    <row r="24" customFormat="false" ht="13.5" hidden="false" customHeight="false" outlineLevel="0" collapsed="false">
      <c r="A24" s="40" t="s">
        <v>192</v>
      </c>
      <c r="B24" s="311" t="n">
        <f aca="false">IF(B19&lt;0,0,(B19-B22))</f>
        <v>7552.15955951951</v>
      </c>
      <c r="C24" s="311" t="n">
        <f aca="false">IF(C19&lt;0,0,(C19-C22))</f>
        <v>0</v>
      </c>
      <c r="D24" s="311" t="n">
        <f aca="false">IF(D19&lt;0,0,(D19-D22))</f>
        <v>0</v>
      </c>
      <c r="E24" s="311" t="n">
        <f aca="false">IF(E19&lt;0,0,(E19-E22))</f>
        <v>4478.16671229837</v>
      </c>
      <c r="F24" s="311" t="n">
        <f aca="false">IF(F19&lt;0,0,(F19-F22))</f>
        <v>10015.8581352876</v>
      </c>
      <c r="G24" s="311" t="n">
        <f aca="false">IF(G19&lt;0,0,(G19-G22))</f>
        <v>12648.5584531699</v>
      </c>
      <c r="H24" s="311" t="n">
        <f aca="false">IF(H19&lt;0,0,(H19-H22))</f>
        <v>14459.8928828243</v>
      </c>
      <c r="I24" s="311" t="n">
        <f aca="false">IF(I19&lt;0,0,(I19-I22))</f>
        <v>15402.4241822729</v>
      </c>
      <c r="J24" s="311" t="n">
        <f aca="false">IF(J19&lt;0,0,(J19-J22))</f>
        <v>16545.2084837162</v>
      </c>
      <c r="K24" s="311" t="n">
        <f aca="false">IF(K19&lt;0,0,(K19-K22))</f>
        <v>17694.2682640403</v>
      </c>
      <c r="L24" s="311" t="n">
        <f aca="false">IF(L19&lt;0,0,(L19-L22))</f>
        <v>19079.954695051</v>
      </c>
      <c r="M24" s="311" t="n">
        <f aca="false">IF(M19&lt;0,0,(M19-M22))</f>
        <v>20871.0387942721</v>
      </c>
      <c r="N24" s="311" t="n">
        <f aca="false">IF(N19&lt;0,0,(N19-N22))</f>
        <v>22663.4420426874</v>
      </c>
      <c r="O24" s="311" t="n">
        <f aca="false">IF(O19&lt;0,0,(O19-O22))</f>
        <v>24505.9766460424</v>
      </c>
      <c r="P24" s="311" t="n">
        <f aca="false">IF(P19&lt;0,0,(P19-P22))</f>
        <v>26282.4990627463</v>
      </c>
      <c r="Q24" s="311" t="n">
        <f aca="false">IF(Q19&lt;0,0,(Q19-Q22))</f>
        <v>36068.6279228813</v>
      </c>
      <c r="R24" s="311" t="n">
        <f aca="false">IF(R19&lt;0,0,(R19-R22))</f>
        <v>45739.2321070796</v>
      </c>
      <c r="S24" s="311" t="n">
        <f aca="false">IF(S19&lt;0,0,(S19-S22))</f>
        <v>47573.3505908891</v>
      </c>
      <c r="T24" s="311" t="n">
        <f aca="false">IF(T19&lt;0,0,(T19-T22))</f>
        <v>49255.1116029535</v>
      </c>
      <c r="U24" s="311" t="n">
        <f aca="false">IF(U19&lt;0,0,(U19-U22))</f>
        <v>50943.4907783976</v>
      </c>
      <c r="V24" s="304"/>
      <c r="W24" s="160" t="n">
        <f aca="false">SUM(B24:U24)</f>
        <v>441779.260916129</v>
      </c>
      <c r="X24" s="256" t="n">
        <f aca="false">SUM(Gleason!W56,Wheatland!W56,Wilton!W56)</f>
        <v>-441779.260916129</v>
      </c>
      <c r="Y24" s="152" t="n">
        <f aca="false">X24+W24</f>
        <v>0</v>
      </c>
    </row>
    <row r="25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&amp;L&amp;12Enron's Generation&amp;RCONFIDENTIAL</oddHeader>
    <oddFooter>&amp;L&amp;D&amp;C&amp;F&amp;RPage &amp;P</oddFooter>
  </headerFooter>
  <colBreaks count="1" manualBreakCount="1">
    <brk id="11" man="true" max="65535" min="0"/>
  </colBreak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97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1" ySplit="5" topLeftCell="B6" activePane="bottomRight" state="frozen"/>
      <selection pane="topLeft" activeCell="A1" activeCellId="0" sqref="A1"/>
      <selection pane="topRight" activeCell="B1" activeCellId="0" sqref="B1"/>
      <selection pane="bottomLeft" activeCell="A6" activeCellId="0" sqref="A6"/>
      <selection pane="bottomRight" activeCell="B6" activeCellId="0" sqref="B6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4" width="48.7"/>
    <col collapsed="false" customWidth="true" hidden="false" outlineLevel="0" max="21" min="2" style="4" width="10.71"/>
    <col collapsed="false" customWidth="false" hidden="false" outlineLevel="0" max="22" min="22" style="93" width="9.14"/>
    <col collapsed="false" customWidth="true" hidden="false" outlineLevel="0" max="23" min="23" style="93" width="12.28"/>
    <col collapsed="false" customWidth="false" hidden="false" outlineLevel="0" max="257" min="24" style="93" width="9.14"/>
  </cols>
  <sheetData>
    <row r="1" customFormat="false" ht="12.75" hidden="false" customHeight="false" outlineLevel="0" collapsed="false">
      <c r="E1" s="172"/>
      <c r="F1" s="172"/>
      <c r="G1" s="172"/>
      <c r="H1" s="172"/>
      <c r="I1" s="172"/>
      <c r="J1" s="172"/>
      <c r="K1" s="172"/>
      <c r="L1" s="172"/>
      <c r="M1" s="172"/>
      <c r="N1" s="172"/>
      <c r="O1" s="172"/>
      <c r="P1" s="172"/>
      <c r="Q1" s="172"/>
      <c r="R1" s="172"/>
      <c r="S1" s="172"/>
      <c r="T1" s="172"/>
      <c r="U1" s="172"/>
    </row>
    <row r="2" customFormat="false" ht="18" hidden="false" customHeight="false" outlineLevel="0" collapsed="false">
      <c r="A2" s="149" t="s">
        <v>193</v>
      </c>
      <c r="B2" s="312"/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  <c r="P2" s="153"/>
      <c r="Q2" s="153"/>
      <c r="R2" s="153"/>
      <c r="S2" s="153"/>
      <c r="T2" s="153"/>
      <c r="U2" s="153"/>
    </row>
    <row r="5" customFormat="false" ht="13.5" hidden="false" customHeight="false" outlineLevel="0" collapsed="false">
      <c r="A5" s="154" t="s">
        <v>103</v>
      </c>
      <c r="B5" s="155" t="n">
        <v>2001</v>
      </c>
      <c r="C5" s="155" t="n">
        <v>2002</v>
      </c>
      <c r="D5" s="155" t="n">
        <v>2003</v>
      </c>
      <c r="E5" s="155" t="n">
        <v>2004</v>
      </c>
      <c r="F5" s="155" t="n">
        <v>2005</v>
      </c>
      <c r="G5" s="155" t="n">
        <v>2006</v>
      </c>
      <c r="H5" s="155" t="n">
        <v>2007</v>
      </c>
      <c r="I5" s="155" t="n">
        <v>2008</v>
      </c>
      <c r="J5" s="155" t="n">
        <v>2009</v>
      </c>
      <c r="K5" s="155" t="n">
        <v>2010</v>
      </c>
      <c r="L5" s="155" t="n">
        <v>2011</v>
      </c>
      <c r="M5" s="155" t="n">
        <v>2012</v>
      </c>
      <c r="N5" s="155" t="n">
        <v>2013</v>
      </c>
      <c r="O5" s="155" t="n">
        <v>2014</v>
      </c>
      <c r="P5" s="155" t="n">
        <v>2015</v>
      </c>
      <c r="Q5" s="155" t="n">
        <v>2016</v>
      </c>
      <c r="R5" s="155" t="n">
        <v>2017</v>
      </c>
      <c r="S5" s="155" t="n">
        <v>2018</v>
      </c>
      <c r="T5" s="155" t="n">
        <v>2019</v>
      </c>
      <c r="U5" s="155" t="n">
        <v>2020</v>
      </c>
    </row>
    <row r="6" customFormat="false" ht="12.75" hidden="false" customHeight="false" outlineLevel="0" collapsed="false">
      <c r="A6" s="159"/>
      <c r="B6" s="160"/>
      <c r="C6" s="160"/>
      <c r="D6" s="160"/>
      <c r="E6" s="160"/>
      <c r="F6" s="160"/>
      <c r="G6" s="160"/>
      <c r="H6" s="160"/>
      <c r="I6" s="160"/>
      <c r="J6" s="160"/>
      <c r="K6" s="160"/>
      <c r="L6" s="160"/>
      <c r="M6" s="160"/>
      <c r="N6" s="160"/>
      <c r="O6" s="160"/>
      <c r="P6" s="160"/>
      <c r="Q6" s="160"/>
      <c r="R6" s="160"/>
      <c r="S6" s="160"/>
      <c r="T6" s="160"/>
      <c r="U6" s="160"/>
    </row>
    <row r="7" customFormat="false" ht="12.75" hidden="false" customHeight="false" outlineLevel="0" collapsed="false">
      <c r="A7" s="163" t="s">
        <v>104</v>
      </c>
      <c r="B7" s="152"/>
      <c r="C7" s="152"/>
      <c r="D7" s="152"/>
      <c r="E7" s="152"/>
      <c r="F7" s="152"/>
      <c r="G7" s="152"/>
      <c r="H7" s="152"/>
      <c r="I7" s="152"/>
      <c r="J7" s="152"/>
      <c r="K7" s="152"/>
      <c r="L7" s="152"/>
      <c r="M7" s="152"/>
      <c r="N7" s="152"/>
      <c r="O7" s="152"/>
      <c r="P7" s="152"/>
      <c r="Q7" s="152"/>
      <c r="R7" s="152"/>
      <c r="S7" s="152"/>
      <c r="T7" s="152"/>
      <c r="U7" s="152"/>
      <c r="V7" s="313"/>
      <c r="W7" s="313"/>
      <c r="X7" s="313"/>
      <c r="Y7" s="157" t="n">
        <f aca="false">SUM(Z7:AS7)-SUM(Z8:AS8)</f>
        <v>0</v>
      </c>
      <c r="Z7" s="158" t="n">
        <f aca="false">B10</f>
        <v>939.347052568736</v>
      </c>
      <c r="AA7" s="158" t="n">
        <f aca="false">C10</f>
        <v>967.527464145798</v>
      </c>
      <c r="AB7" s="158" t="n">
        <f aca="false">D10</f>
        <v>996.553288070172</v>
      </c>
      <c r="AC7" s="158" t="n">
        <f aca="false">E10</f>
        <v>1026.44988671228</v>
      </c>
      <c r="AD7" s="158" t="n">
        <f aca="false">F10</f>
        <v>1057.24338331365</v>
      </c>
      <c r="AE7" s="158" t="n">
        <f aca="false">G10</f>
        <v>1088.96068481306</v>
      </c>
      <c r="AF7" s="158" t="n">
        <f aca="false">H10</f>
        <v>1121.62950535745</v>
      </c>
      <c r="AG7" s="158" t="n">
        <f aca="false">I10</f>
        <v>1155.27839051817</v>
      </c>
      <c r="AH7" s="158" t="n">
        <f aca="false">J10</f>
        <v>1189.93674223372</v>
      </c>
      <c r="AI7" s="158" t="n">
        <f aca="false">K10</f>
        <v>1225.63484450073</v>
      </c>
      <c r="AJ7" s="158" t="n">
        <f aca="false">L10</f>
        <v>1262.40388983575</v>
      </c>
      <c r="AK7" s="158" t="n">
        <f aca="false">M10</f>
        <v>1300.27600653082</v>
      </c>
      <c r="AL7" s="158" t="n">
        <f aca="false">N10</f>
        <v>1339.28428672675</v>
      </c>
      <c r="AM7" s="158" t="n">
        <f aca="false">O10</f>
        <v>1379.46281532855</v>
      </c>
      <c r="AN7" s="158" t="n">
        <f aca="false">P10</f>
        <v>1420.8466997884</v>
      </c>
      <c r="AO7" s="158" t="n">
        <f aca="false">Q10</f>
        <v>1463.47210078206</v>
      </c>
      <c r="AP7" s="158" t="n">
        <f aca="false">R10</f>
        <v>1507.37626380552</v>
      </c>
      <c r="AQ7" s="158" t="n">
        <f aca="false">S10</f>
        <v>1552.59755171968</v>
      </c>
      <c r="AR7" s="158" t="n">
        <f aca="false">T10</f>
        <v>1599.17547827127</v>
      </c>
      <c r="AS7" s="158" t="n">
        <f aca="false">U10</f>
        <v>1647.15074261941</v>
      </c>
    </row>
    <row r="8" customFormat="false" ht="12.75" hidden="false" customHeight="false" outlineLevel="0" collapsed="false">
      <c r="A8" s="165" t="s">
        <v>105</v>
      </c>
      <c r="W8" s="164"/>
      <c r="X8" s="1"/>
      <c r="Y8" s="314" t="n">
        <v>0</v>
      </c>
      <c r="Z8" s="315" t="n">
        <f aca="false">B17+1/3*B18</f>
        <v>939.347052568736</v>
      </c>
      <c r="AA8" s="315" t="n">
        <f aca="false">C17+1/3*C18</f>
        <v>967.527464145798</v>
      </c>
      <c r="AB8" s="315" t="n">
        <f aca="false">D17+1/3*D18</f>
        <v>996.553288070172</v>
      </c>
      <c r="AC8" s="315" t="n">
        <f aca="false">E17+1/3*E18</f>
        <v>1026.44988671228</v>
      </c>
      <c r="AD8" s="315" t="n">
        <f aca="false">F17+1/3*F18</f>
        <v>1057.24338331365</v>
      </c>
      <c r="AE8" s="315" t="n">
        <f aca="false">G17+1/3*G18</f>
        <v>1088.96068481306</v>
      </c>
      <c r="AF8" s="315" t="n">
        <f aca="false">H17+1/3*H18</f>
        <v>1121.62950535745</v>
      </c>
      <c r="AG8" s="315" t="n">
        <f aca="false">I17+1/3*I18</f>
        <v>1155.27839051817</v>
      </c>
      <c r="AH8" s="315" t="n">
        <f aca="false">J17+1/3*J18</f>
        <v>1189.93674223372</v>
      </c>
      <c r="AI8" s="315" t="n">
        <f aca="false">K17+1/3*K18</f>
        <v>1225.63484450073</v>
      </c>
      <c r="AJ8" s="315" t="n">
        <f aca="false">L17+1/3*L18</f>
        <v>1262.40388983575</v>
      </c>
      <c r="AK8" s="315" t="n">
        <f aca="false">M17+1/3*M18</f>
        <v>1300.27600653082</v>
      </c>
      <c r="AL8" s="315" t="n">
        <f aca="false">N17+1/3*N18</f>
        <v>1339.28428672675</v>
      </c>
      <c r="AM8" s="315" t="n">
        <f aca="false">O17+1/3*O18</f>
        <v>1379.46281532855</v>
      </c>
      <c r="AN8" s="315" t="n">
        <f aca="false">P17+1/3*P18</f>
        <v>1420.8466997884</v>
      </c>
      <c r="AO8" s="315" t="n">
        <f aca="false">Q17+1/3*Q18</f>
        <v>1463.47210078206</v>
      </c>
      <c r="AP8" s="315" t="n">
        <f aca="false">R17+1/3*R18</f>
        <v>1507.37626380552</v>
      </c>
      <c r="AQ8" s="315" t="n">
        <f aca="false">S17+1/3*S18</f>
        <v>1552.59755171968</v>
      </c>
      <c r="AR8" s="315" t="n">
        <f aca="false">T17+1/3*T18</f>
        <v>1599.17547827127</v>
      </c>
      <c r="AS8" s="315" t="n">
        <f aca="false">U17+1/3*U18</f>
        <v>1647.15074261941</v>
      </c>
    </row>
    <row r="9" customFormat="false" ht="12.75" hidden="false" customHeight="false" outlineLevel="0" collapsed="false">
      <c r="A9" s="169" t="s">
        <v>106</v>
      </c>
      <c r="B9" s="172" t="n">
        <f aca="false">'Power Price Assumption'!C20*Assumptions!$C$9*12</f>
        <v>33979.2995525485</v>
      </c>
      <c r="C9" s="172" t="n">
        <f aca="false">'Power Price Assumption'!D20*Assumptions!$C$9*12</f>
        <v>35664.2099695139</v>
      </c>
      <c r="D9" s="172" t="n">
        <f aca="false">'Power Price Assumption'!E20*Assumptions!$C$9*12</f>
        <v>37432.6689925596</v>
      </c>
      <c r="E9" s="172" t="n">
        <f aca="false">'Power Price Assumption'!F20*Assumptions!$C$9*12</f>
        <v>39288.8194945099</v>
      </c>
      <c r="F9" s="172" t="n">
        <f aca="false">'Power Price Assumption'!G20*Assumptions!$C$9*12</f>
        <v>41237.0097782502</v>
      </c>
      <c r="G9" s="172" t="n">
        <f aca="false">'Power Price Assumption'!H20*Assumptions!$C$9*12</f>
        <v>41765.8210791373</v>
      </c>
      <c r="H9" s="172" t="n">
        <f aca="false">'Power Price Assumption'!I20*Assumptions!$C$9*12</f>
        <v>42301.4137008196</v>
      </c>
      <c r="I9" s="172" t="n">
        <f aca="false">'Power Price Assumption'!J20*Assumptions!$C$9*12</f>
        <v>42843.8746049633</v>
      </c>
      <c r="J9" s="172" t="n">
        <f aca="false">'Power Price Assumption'!K20*Assumptions!$C$9*12</f>
        <v>43393.2918684051</v>
      </c>
      <c r="K9" s="172" t="n">
        <f aca="false">'Power Price Assumption'!L20*Assumptions!$C$9*12</f>
        <v>43949.7546974536</v>
      </c>
      <c r="L9" s="172" t="n">
        <f aca="false">'Power Price Assumption'!M20*Assumptions!$C$9*12</f>
        <v>44781.378776474</v>
      </c>
      <c r="M9" s="172" t="n">
        <f aca="false">'Power Price Assumption'!N20*Assumptions!$C$9*12</f>
        <v>45628.7389753788</v>
      </c>
      <c r="N9" s="172" t="n">
        <f aca="false">'Power Price Assumption'!O20*Assumptions!$C$9*12</f>
        <v>46492.1330554705</v>
      </c>
      <c r="O9" s="172" t="n">
        <f aca="false">'Power Price Assumption'!P20*Assumptions!$C$9*12</f>
        <v>47371.8644123372</v>
      </c>
      <c r="P9" s="172" t="n">
        <f aca="false">'Power Price Assumption'!Q20*Assumptions!$C$9*12</f>
        <v>48268.2421824656</v>
      </c>
      <c r="Q9" s="172" t="n">
        <f aca="false">'Power Price Assumption'!R20*Assumptions!$C$9*12</f>
        <v>48956.9052609577</v>
      </c>
      <c r="R9" s="172" t="n">
        <f aca="false">'Power Price Assumption'!S20*Assumptions!$C$9*12</f>
        <v>49655.3937818988</v>
      </c>
      <c r="S9" s="172" t="n">
        <f aca="false">'Power Price Assumption'!T20*Assumptions!$C$9*12</f>
        <v>50363.8479289613</v>
      </c>
      <c r="T9" s="172" t="n">
        <f aca="false">'Power Price Assumption'!U20*Assumptions!$C$9*12</f>
        <v>51082.409885876</v>
      </c>
      <c r="U9" s="172" t="n">
        <f aca="false">'Power Price Assumption'!V20*Assumptions!$C$9*12</f>
        <v>51811.2238649685</v>
      </c>
      <c r="V9" s="316"/>
      <c r="W9" s="164" t="n">
        <f aca="false">SUM(B9:U9)</f>
        <v>886268.301862949</v>
      </c>
      <c r="X9" s="1"/>
      <c r="Y9" s="157"/>
      <c r="Z9" s="161" t="n">
        <f aca="false">Z7-Z8</f>
        <v>0</v>
      </c>
      <c r="AA9" s="161" t="n">
        <f aca="false">AA7-AA8</f>
        <v>0</v>
      </c>
      <c r="AB9" s="161" t="n">
        <f aca="false">AB7-AB8</f>
        <v>0</v>
      </c>
      <c r="AC9" s="161" t="n">
        <f aca="false">AC7-AC8</f>
        <v>0</v>
      </c>
      <c r="AD9" s="161" t="n">
        <f aca="false">AD7-AD8</f>
        <v>0</v>
      </c>
      <c r="AE9" s="161" t="n">
        <f aca="false">AE7-AE8</f>
        <v>0</v>
      </c>
      <c r="AF9" s="161" t="n">
        <f aca="false">AF7-AF8</f>
        <v>0</v>
      </c>
      <c r="AG9" s="161" t="n">
        <f aca="false">AG7-AG8</f>
        <v>0</v>
      </c>
      <c r="AH9" s="161" t="n">
        <f aca="false">AH7-AH8</f>
        <v>0</v>
      </c>
      <c r="AI9" s="161" t="n">
        <f aca="false">AI7-AI8</f>
        <v>0</v>
      </c>
      <c r="AJ9" s="161" t="n">
        <f aca="false">AJ7-AJ8</f>
        <v>0</v>
      </c>
      <c r="AK9" s="161" t="n">
        <f aca="false">AK7-AK8</f>
        <v>0</v>
      </c>
      <c r="AL9" s="161" t="n">
        <f aca="false">AL7-AL8</f>
        <v>0</v>
      </c>
      <c r="AM9" s="161" t="n">
        <f aca="false">AM7-AM8</f>
        <v>0</v>
      </c>
      <c r="AN9" s="161" t="n">
        <f aca="false">AN7-AN8</f>
        <v>0</v>
      </c>
      <c r="AO9" s="161" t="n">
        <f aca="false">AO7-AO8</f>
        <v>0</v>
      </c>
      <c r="AP9" s="161" t="n">
        <f aca="false">AP7-AP8</f>
        <v>0</v>
      </c>
      <c r="AQ9" s="161" t="n">
        <f aca="false">AQ7-AQ8</f>
        <v>0</v>
      </c>
      <c r="AR9" s="161" t="n">
        <f aca="false">AR7-AR8</f>
        <v>0</v>
      </c>
      <c r="AS9" s="161" t="n">
        <f aca="false">AS7-AS8</f>
        <v>0</v>
      </c>
    </row>
    <row r="10" customFormat="false" ht="12.75" hidden="false" customHeight="false" outlineLevel="0" collapsed="false">
      <c r="A10" s="169" t="s">
        <v>107</v>
      </c>
      <c r="B10" s="153" t="n">
        <f aca="false">1/3*Assumptions!$C$18*Assumptions!$C$11*Assumptions!$C$8/1000*(1+Assumptions!$C$25)^(B5-2000)+Assumptions!$C$19*Assumptions!$C$17*(1+Assumptions!$C$25)^(B5-2000)/1000</f>
        <v>939.347052568736</v>
      </c>
      <c r="C10" s="153" t="n">
        <f aca="false">1/3*Assumptions!$C$18*Assumptions!$C$11*Assumptions!$C$8/1000*(1+Assumptions!$C$25)^(C5-2000)+Assumptions!$C$19*Assumptions!$C$17*(1+Assumptions!$C$25)^(C5-2000)/1000</f>
        <v>967.527464145798</v>
      </c>
      <c r="D10" s="153" t="n">
        <f aca="false">1/3*Assumptions!$C$18*Assumptions!$C$11*Assumptions!$C$8/1000*(1+Assumptions!$C$25)^(D5-2000)+Assumptions!$C$19*Assumptions!$C$17*(1+Assumptions!$C$25)^(D5-2000)/1000</f>
        <v>996.553288070172</v>
      </c>
      <c r="E10" s="153" t="n">
        <f aca="false">1/3*Assumptions!$C$18*Assumptions!$C$11*Assumptions!$C$8/1000*(1+Assumptions!$C$25)^(E5-2000)+Assumptions!$C$19*Assumptions!$C$17*(1+Assumptions!$C$25)^(E5-2000)/1000</f>
        <v>1026.44988671228</v>
      </c>
      <c r="F10" s="153" t="n">
        <f aca="false">1/3*Assumptions!$C$18*Assumptions!$C$11*Assumptions!$C$8/1000*(1+Assumptions!$C$25)^(F5-2000)+Assumptions!$C$19*Assumptions!$C$17*(1+Assumptions!$C$25)^(F5-2000)/1000</f>
        <v>1057.24338331365</v>
      </c>
      <c r="G10" s="153" t="n">
        <f aca="false">1/3*Assumptions!$C$18*Assumptions!$C$11*Assumptions!$C$8/1000*(1+Assumptions!$C$25)^(G5-2000)+Assumptions!$C$19*Assumptions!$C$17*(1+Assumptions!$C$25)^(G5-2000)/1000</f>
        <v>1088.96068481306</v>
      </c>
      <c r="H10" s="153" t="n">
        <f aca="false">1/3*Assumptions!$C$18*Assumptions!$C$11*Assumptions!$C$8/1000*(1+Assumptions!$C$25)^(H5-2000)+Assumptions!$C$19*Assumptions!$C$17*(1+Assumptions!$C$25)^(H5-2000)/1000</f>
        <v>1121.62950535745</v>
      </c>
      <c r="I10" s="153" t="n">
        <f aca="false">1/3*Assumptions!$C$18*Assumptions!$C$11*Assumptions!$C$8/1000*(1+Assumptions!$C$25)^(I5-2000)+Assumptions!$C$19*Assumptions!$C$17*(1+Assumptions!$C$25)^(I5-2000)/1000</f>
        <v>1155.27839051817</v>
      </c>
      <c r="J10" s="153" t="n">
        <f aca="false">1/3*Assumptions!$C$18*Assumptions!$C$11*Assumptions!$C$8/1000*(1+Assumptions!$C$25)^(J5-2000)+Assumptions!$C$19*Assumptions!$C$17*(1+Assumptions!$C$25)^(J5-2000)/1000</f>
        <v>1189.93674223372</v>
      </c>
      <c r="K10" s="153" t="n">
        <f aca="false">1/3*Assumptions!$C$18*Assumptions!$C$11*Assumptions!$C$8/1000*(1+Assumptions!$C$25)^(K5-2000)+Assumptions!$C$19*Assumptions!$C$17*(1+Assumptions!$C$25)^(K5-2000)/1000</f>
        <v>1225.63484450073</v>
      </c>
      <c r="L10" s="153" t="n">
        <f aca="false">1/3*Assumptions!$C$18*Assumptions!$C$11*Assumptions!$C$8/1000*(1+Assumptions!$C$25)^(L5-2000)+Assumptions!$C$19*Assumptions!$C$17*(1+Assumptions!$C$25)^(L5-2000)/1000</f>
        <v>1262.40388983575</v>
      </c>
      <c r="M10" s="153" t="n">
        <f aca="false">1/3*Assumptions!$C$18*Assumptions!$C$11*Assumptions!$C$8/1000*(1+Assumptions!$C$25)^(M5-2000)+Assumptions!$C$19*Assumptions!$C$17*(1+Assumptions!$C$25)^(M5-2000)/1000</f>
        <v>1300.27600653082</v>
      </c>
      <c r="N10" s="153" t="n">
        <f aca="false">1/3*Assumptions!$C$18*Assumptions!$C$11*Assumptions!$C$8/1000*(1+Assumptions!$C$25)^(N5-2000)+Assumptions!$C$19*Assumptions!$C$17*(1+Assumptions!$C$25)^(N5-2000)/1000</f>
        <v>1339.28428672675</v>
      </c>
      <c r="O10" s="153" t="n">
        <f aca="false">1/3*Assumptions!$C$18*Assumptions!$C$11*Assumptions!$C$8/1000*(1+Assumptions!$C$25)^(O5-2000)+Assumptions!$C$19*Assumptions!$C$17*(1+Assumptions!$C$25)^(O5-2000)/1000</f>
        <v>1379.46281532855</v>
      </c>
      <c r="P10" s="153" t="n">
        <f aca="false">1/3*Assumptions!$C$18*Assumptions!$C$11*Assumptions!$C$8/1000*(1+Assumptions!$C$25)^(P5-2000)+Assumptions!$C$19*Assumptions!$C$17*(1+Assumptions!$C$25)^(P5-2000)/1000</f>
        <v>1420.8466997884</v>
      </c>
      <c r="Q10" s="153" t="n">
        <f aca="false">1/3*Assumptions!$C$18*Assumptions!$C$11*Assumptions!$C$8/1000*(1+Assumptions!$C$25)^(Q5-2000)+Assumptions!$C$19*Assumptions!$C$17*(1+Assumptions!$C$25)^(Q5-2000)/1000</f>
        <v>1463.47210078206</v>
      </c>
      <c r="R10" s="153" t="n">
        <f aca="false">1/3*Assumptions!$C$18*Assumptions!$C$11*Assumptions!$C$8/1000*(1+Assumptions!$C$25)^(R5-2000)+Assumptions!$C$19*Assumptions!$C$17*(1+Assumptions!$C$25)^(R5-2000)/1000</f>
        <v>1507.37626380552</v>
      </c>
      <c r="S10" s="153" t="n">
        <f aca="false">1/3*Assumptions!$C$18*Assumptions!$C$11*Assumptions!$C$8/1000*(1+Assumptions!$C$25)^(S5-2000)+Assumptions!$C$19*Assumptions!$C$17*(1+Assumptions!$C$25)^(S5-2000)/1000</f>
        <v>1552.59755171968</v>
      </c>
      <c r="T10" s="153" t="n">
        <f aca="false">1/3*Assumptions!$C$18*Assumptions!$C$11*Assumptions!$C$8/1000*(1+Assumptions!$C$25)^(T5-2000)+Assumptions!$C$19*Assumptions!$C$17*(1+Assumptions!$C$25)^(T5-2000)/1000</f>
        <v>1599.17547827127</v>
      </c>
      <c r="U10" s="153" t="n">
        <f aca="false">1/3*Assumptions!$C$18*Assumptions!$C$11*Assumptions!$C$8/1000*(1+Assumptions!$C$25)^(U5-2000)+Assumptions!$C$19*Assumptions!$C$17*(1+Assumptions!$C$25)^(U5-2000)/1000</f>
        <v>1647.15074261941</v>
      </c>
      <c r="V10" s="316"/>
      <c r="W10" s="164" t="n">
        <f aca="false">SUM(B10:U10)</f>
        <v>25240.607077642</v>
      </c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</row>
    <row r="11" customFormat="false" ht="12.75" hidden="false" customHeight="false" outlineLevel="0" collapsed="false">
      <c r="A11" s="169"/>
      <c r="B11" s="316"/>
      <c r="C11" s="316"/>
      <c r="D11" s="316"/>
      <c r="E11" s="316"/>
      <c r="F11" s="316"/>
      <c r="G11" s="316"/>
      <c r="H11" s="316"/>
      <c r="I11" s="316"/>
      <c r="J11" s="316"/>
      <c r="K11" s="316"/>
      <c r="L11" s="316"/>
      <c r="M11" s="316"/>
      <c r="N11" s="316"/>
      <c r="O11" s="316"/>
      <c r="P11" s="316"/>
      <c r="Q11" s="316"/>
      <c r="R11" s="316"/>
      <c r="S11" s="316"/>
      <c r="T11" s="316"/>
      <c r="U11" s="316"/>
      <c r="V11" s="316"/>
      <c r="W11" s="164" t="n">
        <f aca="false">SUM(B11:U11)</f>
        <v>0</v>
      </c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</row>
    <row r="12" customFormat="false" ht="12.75" hidden="false" customHeight="false" outlineLevel="0" collapsed="false">
      <c r="A12" s="169" t="s">
        <v>108</v>
      </c>
      <c r="B12" s="260" t="n">
        <f aca="false">(SUM(B8:B10)-SUM(B16:B21))*'Summary Output'!$B$24/4</f>
        <v>391.905330242905</v>
      </c>
      <c r="C12" s="260" t="n">
        <f aca="false">(SUM(C8:C10)-SUM(C16:C21))*'Summary Output'!$B$24/4</f>
        <v>410.33010975627</v>
      </c>
      <c r="D12" s="260" t="n">
        <f aca="false">(SUM(D8:D10)-SUM(D16:D21))*'Summary Output'!$B$24/4</f>
        <v>430.868883316155</v>
      </c>
      <c r="E12" s="260" t="n">
        <f aca="false">(SUM(E8:E10)-SUM(E16:E21))*'Summary Output'!$B$24/4</f>
        <v>453.572814676982</v>
      </c>
      <c r="F12" s="260" t="n">
        <f aca="false">(SUM(F8:F10)-SUM(F16:F21))*'Summary Output'!$B$24/4</f>
        <v>477.405241804256</v>
      </c>
      <c r="G12" s="260" t="n">
        <f aca="false">(SUM(G8:G10)-SUM(G16:G21))*'Summary Output'!$B$24/4</f>
        <v>482.382395094759</v>
      </c>
      <c r="H12" s="260" t="n">
        <f aca="false">(SUM(H8:H10)-SUM(H16:H21))*'Summary Output'!$B$24/4</f>
        <v>488.511348497565</v>
      </c>
      <c r="I12" s="260" t="n">
        <f aca="false">(SUM(I8:I10)-SUM(I16:I21))*'Summary Output'!$B$24/4</f>
        <v>494.702113791569</v>
      </c>
      <c r="J12" s="260" t="n">
        <f aca="false">(SUM(J8:J10)-SUM(J16:J21))*'Summary Output'!$B$24/4</f>
        <v>500.955070688046</v>
      </c>
      <c r="K12" s="260" t="n">
        <f aca="false">(SUM(K8:K10)-SUM(K16:K21))*'Summary Output'!$B$24/4</f>
        <v>507.270591379188</v>
      </c>
      <c r="L12" s="260" t="n">
        <f aca="false">(SUM(L8:L10)-SUM(L16:L21))*'Summary Output'!$B$24/4</f>
        <v>516.9993567463</v>
      </c>
      <c r="M12" s="260" t="n">
        <f aca="false">(SUM(M8:M10)-SUM(M16:M21))*'Summary Output'!$B$24/4</f>
        <v>526.897764534826</v>
      </c>
      <c r="N12" s="260" t="n">
        <f aca="false">(SUM(N8:N10)-SUM(N16:N21))*'Summary Output'!$B$24/4</f>
        <v>532.607224988734</v>
      </c>
      <c r="O12" s="260" t="n">
        <f aca="false">(SUM(O8:O10)-SUM(O16:O21))*'Summary Output'!$B$24/4</f>
        <v>542.853694427391</v>
      </c>
      <c r="P12" s="260" t="n">
        <f aca="false">(SUM(P8:P10)-SUM(P16:P21))*'Summary Output'!$B$24/4</f>
        <v>547.826800847633</v>
      </c>
      <c r="Q12" s="260" t="n">
        <f aca="false">(SUM(Q8:Q10)-SUM(Q16:Q21))*'Summary Output'!$B$24/4</f>
        <v>562.681380330209</v>
      </c>
      <c r="R12" s="260" t="n">
        <f aca="false">(SUM(R8:R10)-SUM(R16:R21))*'Summary Output'!$B$24/4</f>
        <v>570.384939258045</v>
      </c>
      <c r="S12" s="260" t="n">
        <f aca="false">(SUM(S8:S10)-SUM(S16:S21))*'Summary Output'!$B$24/4</f>
        <v>578.177038903971</v>
      </c>
      <c r="T12" s="260" t="n">
        <f aca="false">(SUM(T8:T10)-SUM(T16:T21))*'Summary Output'!$B$24/4</f>
        <v>586.058412872923</v>
      </c>
      <c r="U12" s="260" t="n">
        <f aca="false">(SUM(U8:U10)-SUM(U16:U21))*'Summary Output'!$B$24/4</f>
        <v>594.029789560451</v>
      </c>
      <c r="V12" s="316"/>
      <c r="W12" s="164" t="n">
        <f aca="false">SUM(B12:U12)</f>
        <v>10196.4203017182</v>
      </c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</row>
    <row r="13" customFormat="false" ht="12.75" hidden="false" customHeight="false" outlineLevel="0" collapsed="false">
      <c r="A13" s="169" t="s">
        <v>109</v>
      </c>
      <c r="B13" s="172" t="n">
        <f aca="false">SUM(B8:B12)</f>
        <v>35310.5519353601</v>
      </c>
      <c r="C13" s="172" t="n">
        <f aca="false">SUM(C8:C12)</f>
        <v>37042.067543416</v>
      </c>
      <c r="D13" s="172" t="n">
        <f aca="false">SUM(D8:D12)</f>
        <v>38860.0911639459</v>
      </c>
      <c r="E13" s="172" t="n">
        <f aca="false">SUM(E8:E12)</f>
        <v>40768.8421958992</v>
      </c>
      <c r="F13" s="172" t="n">
        <f aca="false">SUM(F8:F12)</f>
        <v>42771.6584033681</v>
      </c>
      <c r="G13" s="172" t="n">
        <f aca="false">SUM(G8:G12)</f>
        <v>43337.1641590451</v>
      </c>
      <c r="H13" s="172" t="n">
        <f aca="false">SUM(H8:H12)</f>
        <v>43911.5545546746</v>
      </c>
      <c r="I13" s="172" t="n">
        <f aca="false">SUM(I8:I12)</f>
        <v>44493.855109273</v>
      </c>
      <c r="J13" s="172" t="n">
        <f aca="false">SUM(J8:J12)</f>
        <v>45084.1836813269</v>
      </c>
      <c r="K13" s="172" t="n">
        <f aca="false">SUM(K8:K12)</f>
        <v>45682.6601333335</v>
      </c>
      <c r="L13" s="172" t="n">
        <f aca="false">SUM(L8:L12)</f>
        <v>46560.7820230561</v>
      </c>
      <c r="M13" s="172" t="n">
        <f aca="false">SUM(M8:M12)</f>
        <v>47455.9127464445</v>
      </c>
      <c r="N13" s="172" t="n">
        <f aca="false">SUM(N8:N12)</f>
        <v>48364.024567186</v>
      </c>
      <c r="O13" s="172" t="n">
        <f aca="false">SUM(O8:O12)</f>
        <v>49294.1809220932</v>
      </c>
      <c r="P13" s="172" t="n">
        <f aca="false">SUM(P8:P12)</f>
        <v>50236.9156831016</v>
      </c>
      <c r="Q13" s="172" t="n">
        <f aca="false">SUM(Q8:Q12)</f>
        <v>50983.05874207</v>
      </c>
      <c r="R13" s="172" t="n">
        <f aca="false">SUM(R8:R12)</f>
        <v>51733.1549849624</v>
      </c>
      <c r="S13" s="172" t="n">
        <f aca="false">SUM(S8:S12)</f>
        <v>52494.6225195849</v>
      </c>
      <c r="T13" s="172" t="n">
        <f aca="false">SUM(T8:T12)</f>
        <v>53267.6437770202</v>
      </c>
      <c r="U13" s="172" t="n">
        <f aca="false">SUM(U8:U12)</f>
        <v>54052.4043971484</v>
      </c>
      <c r="V13" s="316"/>
      <c r="W13" s="164" t="n">
        <f aca="false">SUM(B13:U13)</f>
        <v>921705.32924231</v>
      </c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</row>
    <row r="14" customFormat="false" ht="12.75" hidden="false" customHeight="false" outlineLevel="0" collapsed="false">
      <c r="A14" s="317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316"/>
      <c r="W14" s="164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</row>
    <row r="15" customFormat="false" ht="12.75" hidden="false" customHeight="false" outlineLevel="0" collapsed="false">
      <c r="A15" s="163" t="s">
        <v>110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W15" s="164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316"/>
      <c r="AU15" s="316"/>
      <c r="AV15" s="316"/>
      <c r="AW15" s="316"/>
      <c r="AX15" s="316"/>
      <c r="AY15" s="316"/>
      <c r="AZ15" s="316"/>
      <c r="BA15" s="316"/>
      <c r="BB15" s="316"/>
      <c r="BC15" s="316"/>
      <c r="BD15" s="316"/>
      <c r="BE15" s="316"/>
      <c r="BF15" s="316"/>
      <c r="BG15" s="316"/>
      <c r="BH15" s="316"/>
      <c r="BI15" s="316"/>
      <c r="BJ15" s="316"/>
      <c r="BK15" s="316"/>
      <c r="BL15" s="316"/>
      <c r="BM15" s="316"/>
      <c r="BN15" s="316"/>
      <c r="BO15" s="316"/>
      <c r="BP15" s="316"/>
      <c r="BQ15" s="316"/>
      <c r="BR15" s="316"/>
      <c r="BS15" s="316"/>
      <c r="BT15" s="316"/>
      <c r="BU15" s="316"/>
      <c r="BV15" s="316"/>
      <c r="BW15" s="316"/>
      <c r="BX15" s="316"/>
      <c r="BY15" s="316"/>
      <c r="BZ15" s="316"/>
      <c r="CA15" s="316"/>
      <c r="CB15" s="316"/>
      <c r="CC15" s="316"/>
      <c r="CD15" s="316"/>
      <c r="CE15" s="316"/>
      <c r="CF15" s="316"/>
      <c r="CG15" s="316"/>
      <c r="CH15" s="316"/>
      <c r="CI15" s="316"/>
      <c r="CJ15" s="316"/>
      <c r="CK15" s="316"/>
      <c r="CL15" s="316"/>
      <c r="CM15" s="316"/>
      <c r="CN15" s="316"/>
      <c r="CO15" s="316"/>
      <c r="CP15" s="316"/>
      <c r="CQ15" s="316"/>
      <c r="CR15" s="316"/>
      <c r="CS15" s="316"/>
      <c r="CT15" s="316"/>
      <c r="CU15" s="316"/>
      <c r="CV15" s="316"/>
      <c r="CW15" s="316"/>
      <c r="CX15" s="316"/>
      <c r="CY15" s="316"/>
      <c r="CZ15" s="316"/>
      <c r="DA15" s="316"/>
      <c r="DB15" s="316"/>
      <c r="DC15" s="316"/>
      <c r="DD15" s="316"/>
      <c r="DE15" s="316"/>
      <c r="DF15" s="316"/>
      <c r="DG15" s="316"/>
      <c r="DH15" s="316"/>
      <c r="DI15" s="316"/>
      <c r="DJ15" s="316"/>
      <c r="DK15" s="316"/>
      <c r="DL15" s="316"/>
      <c r="DM15" s="316"/>
      <c r="DN15" s="316"/>
      <c r="DO15" s="316"/>
      <c r="DP15" s="316"/>
      <c r="DQ15" s="316"/>
      <c r="DR15" s="316"/>
      <c r="DS15" s="316"/>
      <c r="DT15" s="316"/>
      <c r="DU15" s="316"/>
      <c r="DV15" s="316"/>
      <c r="DW15" s="316"/>
      <c r="DX15" s="316"/>
      <c r="DY15" s="316"/>
      <c r="DZ15" s="316"/>
      <c r="EA15" s="316"/>
      <c r="EB15" s="316"/>
      <c r="EC15" s="316"/>
      <c r="ED15" s="316"/>
      <c r="EE15" s="316"/>
      <c r="EF15" s="316"/>
      <c r="EG15" s="316"/>
      <c r="EH15" s="316"/>
      <c r="EI15" s="316"/>
      <c r="EJ15" s="316"/>
      <c r="EK15" s="316"/>
      <c r="EL15" s="316"/>
      <c r="EM15" s="316"/>
      <c r="EN15" s="316"/>
      <c r="EO15" s="316"/>
      <c r="EP15" s="316"/>
      <c r="EQ15" s="316"/>
      <c r="ER15" s="316"/>
      <c r="ES15" s="316"/>
      <c r="ET15" s="316"/>
      <c r="EU15" s="316"/>
      <c r="EV15" s="316"/>
      <c r="EW15" s="316"/>
      <c r="EX15" s="316"/>
      <c r="EY15" s="316"/>
      <c r="EZ15" s="316"/>
      <c r="FA15" s="316"/>
      <c r="FB15" s="316"/>
      <c r="FC15" s="316"/>
      <c r="FD15" s="316"/>
      <c r="FE15" s="316"/>
      <c r="FF15" s="316"/>
      <c r="FG15" s="316"/>
      <c r="FH15" s="316"/>
      <c r="FI15" s="316"/>
      <c r="FJ15" s="316"/>
      <c r="FK15" s="316"/>
      <c r="FL15" s="316"/>
      <c r="FM15" s="316"/>
      <c r="FN15" s="316"/>
      <c r="FO15" s="316"/>
      <c r="FP15" s="316"/>
      <c r="FQ15" s="316"/>
      <c r="FR15" s="316"/>
      <c r="FS15" s="316"/>
      <c r="FT15" s="316"/>
      <c r="FU15" s="316"/>
      <c r="FV15" s="316"/>
      <c r="FW15" s="316"/>
      <c r="FX15" s="316"/>
      <c r="FY15" s="316"/>
      <c r="FZ15" s="316"/>
      <c r="GA15" s="316"/>
      <c r="GB15" s="316"/>
      <c r="GC15" s="316"/>
      <c r="GD15" s="316"/>
      <c r="GE15" s="316"/>
      <c r="GF15" s="316"/>
      <c r="GG15" s="316"/>
      <c r="GH15" s="316"/>
      <c r="GI15" s="316"/>
      <c r="GJ15" s="316"/>
      <c r="GK15" s="316"/>
      <c r="GL15" s="316"/>
      <c r="GM15" s="316"/>
      <c r="GN15" s="316"/>
      <c r="GO15" s="316"/>
      <c r="GP15" s="316"/>
      <c r="GQ15" s="316"/>
      <c r="GR15" s="316"/>
      <c r="GS15" s="316"/>
      <c r="GT15" s="316"/>
      <c r="GU15" s="316"/>
      <c r="GV15" s="316"/>
      <c r="GW15" s="316"/>
      <c r="GX15" s="316"/>
      <c r="GY15" s="316"/>
      <c r="GZ15" s="316"/>
      <c r="HA15" s="316"/>
      <c r="HB15" s="316"/>
      <c r="HC15" s="316"/>
      <c r="HD15" s="316"/>
      <c r="HE15" s="316"/>
      <c r="HF15" s="316"/>
      <c r="HG15" s="316"/>
      <c r="HH15" s="316"/>
      <c r="HI15" s="316"/>
      <c r="HJ15" s="316"/>
      <c r="HK15" s="316"/>
      <c r="HL15" s="316"/>
      <c r="HM15" s="316"/>
      <c r="HN15" s="316"/>
      <c r="HO15" s="316"/>
      <c r="HP15" s="316"/>
      <c r="HQ15" s="316"/>
      <c r="HR15" s="316"/>
      <c r="HS15" s="316"/>
      <c r="HT15" s="316"/>
      <c r="HU15" s="316"/>
      <c r="HV15" s="316"/>
      <c r="HW15" s="316"/>
      <c r="HX15" s="316"/>
      <c r="HY15" s="316"/>
      <c r="HZ15" s="316"/>
      <c r="IA15" s="316"/>
      <c r="IB15" s="316"/>
      <c r="IC15" s="316"/>
      <c r="ID15" s="316"/>
      <c r="IE15" s="316"/>
      <c r="IF15" s="316"/>
      <c r="IG15" s="316"/>
      <c r="IH15" s="316"/>
      <c r="II15" s="316"/>
      <c r="IJ15" s="316"/>
      <c r="IK15" s="316"/>
      <c r="IL15" s="316"/>
      <c r="IM15" s="316"/>
      <c r="IN15" s="316"/>
      <c r="IO15" s="316"/>
      <c r="IP15" s="316"/>
      <c r="IQ15" s="316"/>
      <c r="IR15" s="316"/>
      <c r="IS15" s="316"/>
      <c r="IT15" s="316"/>
      <c r="IU15" s="316"/>
      <c r="IV15" s="316"/>
      <c r="IW15" s="316"/>
    </row>
    <row r="16" customFormat="false" ht="12.75" hidden="false" customHeight="false" outlineLevel="0" collapsed="false">
      <c r="A16" s="169" t="s">
        <v>73</v>
      </c>
      <c r="B16" s="153" t="n">
        <f aca="false">Assumptions!C28*(1+Assumptions!$C$25)</f>
        <v>1279.75616571429</v>
      </c>
      <c r="C16" s="164" t="n">
        <f aca="false">B16*(1+Assumptions!$C$25)</f>
        <v>1318.14885068571</v>
      </c>
      <c r="D16" s="164" t="n">
        <f aca="false">C16*(1+Assumptions!$C$25)</f>
        <v>1357.69331620629</v>
      </c>
      <c r="E16" s="164" t="n">
        <f aca="false">D16*(1+Assumptions!$C$25)</f>
        <v>1398.42411569247</v>
      </c>
      <c r="F16" s="164" t="n">
        <f aca="false">E16*(1+Assumptions!$C$25)</f>
        <v>1440.37683916325</v>
      </c>
      <c r="G16" s="164" t="n">
        <f aca="false">F16*(1+Assumptions!$C$25)</f>
        <v>1483.58814433815</v>
      </c>
      <c r="H16" s="164" t="n">
        <f aca="false">G16*(1+Assumptions!$C$25)</f>
        <v>1528.09578866829</v>
      </c>
      <c r="I16" s="164" t="n">
        <f aca="false">H16*(1+Assumptions!$C$25)</f>
        <v>1573.93866232834</v>
      </c>
      <c r="J16" s="164" t="n">
        <f aca="false">I16*(1+Assumptions!$C$25)</f>
        <v>1621.15682219819</v>
      </c>
      <c r="K16" s="164" t="n">
        <f aca="false">J16*(1+Assumptions!$C$25)</f>
        <v>1669.79152686414</v>
      </c>
      <c r="L16" s="164" t="n">
        <f aca="false">K16*(1+Assumptions!$C$25)</f>
        <v>1719.88527267006</v>
      </c>
      <c r="M16" s="164" t="n">
        <f aca="false">L16*(1+Assumptions!$C$25)</f>
        <v>1771.48183085016</v>
      </c>
      <c r="N16" s="164" t="n">
        <f aca="false">M16*(1+Assumptions!$C$25)</f>
        <v>1824.62628577567</v>
      </c>
      <c r="O16" s="164" t="n">
        <f aca="false">N16*(1+Assumptions!$C$25)</f>
        <v>1879.36507434894</v>
      </c>
      <c r="P16" s="164" t="n">
        <f aca="false">O16*(1+Assumptions!$C$25)</f>
        <v>1935.7460265794</v>
      </c>
      <c r="Q16" s="164" t="n">
        <f aca="false">P16*(1+Assumptions!$C$25)</f>
        <v>1993.81840737679</v>
      </c>
      <c r="R16" s="164" t="n">
        <f aca="false">Q16*(1+Assumptions!$C$25)</f>
        <v>2053.63295959809</v>
      </c>
      <c r="S16" s="164" t="n">
        <f aca="false">R16*(1+Assumptions!$C$25)</f>
        <v>2115.24194838603</v>
      </c>
      <c r="T16" s="164" t="n">
        <f aca="false">S16*(1+Assumptions!$C$25)</f>
        <v>2178.69920683761</v>
      </c>
      <c r="U16" s="164" t="n">
        <f aca="false">T16*(1+Assumptions!$C$25)</f>
        <v>2244.06018304274</v>
      </c>
      <c r="W16" s="164" t="n">
        <f aca="false">SUM(B16:U16)</f>
        <v>34387.5274273246</v>
      </c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316"/>
      <c r="AU16" s="316"/>
      <c r="AV16" s="316"/>
      <c r="AW16" s="316"/>
      <c r="AX16" s="316"/>
      <c r="AY16" s="316"/>
      <c r="AZ16" s="316"/>
      <c r="BA16" s="316"/>
      <c r="BB16" s="316"/>
      <c r="BC16" s="316"/>
      <c r="BD16" s="316"/>
      <c r="BE16" s="316"/>
      <c r="BF16" s="316"/>
      <c r="BG16" s="316"/>
      <c r="BH16" s="316"/>
      <c r="BI16" s="316"/>
      <c r="BJ16" s="316"/>
      <c r="BK16" s="316"/>
      <c r="BL16" s="316"/>
      <c r="BM16" s="316"/>
      <c r="BN16" s="316"/>
      <c r="BO16" s="316"/>
      <c r="BP16" s="316"/>
      <c r="BQ16" s="316"/>
      <c r="BR16" s="316"/>
      <c r="BS16" s="316"/>
      <c r="BT16" s="316"/>
      <c r="BU16" s="316"/>
      <c r="BV16" s="316"/>
      <c r="BW16" s="316"/>
      <c r="BX16" s="316"/>
      <c r="BY16" s="316"/>
      <c r="BZ16" s="316"/>
      <c r="CA16" s="316"/>
      <c r="CB16" s="316"/>
      <c r="CC16" s="316"/>
      <c r="CD16" s="316"/>
      <c r="CE16" s="316"/>
      <c r="CF16" s="316"/>
      <c r="CG16" s="316"/>
      <c r="CH16" s="316"/>
      <c r="CI16" s="316"/>
      <c r="CJ16" s="316"/>
      <c r="CK16" s="316"/>
      <c r="CL16" s="316"/>
      <c r="CM16" s="316"/>
      <c r="CN16" s="316"/>
      <c r="CO16" s="316"/>
      <c r="CP16" s="316"/>
      <c r="CQ16" s="316"/>
      <c r="CR16" s="316"/>
      <c r="CS16" s="316"/>
      <c r="CT16" s="316"/>
      <c r="CU16" s="316"/>
      <c r="CV16" s="316"/>
      <c r="CW16" s="316"/>
      <c r="CX16" s="316"/>
      <c r="CY16" s="316"/>
      <c r="CZ16" s="316"/>
      <c r="DA16" s="316"/>
      <c r="DB16" s="316"/>
      <c r="DC16" s="316"/>
      <c r="DD16" s="316"/>
      <c r="DE16" s="316"/>
      <c r="DF16" s="316"/>
      <c r="DG16" s="316"/>
      <c r="DH16" s="316"/>
      <c r="DI16" s="316"/>
      <c r="DJ16" s="316"/>
      <c r="DK16" s="316"/>
      <c r="DL16" s="316"/>
      <c r="DM16" s="316"/>
      <c r="DN16" s="316"/>
      <c r="DO16" s="316"/>
      <c r="DP16" s="316"/>
      <c r="DQ16" s="316"/>
      <c r="DR16" s="316"/>
      <c r="DS16" s="316"/>
      <c r="DT16" s="316"/>
      <c r="DU16" s="316"/>
      <c r="DV16" s="316"/>
      <c r="DW16" s="316"/>
      <c r="DX16" s="316"/>
      <c r="DY16" s="316"/>
      <c r="DZ16" s="316"/>
      <c r="EA16" s="316"/>
      <c r="EB16" s="316"/>
      <c r="EC16" s="316"/>
      <c r="ED16" s="316"/>
      <c r="EE16" s="316"/>
      <c r="EF16" s="316"/>
      <c r="EG16" s="316"/>
      <c r="EH16" s="316"/>
      <c r="EI16" s="316"/>
      <c r="EJ16" s="316"/>
      <c r="EK16" s="316"/>
      <c r="EL16" s="316"/>
      <c r="EM16" s="316"/>
      <c r="EN16" s="316"/>
      <c r="EO16" s="316"/>
      <c r="EP16" s="316"/>
      <c r="EQ16" s="316"/>
      <c r="ER16" s="316"/>
      <c r="ES16" s="316"/>
      <c r="ET16" s="316"/>
      <c r="EU16" s="316"/>
      <c r="EV16" s="316"/>
      <c r="EW16" s="316"/>
      <c r="EX16" s="316"/>
      <c r="EY16" s="316"/>
      <c r="EZ16" s="316"/>
      <c r="FA16" s="316"/>
      <c r="FB16" s="316"/>
      <c r="FC16" s="316"/>
      <c r="FD16" s="316"/>
      <c r="FE16" s="316"/>
      <c r="FF16" s="316"/>
      <c r="FG16" s="316"/>
      <c r="FH16" s="316"/>
      <c r="FI16" s="316"/>
      <c r="FJ16" s="316"/>
      <c r="FK16" s="316"/>
      <c r="FL16" s="316"/>
      <c r="FM16" s="316"/>
      <c r="FN16" s="316"/>
      <c r="FO16" s="316"/>
      <c r="FP16" s="316"/>
      <c r="FQ16" s="316"/>
      <c r="FR16" s="316"/>
      <c r="FS16" s="316"/>
      <c r="FT16" s="316"/>
      <c r="FU16" s="316"/>
      <c r="FV16" s="316"/>
      <c r="FW16" s="316"/>
      <c r="FX16" s="316"/>
      <c r="FY16" s="316"/>
      <c r="FZ16" s="316"/>
      <c r="GA16" s="316"/>
      <c r="GB16" s="316"/>
      <c r="GC16" s="316"/>
      <c r="GD16" s="316"/>
      <c r="GE16" s="316"/>
      <c r="GF16" s="316"/>
      <c r="GG16" s="316"/>
      <c r="GH16" s="316"/>
      <c r="GI16" s="316"/>
      <c r="GJ16" s="316"/>
      <c r="GK16" s="316"/>
      <c r="GL16" s="316"/>
      <c r="GM16" s="316"/>
      <c r="GN16" s="316"/>
      <c r="GO16" s="316"/>
      <c r="GP16" s="316"/>
      <c r="GQ16" s="316"/>
      <c r="GR16" s="316"/>
      <c r="GS16" s="316"/>
      <c r="GT16" s="316"/>
      <c r="GU16" s="316"/>
      <c r="GV16" s="316"/>
      <c r="GW16" s="316"/>
      <c r="GX16" s="316"/>
      <c r="GY16" s="316"/>
      <c r="GZ16" s="316"/>
      <c r="HA16" s="316"/>
      <c r="HB16" s="316"/>
      <c r="HC16" s="316"/>
      <c r="HD16" s="316"/>
      <c r="HE16" s="316"/>
      <c r="HF16" s="316"/>
      <c r="HG16" s="316"/>
      <c r="HH16" s="316"/>
      <c r="HI16" s="316"/>
      <c r="HJ16" s="316"/>
      <c r="HK16" s="316"/>
      <c r="HL16" s="316"/>
      <c r="HM16" s="316"/>
      <c r="HN16" s="316"/>
      <c r="HO16" s="316"/>
      <c r="HP16" s="316"/>
      <c r="HQ16" s="316"/>
      <c r="HR16" s="316"/>
      <c r="HS16" s="316"/>
      <c r="HT16" s="316"/>
      <c r="HU16" s="316"/>
      <c r="HV16" s="316"/>
      <c r="HW16" s="316"/>
      <c r="HX16" s="316"/>
      <c r="HY16" s="316"/>
      <c r="HZ16" s="316"/>
      <c r="IA16" s="316"/>
      <c r="IB16" s="316"/>
      <c r="IC16" s="316"/>
      <c r="ID16" s="316"/>
      <c r="IE16" s="316"/>
      <c r="IF16" s="316"/>
      <c r="IG16" s="316"/>
      <c r="IH16" s="316"/>
      <c r="II16" s="316"/>
      <c r="IJ16" s="316"/>
      <c r="IK16" s="316"/>
      <c r="IL16" s="316"/>
      <c r="IM16" s="316"/>
      <c r="IN16" s="316"/>
      <c r="IO16" s="316"/>
      <c r="IP16" s="316"/>
      <c r="IQ16" s="316"/>
      <c r="IR16" s="316"/>
      <c r="IS16" s="316"/>
      <c r="IT16" s="316"/>
      <c r="IU16" s="316"/>
      <c r="IV16" s="316"/>
      <c r="IW16" s="316"/>
    </row>
    <row r="17" customFormat="false" ht="12.75" hidden="false" customHeight="false" outlineLevel="0" collapsed="false">
      <c r="A17" s="169" t="s">
        <v>74</v>
      </c>
      <c r="B17" s="153" t="n">
        <f aca="false">Assumptions!$C$29*(1+Assumptions!$C$25)</f>
        <v>823.472052568736</v>
      </c>
      <c r="C17" s="172" t="n">
        <f aca="false">B17*(1+Assumptions!$C$25)</f>
        <v>848.176214145798</v>
      </c>
      <c r="D17" s="172" t="n">
        <f aca="false">C17*(1+Assumptions!$C$25)</f>
        <v>873.621500570172</v>
      </c>
      <c r="E17" s="153" t="n">
        <f aca="false">Assumptions!$C$19*Assumptions!$C$23*(1+Assumptions!$C$25)^(E5-2000)/1000</f>
        <v>899.830145587277</v>
      </c>
      <c r="F17" s="153" t="n">
        <f aca="false">Assumptions!$C$19*Assumptions!$C$23*(1+Assumptions!$C$25)^(F5-2000)/1000</f>
        <v>926.825049954896</v>
      </c>
      <c r="G17" s="153" t="n">
        <f aca="false">Assumptions!$C$19*Assumptions!$C$23*(1+Assumptions!$C$25)^(G5-2000)/1000</f>
        <v>954.629801453542</v>
      </c>
      <c r="H17" s="153" t="n">
        <f aca="false">Assumptions!$C$19*Assumptions!$C$23*(1+Assumptions!$C$25)^(H5-2000)/1000</f>
        <v>983.268695497149</v>
      </c>
      <c r="I17" s="153" t="n">
        <f aca="false">Assumptions!$C$19*Assumptions!$C$23*(1+Assumptions!$C$25)^(I5-2000)/1000</f>
        <v>1012.76675636206</v>
      </c>
      <c r="J17" s="153" t="n">
        <f aca="false">Assumptions!$C$19*Assumptions!$C$23*(1+Assumptions!$C$25)^(J5-2000)/1000</f>
        <v>1043.14975905293</v>
      </c>
      <c r="K17" s="153" t="n">
        <f aca="false">Assumptions!$C$19*Assumptions!$C$23*(1+Assumptions!$C$25)^(K5-2000)/1000</f>
        <v>1074.44425182451</v>
      </c>
      <c r="L17" s="153" t="n">
        <f aca="false">Assumptions!$C$19*Assumptions!$C$23*(1+Assumptions!$C$25)^(L5-2000)/1000</f>
        <v>1106.67757937925</v>
      </c>
      <c r="M17" s="153" t="n">
        <f aca="false">Assumptions!$C$19*Assumptions!$C$23*(1+Assumptions!$C$25)^(M5-2000)/1000</f>
        <v>1139.87790676063</v>
      </c>
      <c r="N17" s="153" t="n">
        <f aca="false">Assumptions!$C$19*Assumptions!$C$23*(1+Assumptions!$C$25)^(N5-2000)/1000</f>
        <v>1174.07424396344</v>
      </c>
      <c r="O17" s="153" t="n">
        <f aca="false">Assumptions!$C$19*Assumptions!$C$23*(1+Assumptions!$C$25)^(O5-2000)/1000</f>
        <v>1209.29647128235</v>
      </c>
      <c r="P17" s="153" t="n">
        <f aca="false">Assumptions!$C$19*Assumptions!$C$23*(1+Assumptions!$C$25)^(P5-2000)/1000</f>
        <v>1245.57536542082</v>
      </c>
      <c r="Q17" s="153" t="n">
        <f aca="false">Assumptions!$C$19*Assumptions!$C$23*(1+Assumptions!$C$25)^(Q5-2000)/1000</f>
        <v>1282.94262638344</v>
      </c>
      <c r="R17" s="153" t="n">
        <f aca="false">Assumptions!$C$19*Assumptions!$C$23*(1+Assumptions!$C$25)^(R5-2000)/1000</f>
        <v>1321.43090517495</v>
      </c>
      <c r="S17" s="153" t="n">
        <f aca="false">Assumptions!$C$19*Assumptions!$C$23*(1+Assumptions!$C$25)^(S5-2000)/1000</f>
        <v>1361.0738323302</v>
      </c>
      <c r="T17" s="153" t="n">
        <f aca="false">Assumptions!$C$19*Assumptions!$C$23*(1+Assumptions!$C$25)^(T5-2000)/1000</f>
        <v>1401.9060473001</v>
      </c>
      <c r="U17" s="153" t="n">
        <f aca="false">Assumptions!$C$19*Assumptions!$C$23*(1+Assumptions!$C$25)^(U5-2000)/1000</f>
        <v>1443.9632287191</v>
      </c>
      <c r="W17" s="164" t="n">
        <f aca="false">SUM(B17:U17)</f>
        <v>22127.0024337313</v>
      </c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316"/>
      <c r="AU17" s="316"/>
      <c r="AV17" s="316"/>
      <c r="AW17" s="316"/>
      <c r="AX17" s="316"/>
      <c r="AY17" s="316"/>
      <c r="AZ17" s="316"/>
      <c r="BA17" s="316"/>
      <c r="BB17" s="316"/>
      <c r="BC17" s="316"/>
      <c r="BD17" s="316"/>
      <c r="BE17" s="316"/>
      <c r="BF17" s="316"/>
      <c r="BG17" s="316"/>
      <c r="BH17" s="316"/>
      <c r="BI17" s="316"/>
      <c r="BJ17" s="316"/>
      <c r="BK17" s="316"/>
      <c r="BL17" s="316"/>
      <c r="BM17" s="316"/>
      <c r="BN17" s="316"/>
      <c r="BO17" s="316"/>
      <c r="BP17" s="316"/>
      <c r="BQ17" s="316"/>
      <c r="BR17" s="316"/>
      <c r="BS17" s="316"/>
      <c r="BT17" s="316"/>
      <c r="BU17" s="316"/>
      <c r="BV17" s="316"/>
      <c r="BW17" s="316"/>
      <c r="BX17" s="316"/>
      <c r="BY17" s="316"/>
      <c r="BZ17" s="316"/>
      <c r="CA17" s="316"/>
      <c r="CB17" s="316"/>
      <c r="CC17" s="316"/>
      <c r="CD17" s="316"/>
      <c r="CE17" s="316"/>
      <c r="CF17" s="316"/>
      <c r="CG17" s="316"/>
      <c r="CH17" s="316"/>
      <c r="CI17" s="316"/>
      <c r="CJ17" s="316"/>
      <c r="CK17" s="316"/>
      <c r="CL17" s="316"/>
      <c r="CM17" s="316"/>
      <c r="CN17" s="316"/>
      <c r="CO17" s="316"/>
      <c r="CP17" s="316"/>
      <c r="CQ17" s="316"/>
      <c r="CR17" s="316"/>
      <c r="CS17" s="316"/>
      <c r="CT17" s="316"/>
      <c r="CU17" s="316"/>
      <c r="CV17" s="316"/>
      <c r="CW17" s="316"/>
      <c r="CX17" s="316"/>
      <c r="CY17" s="316"/>
      <c r="CZ17" s="316"/>
      <c r="DA17" s="316"/>
      <c r="DB17" s="316"/>
      <c r="DC17" s="316"/>
      <c r="DD17" s="316"/>
      <c r="DE17" s="316"/>
      <c r="DF17" s="316"/>
      <c r="DG17" s="316"/>
      <c r="DH17" s="316"/>
      <c r="DI17" s="316"/>
      <c r="DJ17" s="316"/>
      <c r="DK17" s="316"/>
      <c r="DL17" s="316"/>
      <c r="DM17" s="316"/>
      <c r="DN17" s="316"/>
      <c r="DO17" s="316"/>
      <c r="DP17" s="316"/>
      <c r="DQ17" s="316"/>
      <c r="DR17" s="316"/>
      <c r="DS17" s="316"/>
      <c r="DT17" s="316"/>
      <c r="DU17" s="316"/>
      <c r="DV17" s="316"/>
      <c r="DW17" s="316"/>
      <c r="DX17" s="316"/>
      <c r="DY17" s="316"/>
      <c r="DZ17" s="316"/>
      <c r="EA17" s="316"/>
      <c r="EB17" s="316"/>
      <c r="EC17" s="316"/>
      <c r="ED17" s="316"/>
      <c r="EE17" s="316"/>
      <c r="EF17" s="316"/>
      <c r="EG17" s="316"/>
      <c r="EH17" s="316"/>
      <c r="EI17" s="316"/>
      <c r="EJ17" s="316"/>
      <c r="EK17" s="316"/>
      <c r="EL17" s="316"/>
      <c r="EM17" s="316"/>
      <c r="EN17" s="316"/>
      <c r="EO17" s="316"/>
      <c r="EP17" s="316"/>
      <c r="EQ17" s="316"/>
      <c r="ER17" s="316"/>
      <c r="ES17" s="316"/>
      <c r="ET17" s="316"/>
      <c r="EU17" s="316"/>
      <c r="EV17" s="316"/>
      <c r="EW17" s="316"/>
      <c r="EX17" s="316"/>
      <c r="EY17" s="316"/>
      <c r="EZ17" s="316"/>
      <c r="FA17" s="316"/>
      <c r="FB17" s="316"/>
      <c r="FC17" s="316"/>
      <c r="FD17" s="316"/>
      <c r="FE17" s="316"/>
      <c r="FF17" s="316"/>
      <c r="FG17" s="316"/>
      <c r="FH17" s="316"/>
      <c r="FI17" s="316"/>
      <c r="FJ17" s="316"/>
      <c r="FK17" s="316"/>
      <c r="FL17" s="316"/>
      <c r="FM17" s="316"/>
      <c r="FN17" s="316"/>
      <c r="FO17" s="316"/>
      <c r="FP17" s="316"/>
      <c r="FQ17" s="316"/>
      <c r="FR17" s="316"/>
      <c r="FS17" s="316"/>
      <c r="FT17" s="316"/>
      <c r="FU17" s="316"/>
      <c r="FV17" s="316"/>
      <c r="FW17" s="316"/>
      <c r="FX17" s="316"/>
      <c r="FY17" s="316"/>
      <c r="FZ17" s="316"/>
      <c r="GA17" s="316"/>
      <c r="GB17" s="316"/>
      <c r="GC17" s="316"/>
      <c r="GD17" s="316"/>
      <c r="GE17" s="316"/>
      <c r="GF17" s="316"/>
      <c r="GG17" s="316"/>
      <c r="GH17" s="316"/>
      <c r="GI17" s="316"/>
      <c r="GJ17" s="316"/>
      <c r="GK17" s="316"/>
      <c r="GL17" s="316"/>
      <c r="GM17" s="316"/>
      <c r="GN17" s="316"/>
      <c r="GO17" s="316"/>
      <c r="GP17" s="316"/>
      <c r="GQ17" s="316"/>
      <c r="GR17" s="316"/>
      <c r="GS17" s="316"/>
      <c r="GT17" s="316"/>
      <c r="GU17" s="316"/>
      <c r="GV17" s="316"/>
      <c r="GW17" s="316"/>
      <c r="GX17" s="316"/>
      <c r="GY17" s="316"/>
      <c r="GZ17" s="316"/>
      <c r="HA17" s="316"/>
      <c r="HB17" s="316"/>
      <c r="HC17" s="316"/>
      <c r="HD17" s="316"/>
      <c r="HE17" s="316"/>
      <c r="HF17" s="316"/>
      <c r="HG17" s="316"/>
      <c r="HH17" s="316"/>
      <c r="HI17" s="316"/>
      <c r="HJ17" s="316"/>
      <c r="HK17" s="316"/>
      <c r="HL17" s="316"/>
      <c r="HM17" s="316"/>
      <c r="HN17" s="316"/>
      <c r="HO17" s="316"/>
      <c r="HP17" s="316"/>
      <c r="HQ17" s="316"/>
      <c r="HR17" s="316"/>
      <c r="HS17" s="316"/>
      <c r="HT17" s="316"/>
      <c r="HU17" s="316"/>
      <c r="HV17" s="316"/>
      <c r="HW17" s="316"/>
      <c r="HX17" s="316"/>
      <c r="HY17" s="316"/>
      <c r="HZ17" s="316"/>
      <c r="IA17" s="316"/>
      <c r="IB17" s="316"/>
      <c r="IC17" s="316"/>
      <c r="ID17" s="316"/>
      <c r="IE17" s="316"/>
      <c r="IF17" s="316"/>
      <c r="IG17" s="316"/>
      <c r="IH17" s="316"/>
      <c r="II17" s="316"/>
      <c r="IJ17" s="316"/>
      <c r="IK17" s="316"/>
      <c r="IL17" s="316"/>
      <c r="IM17" s="316"/>
      <c r="IN17" s="316"/>
      <c r="IO17" s="316"/>
      <c r="IP17" s="316"/>
      <c r="IQ17" s="316"/>
      <c r="IR17" s="316"/>
      <c r="IS17" s="316"/>
      <c r="IT17" s="316"/>
      <c r="IU17" s="316"/>
      <c r="IV17" s="316"/>
      <c r="IW17" s="316"/>
    </row>
    <row r="18" customFormat="false" ht="12.75" hidden="false" customHeight="false" outlineLevel="0" collapsed="false">
      <c r="A18" s="169" t="s">
        <v>111</v>
      </c>
      <c r="B18" s="153" t="n">
        <f aca="false">Assumptions!$C$24*Assumptions!$C$11*Assumptions!$C$8/1000*(1+Assumptions!$C$25)</f>
        <v>347.625</v>
      </c>
      <c r="C18" s="164" t="n">
        <f aca="false">B18*(1+Assumptions!$C$25)</f>
        <v>358.05375</v>
      </c>
      <c r="D18" s="164" t="n">
        <f aca="false">C18*(1+Assumptions!$C$25)</f>
        <v>368.7953625</v>
      </c>
      <c r="E18" s="164" t="n">
        <f aca="false">D18*(1+Assumptions!$C$25)</f>
        <v>379.859223375</v>
      </c>
      <c r="F18" s="164" t="n">
        <f aca="false">E18*(1+Assumptions!$C$25)</f>
        <v>391.25500007625</v>
      </c>
      <c r="G18" s="164" t="n">
        <f aca="false">F18*(1+Assumptions!$C$25)</f>
        <v>402.992650078538</v>
      </c>
      <c r="H18" s="164" t="n">
        <f aca="false">G18*(1+Assumptions!$C$25)</f>
        <v>415.082429580894</v>
      </c>
      <c r="I18" s="164" t="n">
        <f aca="false">H18*(1+Assumptions!$C$25)</f>
        <v>427.534902468321</v>
      </c>
      <c r="J18" s="164" t="n">
        <f aca="false">I18*(1+Assumptions!$C$25)</f>
        <v>440.36094954237</v>
      </c>
      <c r="K18" s="164" t="n">
        <f aca="false">J18*(1+Assumptions!$C$25)</f>
        <v>453.571778028641</v>
      </c>
      <c r="L18" s="164" t="n">
        <f aca="false">K18*(1+Assumptions!$C$25)</f>
        <v>467.178931369501</v>
      </c>
      <c r="M18" s="164" t="n">
        <f aca="false">L18*(1+Assumptions!$C$25)</f>
        <v>481.194299310586</v>
      </c>
      <c r="N18" s="164" t="n">
        <f aca="false">M18*(1+Assumptions!$C$25)</f>
        <v>495.630128289903</v>
      </c>
      <c r="O18" s="164" t="n">
        <f aca="false">N18*(1+Assumptions!$C$25)</f>
        <v>510.4990321386</v>
      </c>
      <c r="P18" s="164" t="n">
        <f aca="false">O18*(1+Assumptions!$C$25)</f>
        <v>525.814003102758</v>
      </c>
      <c r="Q18" s="164" t="n">
        <f aca="false">P18*(1+Assumptions!$C$25)</f>
        <v>541.588423195841</v>
      </c>
      <c r="R18" s="164" t="n">
        <f aca="false">Q18*(1+Assumptions!$C$25)</f>
        <v>557.836075891716</v>
      </c>
      <c r="S18" s="164" t="n">
        <f aca="false">R18*(1+Assumptions!$C$25)</f>
        <v>574.571158168468</v>
      </c>
      <c r="T18" s="164" t="n">
        <f aca="false">S18*(1+Assumptions!$C$25)</f>
        <v>591.808292913522</v>
      </c>
      <c r="U18" s="164" t="n">
        <f aca="false">T18*(1+Assumptions!$C$25)</f>
        <v>609.562541700928</v>
      </c>
      <c r="W18" s="164" t="n">
        <f aca="false">SUM(B18:U18)</f>
        <v>9340.81393173184</v>
      </c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316"/>
      <c r="AU18" s="316"/>
      <c r="AV18" s="316"/>
      <c r="AW18" s="316"/>
      <c r="AX18" s="316"/>
      <c r="AY18" s="316"/>
      <c r="AZ18" s="316"/>
      <c r="BA18" s="316"/>
      <c r="BB18" s="316"/>
      <c r="BC18" s="316"/>
      <c r="BD18" s="316"/>
      <c r="BE18" s="316"/>
      <c r="BF18" s="316"/>
      <c r="BG18" s="316"/>
      <c r="BH18" s="316"/>
      <c r="BI18" s="316"/>
      <c r="BJ18" s="316"/>
      <c r="BK18" s="316"/>
      <c r="BL18" s="316"/>
      <c r="BM18" s="316"/>
      <c r="BN18" s="316"/>
      <c r="BO18" s="316"/>
      <c r="BP18" s="316"/>
      <c r="BQ18" s="316"/>
      <c r="BR18" s="316"/>
      <c r="BS18" s="316"/>
      <c r="BT18" s="316"/>
      <c r="BU18" s="316"/>
      <c r="BV18" s="316"/>
      <c r="BW18" s="316"/>
      <c r="BX18" s="316"/>
      <c r="BY18" s="316"/>
      <c r="BZ18" s="316"/>
      <c r="CA18" s="316"/>
      <c r="CB18" s="316"/>
      <c r="CC18" s="316"/>
      <c r="CD18" s="316"/>
      <c r="CE18" s="316"/>
      <c r="CF18" s="316"/>
      <c r="CG18" s="316"/>
      <c r="CH18" s="316"/>
      <c r="CI18" s="316"/>
      <c r="CJ18" s="316"/>
      <c r="CK18" s="316"/>
      <c r="CL18" s="316"/>
      <c r="CM18" s="316"/>
      <c r="CN18" s="316"/>
      <c r="CO18" s="316"/>
      <c r="CP18" s="316"/>
      <c r="CQ18" s="316"/>
      <c r="CR18" s="316"/>
      <c r="CS18" s="316"/>
      <c r="CT18" s="316"/>
      <c r="CU18" s="316"/>
      <c r="CV18" s="316"/>
      <c r="CW18" s="316"/>
      <c r="CX18" s="316"/>
      <c r="CY18" s="316"/>
      <c r="CZ18" s="316"/>
      <c r="DA18" s="316"/>
      <c r="DB18" s="316"/>
      <c r="DC18" s="316"/>
      <c r="DD18" s="316"/>
      <c r="DE18" s="316"/>
      <c r="DF18" s="316"/>
      <c r="DG18" s="316"/>
      <c r="DH18" s="316"/>
      <c r="DI18" s="316"/>
      <c r="DJ18" s="316"/>
      <c r="DK18" s="316"/>
      <c r="DL18" s="316"/>
      <c r="DM18" s="316"/>
      <c r="DN18" s="316"/>
      <c r="DO18" s="316"/>
      <c r="DP18" s="316"/>
      <c r="DQ18" s="316"/>
      <c r="DR18" s="316"/>
      <c r="DS18" s="316"/>
      <c r="DT18" s="316"/>
      <c r="DU18" s="316"/>
      <c r="DV18" s="316"/>
      <c r="DW18" s="316"/>
      <c r="DX18" s="316"/>
      <c r="DY18" s="316"/>
      <c r="DZ18" s="316"/>
      <c r="EA18" s="316"/>
      <c r="EB18" s="316"/>
      <c r="EC18" s="316"/>
      <c r="ED18" s="316"/>
      <c r="EE18" s="316"/>
      <c r="EF18" s="316"/>
      <c r="EG18" s="316"/>
      <c r="EH18" s="316"/>
      <c r="EI18" s="316"/>
      <c r="EJ18" s="316"/>
      <c r="EK18" s="316"/>
      <c r="EL18" s="316"/>
      <c r="EM18" s="316"/>
      <c r="EN18" s="316"/>
      <c r="EO18" s="316"/>
      <c r="EP18" s="316"/>
      <c r="EQ18" s="316"/>
      <c r="ER18" s="316"/>
      <c r="ES18" s="316"/>
      <c r="ET18" s="316"/>
      <c r="EU18" s="316"/>
      <c r="EV18" s="316"/>
      <c r="EW18" s="316"/>
      <c r="EX18" s="316"/>
      <c r="EY18" s="316"/>
      <c r="EZ18" s="316"/>
      <c r="FA18" s="316"/>
      <c r="FB18" s="316"/>
      <c r="FC18" s="316"/>
      <c r="FD18" s="316"/>
      <c r="FE18" s="316"/>
      <c r="FF18" s="316"/>
      <c r="FG18" s="316"/>
      <c r="FH18" s="316"/>
      <c r="FI18" s="316"/>
      <c r="FJ18" s="316"/>
      <c r="FK18" s="316"/>
      <c r="FL18" s="316"/>
      <c r="FM18" s="316"/>
      <c r="FN18" s="316"/>
      <c r="FO18" s="316"/>
      <c r="FP18" s="316"/>
      <c r="FQ18" s="316"/>
      <c r="FR18" s="316"/>
      <c r="FS18" s="316"/>
      <c r="FT18" s="316"/>
      <c r="FU18" s="316"/>
      <c r="FV18" s="316"/>
      <c r="FW18" s="316"/>
      <c r="FX18" s="316"/>
      <c r="FY18" s="316"/>
      <c r="FZ18" s="316"/>
      <c r="GA18" s="316"/>
      <c r="GB18" s="316"/>
      <c r="GC18" s="316"/>
      <c r="GD18" s="316"/>
      <c r="GE18" s="316"/>
      <c r="GF18" s="316"/>
      <c r="GG18" s="316"/>
      <c r="GH18" s="316"/>
      <c r="GI18" s="316"/>
      <c r="GJ18" s="316"/>
      <c r="GK18" s="316"/>
      <c r="GL18" s="316"/>
      <c r="GM18" s="316"/>
      <c r="GN18" s="316"/>
      <c r="GO18" s="316"/>
      <c r="GP18" s="316"/>
      <c r="GQ18" s="316"/>
      <c r="GR18" s="316"/>
      <c r="GS18" s="316"/>
      <c r="GT18" s="316"/>
      <c r="GU18" s="316"/>
      <c r="GV18" s="316"/>
      <c r="GW18" s="316"/>
      <c r="GX18" s="316"/>
      <c r="GY18" s="316"/>
      <c r="GZ18" s="316"/>
      <c r="HA18" s="316"/>
      <c r="HB18" s="316"/>
      <c r="HC18" s="316"/>
      <c r="HD18" s="316"/>
      <c r="HE18" s="316"/>
      <c r="HF18" s="316"/>
      <c r="HG18" s="316"/>
      <c r="HH18" s="316"/>
      <c r="HI18" s="316"/>
      <c r="HJ18" s="316"/>
      <c r="HK18" s="316"/>
      <c r="HL18" s="316"/>
      <c r="HM18" s="316"/>
      <c r="HN18" s="316"/>
      <c r="HO18" s="316"/>
      <c r="HP18" s="316"/>
      <c r="HQ18" s="316"/>
      <c r="HR18" s="316"/>
      <c r="HS18" s="316"/>
      <c r="HT18" s="316"/>
      <c r="HU18" s="316"/>
      <c r="HV18" s="316"/>
      <c r="HW18" s="316"/>
      <c r="HX18" s="316"/>
      <c r="HY18" s="316"/>
      <c r="HZ18" s="316"/>
      <c r="IA18" s="316"/>
      <c r="IB18" s="316"/>
      <c r="IC18" s="316"/>
      <c r="ID18" s="316"/>
      <c r="IE18" s="316"/>
      <c r="IF18" s="316"/>
      <c r="IG18" s="316"/>
      <c r="IH18" s="316"/>
      <c r="II18" s="316"/>
      <c r="IJ18" s="316"/>
      <c r="IK18" s="316"/>
      <c r="IL18" s="316"/>
      <c r="IM18" s="316"/>
      <c r="IN18" s="316"/>
      <c r="IO18" s="316"/>
      <c r="IP18" s="316"/>
      <c r="IQ18" s="316"/>
      <c r="IR18" s="316"/>
      <c r="IS18" s="316"/>
      <c r="IT18" s="316"/>
      <c r="IU18" s="316"/>
      <c r="IV18" s="316"/>
      <c r="IW18" s="316"/>
    </row>
    <row r="19" customFormat="false" ht="12.75" hidden="false" customHeight="false" outlineLevel="0" collapsed="false">
      <c r="A19" s="169" t="s">
        <v>76</v>
      </c>
      <c r="B19" s="153" t="n">
        <f aca="false">Assumptions!C31*(1+Assumptions!$C$25)</f>
        <v>331.918677142857</v>
      </c>
      <c r="C19" s="164" t="n">
        <f aca="false">B19*(1+Assumptions!$C$25)</f>
        <v>341.876237457143</v>
      </c>
      <c r="D19" s="164" t="n">
        <f aca="false">C19*(1+Assumptions!$C$25)</f>
        <v>352.132524580857</v>
      </c>
      <c r="E19" s="164" t="n">
        <f aca="false">D19*(1+Assumptions!$C$25)</f>
        <v>362.696500318283</v>
      </c>
      <c r="F19" s="164" t="n">
        <f aca="false">E19*(1+Assumptions!$C$25)</f>
        <v>373.577395327831</v>
      </c>
      <c r="G19" s="164" t="n">
        <f aca="false">F19*(1+Assumptions!$C$25)</f>
        <v>384.784717187666</v>
      </c>
      <c r="H19" s="164" t="n">
        <f aca="false">G19*(1+Assumptions!$C$25)</f>
        <v>396.328258703296</v>
      </c>
      <c r="I19" s="164" t="n">
        <f aca="false">H19*(1+Assumptions!$C$25)</f>
        <v>408.218106464395</v>
      </c>
      <c r="J19" s="164" t="n">
        <f aca="false">I19*(1+Assumptions!$C$25)</f>
        <v>420.464649658327</v>
      </c>
      <c r="K19" s="164" t="n">
        <f aca="false">J19*(1+Assumptions!$C$25)</f>
        <v>433.078589148077</v>
      </c>
      <c r="L19" s="164" t="n">
        <f aca="false">K19*(1+Assumptions!$C$25)</f>
        <v>446.070946822519</v>
      </c>
      <c r="M19" s="164" t="n">
        <f aca="false">L19*(1+Assumptions!$C$25)</f>
        <v>459.453075227195</v>
      </c>
      <c r="N19" s="164" t="n">
        <f aca="false">M19*(1+Assumptions!$C$25)</f>
        <v>473.236667484011</v>
      </c>
      <c r="O19" s="164" t="n">
        <f aca="false">N19*(1+Assumptions!$C$25)</f>
        <v>487.433767508531</v>
      </c>
      <c r="P19" s="164" t="n">
        <f aca="false">O19*(1+Assumptions!$C$25)</f>
        <v>502.056780533787</v>
      </c>
      <c r="Q19" s="164" t="n">
        <f aca="false">P19*(1+Assumptions!$C$25)</f>
        <v>517.118483949801</v>
      </c>
      <c r="R19" s="164" t="n">
        <f aca="false">Q19*(1+Assumptions!$C$25)</f>
        <v>532.632038468295</v>
      </c>
      <c r="S19" s="164" t="n">
        <f aca="false">R19*(1+Assumptions!$C$25)</f>
        <v>548.610999622344</v>
      </c>
      <c r="T19" s="164" t="n">
        <f aca="false">S19*(1+Assumptions!$C$25)</f>
        <v>565.069329611014</v>
      </c>
      <c r="U19" s="164" t="n">
        <f aca="false">T19*(1+Assumptions!$C$25)</f>
        <v>582.021409499344</v>
      </c>
      <c r="W19" s="164" t="n">
        <f aca="false">SUM(B19:U19)</f>
        <v>8918.77915471557</v>
      </c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316"/>
      <c r="AU19" s="316"/>
      <c r="AV19" s="316"/>
      <c r="AW19" s="316"/>
      <c r="AX19" s="316"/>
      <c r="AY19" s="316"/>
      <c r="AZ19" s="316"/>
      <c r="BA19" s="316"/>
      <c r="BB19" s="316"/>
      <c r="BC19" s="316"/>
      <c r="BD19" s="316"/>
      <c r="BE19" s="316"/>
      <c r="BF19" s="316"/>
      <c r="BG19" s="316"/>
      <c r="BH19" s="316"/>
      <c r="BI19" s="316"/>
      <c r="BJ19" s="316"/>
      <c r="BK19" s="316"/>
      <c r="BL19" s="316"/>
      <c r="BM19" s="316"/>
      <c r="BN19" s="316"/>
      <c r="BO19" s="316"/>
      <c r="BP19" s="316"/>
      <c r="BQ19" s="316"/>
      <c r="BR19" s="316"/>
      <c r="BS19" s="316"/>
      <c r="BT19" s="316"/>
      <c r="BU19" s="316"/>
      <c r="BV19" s="316"/>
      <c r="BW19" s="316"/>
      <c r="BX19" s="316"/>
      <c r="BY19" s="316"/>
      <c r="BZ19" s="316"/>
      <c r="CA19" s="316"/>
      <c r="CB19" s="316"/>
      <c r="CC19" s="316"/>
      <c r="CD19" s="316"/>
      <c r="CE19" s="316"/>
      <c r="CF19" s="316"/>
      <c r="CG19" s="316"/>
      <c r="CH19" s="316"/>
      <c r="CI19" s="316"/>
      <c r="CJ19" s="316"/>
      <c r="CK19" s="316"/>
      <c r="CL19" s="316"/>
      <c r="CM19" s="316"/>
      <c r="CN19" s="316"/>
      <c r="CO19" s="316"/>
      <c r="CP19" s="316"/>
      <c r="CQ19" s="316"/>
      <c r="CR19" s="316"/>
      <c r="CS19" s="316"/>
      <c r="CT19" s="316"/>
      <c r="CU19" s="316"/>
      <c r="CV19" s="316"/>
      <c r="CW19" s="316"/>
      <c r="CX19" s="316"/>
      <c r="CY19" s="316"/>
      <c r="CZ19" s="316"/>
      <c r="DA19" s="316"/>
      <c r="DB19" s="316"/>
      <c r="DC19" s="316"/>
      <c r="DD19" s="316"/>
      <c r="DE19" s="316"/>
      <c r="DF19" s="316"/>
      <c r="DG19" s="316"/>
      <c r="DH19" s="316"/>
      <c r="DI19" s="316"/>
      <c r="DJ19" s="316"/>
      <c r="DK19" s="316"/>
      <c r="DL19" s="316"/>
      <c r="DM19" s="316"/>
      <c r="DN19" s="316"/>
      <c r="DO19" s="316"/>
      <c r="DP19" s="316"/>
      <c r="DQ19" s="316"/>
      <c r="DR19" s="316"/>
      <c r="DS19" s="316"/>
      <c r="DT19" s="316"/>
      <c r="DU19" s="316"/>
      <c r="DV19" s="316"/>
      <c r="DW19" s="316"/>
      <c r="DX19" s="316"/>
      <c r="DY19" s="316"/>
      <c r="DZ19" s="316"/>
      <c r="EA19" s="316"/>
      <c r="EB19" s="316"/>
      <c r="EC19" s="316"/>
      <c r="ED19" s="316"/>
      <c r="EE19" s="316"/>
      <c r="EF19" s="316"/>
      <c r="EG19" s="316"/>
      <c r="EH19" s="316"/>
      <c r="EI19" s="316"/>
      <c r="EJ19" s="316"/>
      <c r="EK19" s="316"/>
      <c r="EL19" s="316"/>
      <c r="EM19" s="316"/>
      <c r="EN19" s="316"/>
      <c r="EO19" s="316"/>
      <c r="EP19" s="316"/>
      <c r="EQ19" s="316"/>
      <c r="ER19" s="316"/>
      <c r="ES19" s="316"/>
      <c r="ET19" s="316"/>
      <c r="EU19" s="316"/>
      <c r="EV19" s="316"/>
      <c r="EW19" s="316"/>
      <c r="EX19" s="316"/>
      <c r="EY19" s="316"/>
      <c r="EZ19" s="316"/>
      <c r="FA19" s="316"/>
      <c r="FB19" s="316"/>
      <c r="FC19" s="316"/>
      <c r="FD19" s="316"/>
      <c r="FE19" s="316"/>
      <c r="FF19" s="316"/>
      <c r="FG19" s="316"/>
      <c r="FH19" s="316"/>
      <c r="FI19" s="316"/>
      <c r="FJ19" s="316"/>
      <c r="FK19" s="316"/>
      <c r="FL19" s="316"/>
      <c r="FM19" s="316"/>
      <c r="FN19" s="316"/>
      <c r="FO19" s="316"/>
      <c r="FP19" s="316"/>
      <c r="FQ19" s="316"/>
      <c r="FR19" s="316"/>
      <c r="FS19" s="316"/>
      <c r="FT19" s="316"/>
      <c r="FU19" s="316"/>
      <c r="FV19" s="316"/>
      <c r="FW19" s="316"/>
      <c r="FX19" s="316"/>
      <c r="FY19" s="316"/>
      <c r="FZ19" s="316"/>
      <c r="GA19" s="316"/>
      <c r="GB19" s="316"/>
      <c r="GC19" s="316"/>
      <c r="GD19" s="316"/>
      <c r="GE19" s="316"/>
      <c r="GF19" s="316"/>
      <c r="GG19" s="316"/>
      <c r="GH19" s="316"/>
      <c r="GI19" s="316"/>
      <c r="GJ19" s="316"/>
      <c r="GK19" s="316"/>
      <c r="GL19" s="316"/>
      <c r="GM19" s="316"/>
      <c r="GN19" s="316"/>
      <c r="GO19" s="316"/>
      <c r="GP19" s="316"/>
      <c r="GQ19" s="316"/>
      <c r="GR19" s="316"/>
      <c r="GS19" s="316"/>
      <c r="GT19" s="316"/>
      <c r="GU19" s="316"/>
      <c r="GV19" s="316"/>
      <c r="GW19" s="316"/>
      <c r="GX19" s="316"/>
      <c r="GY19" s="316"/>
      <c r="GZ19" s="316"/>
      <c r="HA19" s="316"/>
      <c r="HB19" s="316"/>
      <c r="HC19" s="316"/>
      <c r="HD19" s="316"/>
      <c r="HE19" s="316"/>
      <c r="HF19" s="316"/>
      <c r="HG19" s="316"/>
      <c r="HH19" s="316"/>
      <c r="HI19" s="316"/>
      <c r="HJ19" s="316"/>
      <c r="HK19" s="316"/>
      <c r="HL19" s="316"/>
      <c r="HM19" s="316"/>
      <c r="HN19" s="316"/>
      <c r="HO19" s="316"/>
      <c r="HP19" s="316"/>
      <c r="HQ19" s="316"/>
      <c r="HR19" s="316"/>
      <c r="HS19" s="316"/>
      <c r="HT19" s="316"/>
      <c r="HU19" s="316"/>
      <c r="HV19" s="316"/>
      <c r="HW19" s="316"/>
      <c r="HX19" s="316"/>
      <c r="HY19" s="316"/>
      <c r="HZ19" s="316"/>
      <c r="IA19" s="316"/>
      <c r="IB19" s="316"/>
      <c r="IC19" s="316"/>
      <c r="ID19" s="316"/>
      <c r="IE19" s="316"/>
      <c r="IF19" s="316"/>
      <c r="IG19" s="316"/>
      <c r="IH19" s="316"/>
      <c r="II19" s="316"/>
      <c r="IJ19" s="316"/>
      <c r="IK19" s="316"/>
      <c r="IL19" s="316"/>
      <c r="IM19" s="316"/>
      <c r="IN19" s="316"/>
      <c r="IO19" s="316"/>
      <c r="IP19" s="316"/>
      <c r="IQ19" s="316"/>
      <c r="IR19" s="316"/>
      <c r="IS19" s="316"/>
      <c r="IT19" s="316"/>
      <c r="IU19" s="316"/>
      <c r="IV19" s="316"/>
      <c r="IW19" s="316"/>
    </row>
    <row r="20" customFormat="false" ht="12.75" hidden="false" customHeight="false" outlineLevel="0" collapsed="false">
      <c r="A20" s="169" t="s">
        <v>194</v>
      </c>
      <c r="B20" s="318" t="n">
        <v>174.46</v>
      </c>
      <c r="C20" s="318" t="n">
        <v>348.92</v>
      </c>
      <c r="D20" s="318" t="n">
        <v>436.15</v>
      </c>
      <c r="E20" s="318" t="n">
        <v>436.15</v>
      </c>
      <c r="F20" s="318" t="n">
        <v>436.15</v>
      </c>
      <c r="G20" s="318" t="n">
        <v>523.38</v>
      </c>
      <c r="H20" s="318" t="n">
        <v>523.38</v>
      </c>
      <c r="I20" s="318" t="n">
        <v>523.38</v>
      </c>
      <c r="J20" s="318" t="n">
        <v>523.38</v>
      </c>
      <c r="K20" s="318" t="n">
        <v>523.38</v>
      </c>
      <c r="L20" s="318" t="n">
        <v>523.38</v>
      </c>
      <c r="M20" s="318" t="n">
        <v>523.38</v>
      </c>
      <c r="N20" s="318" t="n">
        <v>872.3</v>
      </c>
      <c r="O20" s="318" t="n">
        <v>872.3</v>
      </c>
      <c r="P20" s="318" t="n">
        <v>1308.45</v>
      </c>
      <c r="Q20" s="318" t="n">
        <v>743.931045</v>
      </c>
      <c r="R20" s="318" t="n">
        <v>758.8096659</v>
      </c>
      <c r="S20" s="318" t="n">
        <v>773.985859218</v>
      </c>
      <c r="T20" s="318" t="n">
        <v>789.46557640236</v>
      </c>
      <c r="U20" s="318" t="n">
        <v>805.254887930407</v>
      </c>
      <c r="W20" s="164" t="n">
        <f aca="false">SUM(B20:U20)</f>
        <v>12419.9870344508</v>
      </c>
      <c r="X20" s="316"/>
      <c r="Y20" s="316"/>
      <c r="Z20" s="316"/>
      <c r="AA20" s="316"/>
      <c r="AB20" s="316"/>
      <c r="AC20" s="316"/>
      <c r="AD20" s="316"/>
      <c r="AE20" s="316"/>
      <c r="AF20" s="316"/>
      <c r="AG20" s="316"/>
      <c r="AH20" s="316"/>
      <c r="AI20" s="316"/>
      <c r="AJ20" s="316"/>
      <c r="AK20" s="316"/>
      <c r="AL20" s="316"/>
      <c r="AM20" s="316"/>
      <c r="AN20" s="316"/>
      <c r="AO20" s="316"/>
      <c r="AP20" s="316"/>
      <c r="AQ20" s="316"/>
      <c r="AR20" s="316"/>
      <c r="AS20" s="316"/>
      <c r="AT20" s="316"/>
      <c r="AU20" s="316"/>
      <c r="AV20" s="316"/>
      <c r="AW20" s="316"/>
      <c r="AX20" s="316"/>
      <c r="AY20" s="316"/>
      <c r="AZ20" s="316"/>
      <c r="BA20" s="316"/>
      <c r="BB20" s="316"/>
      <c r="BC20" s="316"/>
      <c r="BD20" s="316"/>
      <c r="BE20" s="316"/>
      <c r="BF20" s="316"/>
      <c r="BG20" s="316"/>
      <c r="BH20" s="316"/>
      <c r="BI20" s="316"/>
      <c r="BJ20" s="316"/>
      <c r="BK20" s="316"/>
      <c r="BL20" s="316"/>
      <c r="BM20" s="316"/>
      <c r="BN20" s="316"/>
      <c r="BO20" s="316"/>
      <c r="BP20" s="316"/>
      <c r="BQ20" s="316"/>
      <c r="BR20" s="316"/>
      <c r="BS20" s="316"/>
      <c r="BT20" s="316"/>
      <c r="BU20" s="316"/>
      <c r="BV20" s="316"/>
      <c r="BW20" s="316"/>
      <c r="BX20" s="316"/>
      <c r="BY20" s="316"/>
      <c r="BZ20" s="316"/>
      <c r="CA20" s="316"/>
      <c r="CB20" s="316"/>
      <c r="CC20" s="316"/>
      <c r="CD20" s="316"/>
      <c r="CE20" s="316"/>
      <c r="CF20" s="316"/>
      <c r="CG20" s="316"/>
      <c r="CH20" s="316"/>
      <c r="CI20" s="316"/>
      <c r="CJ20" s="316"/>
      <c r="CK20" s="316"/>
      <c r="CL20" s="316"/>
      <c r="CM20" s="316"/>
      <c r="CN20" s="316"/>
      <c r="CO20" s="316"/>
      <c r="CP20" s="316"/>
      <c r="CQ20" s="316"/>
      <c r="CR20" s="316"/>
      <c r="CS20" s="316"/>
      <c r="CT20" s="316"/>
      <c r="CU20" s="316"/>
      <c r="CV20" s="316"/>
      <c r="CW20" s="316"/>
      <c r="CX20" s="316"/>
      <c r="CY20" s="316"/>
      <c r="CZ20" s="316"/>
      <c r="DA20" s="316"/>
      <c r="DB20" s="316"/>
      <c r="DC20" s="316"/>
      <c r="DD20" s="316"/>
      <c r="DE20" s="316"/>
      <c r="DF20" s="316"/>
      <c r="DG20" s="316"/>
      <c r="DH20" s="316"/>
      <c r="DI20" s="316"/>
      <c r="DJ20" s="316"/>
      <c r="DK20" s="316"/>
      <c r="DL20" s="316"/>
      <c r="DM20" s="316"/>
      <c r="DN20" s="316"/>
      <c r="DO20" s="316"/>
      <c r="DP20" s="316"/>
      <c r="DQ20" s="316"/>
      <c r="DR20" s="316"/>
      <c r="DS20" s="316"/>
      <c r="DT20" s="316"/>
      <c r="DU20" s="316"/>
      <c r="DV20" s="316"/>
      <c r="DW20" s="316"/>
      <c r="DX20" s="316"/>
      <c r="DY20" s="316"/>
      <c r="DZ20" s="316"/>
      <c r="EA20" s="316"/>
      <c r="EB20" s="316"/>
      <c r="EC20" s="316"/>
      <c r="ED20" s="316"/>
      <c r="EE20" s="316"/>
      <c r="EF20" s="316"/>
      <c r="EG20" s="316"/>
      <c r="EH20" s="316"/>
      <c r="EI20" s="316"/>
      <c r="EJ20" s="316"/>
      <c r="EK20" s="316"/>
      <c r="EL20" s="316"/>
      <c r="EM20" s="316"/>
      <c r="EN20" s="316"/>
      <c r="EO20" s="316"/>
      <c r="EP20" s="316"/>
      <c r="EQ20" s="316"/>
      <c r="ER20" s="316"/>
      <c r="ES20" s="316"/>
      <c r="ET20" s="316"/>
      <c r="EU20" s="316"/>
      <c r="EV20" s="316"/>
      <c r="EW20" s="316"/>
      <c r="EX20" s="316"/>
      <c r="EY20" s="316"/>
      <c r="EZ20" s="316"/>
      <c r="FA20" s="316"/>
      <c r="FB20" s="316"/>
      <c r="FC20" s="316"/>
      <c r="FD20" s="316"/>
      <c r="FE20" s="316"/>
      <c r="FF20" s="316"/>
      <c r="FG20" s="316"/>
      <c r="FH20" s="316"/>
      <c r="FI20" s="316"/>
      <c r="FJ20" s="316"/>
      <c r="FK20" s="316"/>
      <c r="FL20" s="316"/>
      <c r="FM20" s="316"/>
      <c r="FN20" s="316"/>
      <c r="FO20" s="316"/>
      <c r="FP20" s="316"/>
      <c r="FQ20" s="316"/>
      <c r="FR20" s="316"/>
      <c r="FS20" s="316"/>
      <c r="FT20" s="316"/>
      <c r="FU20" s="316"/>
      <c r="FV20" s="316"/>
      <c r="FW20" s="316"/>
      <c r="FX20" s="316"/>
      <c r="FY20" s="316"/>
      <c r="FZ20" s="316"/>
      <c r="GA20" s="316"/>
      <c r="GB20" s="316"/>
      <c r="GC20" s="316"/>
      <c r="GD20" s="316"/>
      <c r="GE20" s="316"/>
      <c r="GF20" s="316"/>
      <c r="GG20" s="316"/>
      <c r="GH20" s="316"/>
      <c r="GI20" s="316"/>
      <c r="GJ20" s="316"/>
      <c r="GK20" s="316"/>
      <c r="GL20" s="316"/>
      <c r="GM20" s="316"/>
      <c r="GN20" s="316"/>
      <c r="GO20" s="316"/>
      <c r="GP20" s="316"/>
      <c r="GQ20" s="316"/>
      <c r="GR20" s="316"/>
      <c r="GS20" s="316"/>
      <c r="GT20" s="316"/>
      <c r="GU20" s="316"/>
      <c r="GV20" s="316"/>
      <c r="GW20" s="316"/>
      <c r="GX20" s="316"/>
      <c r="GY20" s="316"/>
      <c r="GZ20" s="316"/>
      <c r="HA20" s="316"/>
      <c r="HB20" s="316"/>
      <c r="HC20" s="316"/>
      <c r="HD20" s="316"/>
      <c r="HE20" s="316"/>
      <c r="HF20" s="316"/>
      <c r="HG20" s="316"/>
      <c r="HH20" s="316"/>
      <c r="HI20" s="316"/>
      <c r="HJ20" s="316"/>
      <c r="HK20" s="316"/>
      <c r="HL20" s="316"/>
      <c r="HM20" s="316"/>
      <c r="HN20" s="316"/>
      <c r="HO20" s="316"/>
      <c r="HP20" s="316"/>
      <c r="HQ20" s="316"/>
      <c r="HR20" s="316"/>
      <c r="HS20" s="316"/>
      <c r="HT20" s="316"/>
      <c r="HU20" s="316"/>
      <c r="HV20" s="316"/>
      <c r="HW20" s="316"/>
      <c r="HX20" s="316"/>
      <c r="HY20" s="316"/>
      <c r="HZ20" s="316"/>
      <c r="IA20" s="316"/>
      <c r="IB20" s="316"/>
      <c r="IC20" s="316"/>
      <c r="ID20" s="316"/>
      <c r="IE20" s="316"/>
      <c r="IF20" s="316"/>
      <c r="IG20" s="316"/>
      <c r="IH20" s="316"/>
      <c r="II20" s="316"/>
      <c r="IJ20" s="316"/>
      <c r="IK20" s="316"/>
      <c r="IL20" s="316"/>
      <c r="IM20" s="316"/>
      <c r="IN20" s="316"/>
      <c r="IO20" s="316"/>
      <c r="IP20" s="316"/>
      <c r="IQ20" s="316"/>
      <c r="IR20" s="316"/>
      <c r="IS20" s="316"/>
      <c r="IT20" s="316"/>
      <c r="IU20" s="316"/>
      <c r="IV20" s="316"/>
      <c r="IW20" s="316"/>
    </row>
    <row r="21" customFormat="false" ht="12.75" hidden="false" customHeight="false" outlineLevel="0" collapsed="false">
      <c r="A21" s="169" t="s">
        <v>195</v>
      </c>
      <c r="B21" s="171" t="n">
        <f aca="false">B78</f>
        <v>608.988290258954</v>
      </c>
      <c r="C21" s="171" t="n">
        <f aca="false">C78</f>
        <v>590.153600869502</v>
      </c>
      <c r="D21" s="171" t="n">
        <f aca="false">D78</f>
        <v>571.31891148005</v>
      </c>
      <c r="E21" s="171" t="n">
        <f aca="false">E78</f>
        <v>552.484222090598</v>
      </c>
      <c r="F21" s="171" t="n">
        <f aca="false">F78</f>
        <v>533.649532701145</v>
      </c>
      <c r="G21" s="171" t="n">
        <f aca="false">G78</f>
        <v>514.814843311693</v>
      </c>
      <c r="H21" s="171" t="n">
        <f aca="false">H78</f>
        <v>495.980153922241</v>
      </c>
      <c r="I21" s="171" t="n">
        <f aca="false">I78</f>
        <v>477.145464532789</v>
      </c>
      <c r="J21" s="171" t="n">
        <f aca="false">J78</f>
        <v>458.310775143337</v>
      </c>
      <c r="K21" s="171" t="n">
        <f aca="false">K78</f>
        <v>439.476085753885</v>
      </c>
      <c r="L21" s="171" t="n">
        <f aca="false">L78</f>
        <v>420.641396364432</v>
      </c>
      <c r="M21" s="171" t="n">
        <f aca="false">M78</f>
        <v>401.80670697498</v>
      </c>
      <c r="N21" s="171" t="n">
        <f aca="false">N78</f>
        <v>382.972017585528</v>
      </c>
      <c r="O21" s="171" t="n">
        <f aca="false">O78</f>
        <v>364.137328196076</v>
      </c>
      <c r="P21" s="171" t="n">
        <f aca="false">P78</f>
        <v>345.302638806624</v>
      </c>
      <c r="Q21" s="171" t="n">
        <f aca="false">Q78</f>
        <v>326.467949417172</v>
      </c>
      <c r="R21" s="171" t="n">
        <f aca="false">R78</f>
        <v>307.633260027719</v>
      </c>
      <c r="S21" s="171" t="n">
        <f aca="false">S78</f>
        <v>288.798570638267</v>
      </c>
      <c r="T21" s="171" t="n">
        <f aca="false">T78</f>
        <v>269.963881248815</v>
      </c>
      <c r="U21" s="171" t="n">
        <f aca="false">U78</f>
        <v>251.129191859363</v>
      </c>
      <c r="V21" s="164"/>
      <c r="W21" s="164" t="n">
        <f aca="false">SUM(B21:U21)</f>
        <v>8601.17482118317</v>
      </c>
    </row>
    <row r="22" customFormat="false" ht="12.75" hidden="false" customHeight="false" outlineLevel="0" collapsed="false">
      <c r="A22" s="169" t="s">
        <v>114</v>
      </c>
      <c r="B22" s="153" t="n">
        <f aca="false">SUM(B16:B21)</f>
        <v>3566.22018568483</v>
      </c>
      <c r="C22" s="153" t="n">
        <f aca="false">SUM(C16:C21)</f>
        <v>3805.32865315816</v>
      </c>
      <c r="D22" s="153" t="n">
        <f aca="false">SUM(D16:D21)</f>
        <v>3959.71161533737</v>
      </c>
      <c r="E22" s="153" t="n">
        <f aca="false">SUM(E16:E21)</f>
        <v>4029.44420706363</v>
      </c>
      <c r="F22" s="153" t="n">
        <f aca="false">SUM(F16:F21)</f>
        <v>4101.83381722337</v>
      </c>
      <c r="G22" s="153" t="n">
        <f aca="false">SUM(G16:G21)</f>
        <v>4264.19015636959</v>
      </c>
      <c r="H22" s="153" t="n">
        <f aca="false">SUM(H16:H21)</f>
        <v>4342.13532637187</v>
      </c>
      <c r="I22" s="153" t="n">
        <f aca="false">SUM(I16:I21)</f>
        <v>4422.98389215591</v>
      </c>
      <c r="J22" s="153" t="n">
        <f aca="false">SUM(J16:J21)</f>
        <v>4506.82295559515</v>
      </c>
      <c r="K22" s="153" t="n">
        <f aca="false">SUM(K16:K21)</f>
        <v>4593.74223161925</v>
      </c>
      <c r="L22" s="153" t="n">
        <f aca="false">SUM(L16:L21)</f>
        <v>4683.83412660576</v>
      </c>
      <c r="M22" s="153" t="n">
        <f aca="false">SUM(M16:M21)</f>
        <v>4777.19381912355</v>
      </c>
      <c r="N22" s="153" t="n">
        <f aca="false">SUM(N16:N21)</f>
        <v>5222.83934309855</v>
      </c>
      <c r="O22" s="153" t="n">
        <f aca="false">SUM(O16:O21)</f>
        <v>5323.03167347449</v>
      </c>
      <c r="P22" s="153" t="n">
        <f aca="false">SUM(P16:P21)</f>
        <v>5862.94481444339</v>
      </c>
      <c r="Q22" s="153" t="n">
        <f aca="false">SUM(Q16:Q21)</f>
        <v>5405.86693532304</v>
      </c>
      <c r="R22" s="153" t="n">
        <f aca="false">SUM(R16:R21)</f>
        <v>5531.97490506077</v>
      </c>
      <c r="S22" s="153" t="n">
        <f aca="false">SUM(S16:S21)</f>
        <v>5662.28236836331</v>
      </c>
      <c r="T22" s="153" t="n">
        <f aca="false">SUM(T16:T21)</f>
        <v>5796.91233431343</v>
      </c>
      <c r="U22" s="153" t="n">
        <f aca="false">SUM(U16:U21)</f>
        <v>5935.99144275189</v>
      </c>
      <c r="W22" s="164" t="n">
        <f aca="false">SUM(B22:U22)</f>
        <v>95795.2848031373</v>
      </c>
    </row>
    <row r="23" customFormat="false" ht="12.75" hidden="false" customHeight="false" outlineLevel="0" collapsed="false">
      <c r="A23" s="175"/>
      <c r="B23" s="319"/>
      <c r="C23" s="319"/>
      <c r="D23" s="319"/>
      <c r="E23" s="319"/>
      <c r="F23" s="319"/>
      <c r="G23" s="319"/>
      <c r="H23" s="319"/>
      <c r="I23" s="319"/>
      <c r="J23" s="319"/>
      <c r="K23" s="319"/>
      <c r="L23" s="319"/>
      <c r="M23" s="319"/>
      <c r="N23" s="319"/>
      <c r="O23" s="319"/>
      <c r="P23" s="319"/>
      <c r="Q23" s="319"/>
      <c r="R23" s="319"/>
      <c r="S23" s="319"/>
      <c r="T23" s="319"/>
      <c r="U23" s="319"/>
      <c r="V23" s="316"/>
      <c r="W23" s="164"/>
    </row>
    <row r="24" customFormat="false" ht="12.75" hidden="false" customHeight="false" outlineLevel="0" collapsed="false">
      <c r="A24" s="175"/>
      <c r="B24" s="319"/>
      <c r="C24" s="319"/>
      <c r="D24" s="319"/>
      <c r="E24" s="319"/>
      <c r="F24" s="319"/>
      <c r="G24" s="319"/>
      <c r="H24" s="319"/>
      <c r="I24" s="319"/>
      <c r="J24" s="319"/>
      <c r="K24" s="319"/>
      <c r="L24" s="319"/>
      <c r="M24" s="319"/>
      <c r="N24" s="319"/>
      <c r="O24" s="319"/>
      <c r="P24" s="319"/>
      <c r="Q24" s="319"/>
      <c r="R24" s="319"/>
      <c r="S24" s="319"/>
      <c r="T24" s="319"/>
      <c r="U24" s="319"/>
      <c r="V24" s="316"/>
      <c r="W24" s="164"/>
    </row>
    <row r="25" customFormat="false" ht="12.75" hidden="false" customHeight="false" outlineLevel="0" collapsed="false">
      <c r="A25" s="163" t="s">
        <v>115</v>
      </c>
      <c r="B25" s="160" t="n">
        <f aca="false">B13-B22</f>
        <v>31744.3317496753</v>
      </c>
      <c r="C25" s="160" t="n">
        <f aca="false">C13-C22</f>
        <v>33236.7388902578</v>
      </c>
      <c r="D25" s="160" t="n">
        <f aca="false">D13-D22</f>
        <v>34900.3795486086</v>
      </c>
      <c r="E25" s="160" t="n">
        <f aca="false">E13-E22</f>
        <v>36739.3979888356</v>
      </c>
      <c r="F25" s="160" t="n">
        <f aca="false">F13-F22</f>
        <v>38669.8245861447</v>
      </c>
      <c r="G25" s="160" t="n">
        <f aca="false">G13-G22</f>
        <v>39072.9740026755</v>
      </c>
      <c r="H25" s="160" t="n">
        <f aca="false">H13-H22</f>
        <v>39569.4192283027</v>
      </c>
      <c r="I25" s="160" t="n">
        <f aca="false">I13-I22</f>
        <v>40070.8712171171</v>
      </c>
      <c r="J25" s="160" t="n">
        <f aca="false">J13-J22</f>
        <v>40577.3607257318</v>
      </c>
      <c r="K25" s="160" t="n">
        <f aca="false">K13-K22</f>
        <v>41088.9179017142</v>
      </c>
      <c r="L25" s="160" t="n">
        <f aca="false">L13-L22</f>
        <v>41876.9478964503</v>
      </c>
      <c r="M25" s="160" t="n">
        <f aca="false">M13-M22</f>
        <v>42678.7189273209</v>
      </c>
      <c r="N25" s="160" t="n">
        <f aca="false">N13-N22</f>
        <v>43141.1852240874</v>
      </c>
      <c r="O25" s="160" t="n">
        <f aca="false">O13-O22</f>
        <v>43971.1492486187</v>
      </c>
      <c r="P25" s="160" t="n">
        <f aca="false">P13-P22</f>
        <v>44373.9708686582</v>
      </c>
      <c r="Q25" s="160" t="n">
        <f aca="false">Q13-Q22</f>
        <v>45577.1918067469</v>
      </c>
      <c r="R25" s="160" t="n">
        <f aca="false">R13-R22</f>
        <v>46201.1800799016</v>
      </c>
      <c r="S25" s="160" t="n">
        <f aca="false">S13-S22</f>
        <v>46832.3401512216</v>
      </c>
      <c r="T25" s="160" t="n">
        <f aca="false">T13-T22</f>
        <v>47470.7314427068</v>
      </c>
      <c r="U25" s="160" t="n">
        <f aca="false">U13-U22</f>
        <v>48116.4129543965</v>
      </c>
      <c r="V25" s="293"/>
      <c r="W25" s="164" t="n">
        <f aca="false">SUM(B25:U25)</f>
        <v>825910.044439172</v>
      </c>
    </row>
    <row r="26" customFormat="false" ht="12.75" hidden="false" customHeight="false" outlineLevel="0" collapsed="false">
      <c r="A26" s="163"/>
      <c r="B26" s="320"/>
      <c r="C26" s="321"/>
      <c r="D26" s="320"/>
      <c r="E26" s="320"/>
      <c r="F26" s="320"/>
      <c r="G26" s="320"/>
      <c r="H26" s="320"/>
      <c r="I26" s="320"/>
      <c r="J26" s="320"/>
      <c r="K26" s="320"/>
      <c r="L26" s="320"/>
      <c r="M26" s="320"/>
      <c r="N26" s="320"/>
      <c r="O26" s="320"/>
      <c r="P26" s="320"/>
      <c r="Q26" s="320"/>
      <c r="R26" s="320"/>
      <c r="S26" s="320"/>
      <c r="T26" s="320"/>
      <c r="U26" s="320"/>
      <c r="V26" s="293"/>
      <c r="W26" s="164"/>
    </row>
    <row r="27" customFormat="false" ht="12.75" hidden="false" customHeight="false" outlineLevel="0" collapsed="false">
      <c r="A27" s="169" t="s">
        <v>116</v>
      </c>
      <c r="B27" s="153" t="n">
        <f aca="false">Depreciation!C13</f>
        <v>7104.36967006512</v>
      </c>
      <c r="C27" s="153" t="n">
        <f aca="false">Depreciation!D13</f>
        <v>7104.36967006512</v>
      </c>
      <c r="D27" s="153" t="n">
        <f aca="false">Depreciation!E13</f>
        <v>7104.36967006512</v>
      </c>
      <c r="E27" s="153" t="n">
        <f aca="false">Depreciation!F13</f>
        <v>7104.36967006512</v>
      </c>
      <c r="F27" s="153" t="n">
        <f aca="false">Depreciation!G13</f>
        <v>7104.36967006512</v>
      </c>
      <c r="G27" s="153" t="n">
        <f aca="false">Depreciation!H13</f>
        <v>7104.36967006512</v>
      </c>
      <c r="H27" s="153" t="n">
        <f aca="false">Depreciation!I13</f>
        <v>7104.36967006512</v>
      </c>
      <c r="I27" s="153" t="n">
        <f aca="false">Depreciation!J13</f>
        <v>7104.36967006512</v>
      </c>
      <c r="J27" s="153" t="n">
        <f aca="false">Depreciation!K13</f>
        <v>7104.36967006512</v>
      </c>
      <c r="K27" s="153" t="n">
        <f aca="false">Depreciation!L13</f>
        <v>7104.36967006512</v>
      </c>
      <c r="L27" s="153" t="n">
        <f aca="false">Depreciation!M13</f>
        <v>7104.36967006512</v>
      </c>
      <c r="M27" s="153" t="n">
        <f aca="false">Depreciation!N13</f>
        <v>7104.36967006512</v>
      </c>
      <c r="N27" s="153" t="n">
        <f aca="false">Depreciation!O13</f>
        <v>7104.36967006512</v>
      </c>
      <c r="O27" s="153" t="n">
        <f aca="false">Depreciation!P13</f>
        <v>7104.36967006512</v>
      </c>
      <c r="P27" s="153" t="n">
        <f aca="false">Depreciation!Q13</f>
        <v>7104.36967006512</v>
      </c>
      <c r="Q27" s="153" t="n">
        <f aca="false">Depreciation!R13</f>
        <v>7104.36967006512</v>
      </c>
      <c r="R27" s="153" t="n">
        <f aca="false">Depreciation!S13</f>
        <v>7104.36967006512</v>
      </c>
      <c r="S27" s="153" t="n">
        <f aca="false">Depreciation!T13</f>
        <v>7104.36967006512</v>
      </c>
      <c r="T27" s="153" t="n">
        <f aca="false">Depreciation!U13</f>
        <v>7104.36967006512</v>
      </c>
      <c r="U27" s="153" t="n">
        <f aca="false">Depreciation!V13</f>
        <v>7104.36967006512</v>
      </c>
      <c r="W27" s="164" t="n">
        <f aca="false">SUM(B27:U27)</f>
        <v>142087.393401302</v>
      </c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  <c r="IS27" s="1"/>
      <c r="IT27" s="1"/>
      <c r="IU27" s="1"/>
      <c r="IV27" s="1"/>
      <c r="IW27" s="1"/>
    </row>
    <row r="28" customFormat="false" ht="12.75" hidden="false" customHeight="false" outlineLevel="0" collapsed="false">
      <c r="A28" s="169"/>
      <c r="B28" s="153"/>
      <c r="C28" s="164"/>
      <c r="D28" s="153"/>
      <c r="E28" s="153"/>
      <c r="F28" s="153"/>
      <c r="G28" s="153"/>
      <c r="H28" s="153"/>
      <c r="I28" s="153"/>
      <c r="J28" s="153"/>
      <c r="K28" s="153"/>
      <c r="L28" s="153"/>
      <c r="M28" s="153"/>
      <c r="N28" s="153"/>
      <c r="O28" s="153"/>
      <c r="P28" s="153"/>
      <c r="Q28" s="153"/>
      <c r="R28" s="153"/>
      <c r="S28" s="153"/>
      <c r="T28" s="153"/>
      <c r="U28" s="153"/>
      <c r="W28" s="164"/>
    </row>
    <row r="29" customFormat="false" ht="12.75" hidden="false" customHeight="false" outlineLevel="0" collapsed="false">
      <c r="A29" s="163" t="s">
        <v>117</v>
      </c>
      <c r="B29" s="320" t="n">
        <f aca="false">B25-B27</f>
        <v>24639.9620796102</v>
      </c>
      <c r="C29" s="320" t="n">
        <f aca="false">C25-C27</f>
        <v>26132.3692201927</v>
      </c>
      <c r="D29" s="320" t="n">
        <f aca="false">D25-D27</f>
        <v>27796.0098785435</v>
      </c>
      <c r="E29" s="320" t="n">
        <f aca="false">E25-E27</f>
        <v>29635.0283187704</v>
      </c>
      <c r="F29" s="320" t="n">
        <f aca="false">F25-F27</f>
        <v>31565.4549160796</v>
      </c>
      <c r="G29" s="320" t="n">
        <f aca="false">G25-G27</f>
        <v>31968.6043326104</v>
      </c>
      <c r="H29" s="320" t="n">
        <f aca="false">H25-H27</f>
        <v>32465.0495582376</v>
      </c>
      <c r="I29" s="320" t="n">
        <f aca="false">I25-I27</f>
        <v>32966.501547052</v>
      </c>
      <c r="J29" s="320" t="n">
        <f aca="false">J25-J27</f>
        <v>33472.9910556666</v>
      </c>
      <c r="K29" s="320" t="n">
        <f aca="false">K25-K27</f>
        <v>33984.5482316491</v>
      </c>
      <c r="L29" s="320" t="n">
        <f aca="false">L25-L27</f>
        <v>34772.5782263852</v>
      </c>
      <c r="M29" s="320" t="n">
        <f aca="false">M25-M27</f>
        <v>35574.3492572558</v>
      </c>
      <c r="N29" s="320" t="n">
        <f aca="false">N25-N27</f>
        <v>36036.8155540223</v>
      </c>
      <c r="O29" s="320" t="n">
        <f aca="false">O25-O27</f>
        <v>36866.7795785535</v>
      </c>
      <c r="P29" s="320" t="n">
        <f aca="false">P25-P27</f>
        <v>37269.6011985931</v>
      </c>
      <c r="Q29" s="320" t="n">
        <f aca="false">Q25-Q27</f>
        <v>38472.8221366818</v>
      </c>
      <c r="R29" s="320" t="n">
        <f aca="false">R25-R27</f>
        <v>39096.8104098365</v>
      </c>
      <c r="S29" s="320" t="n">
        <f aca="false">S25-S27</f>
        <v>39727.9704811565</v>
      </c>
      <c r="T29" s="320" t="n">
        <f aca="false">T25-T27</f>
        <v>40366.3617726416</v>
      </c>
      <c r="U29" s="320" t="n">
        <f aca="false">U25-U27</f>
        <v>41012.0432843314</v>
      </c>
      <c r="V29" s="293"/>
      <c r="W29" s="164" t="n">
        <f aca="false">SUM(B29:U29)</f>
        <v>683822.65103787</v>
      </c>
      <c r="X29" s="316"/>
      <c r="Y29" s="316"/>
      <c r="Z29" s="316"/>
      <c r="AA29" s="316"/>
      <c r="AB29" s="316"/>
      <c r="AC29" s="316"/>
      <c r="AD29" s="316"/>
      <c r="AE29" s="316"/>
      <c r="AF29" s="316"/>
      <c r="AG29" s="316"/>
      <c r="AH29" s="316"/>
      <c r="AI29" s="316"/>
      <c r="AJ29" s="316"/>
      <c r="AK29" s="316"/>
      <c r="AL29" s="316"/>
      <c r="AM29" s="316"/>
      <c r="AN29" s="316"/>
      <c r="AO29" s="316"/>
      <c r="AP29" s="316"/>
      <c r="AQ29" s="316"/>
      <c r="AR29" s="316"/>
      <c r="AS29" s="316"/>
      <c r="AT29" s="316"/>
      <c r="AU29" s="316"/>
      <c r="AV29" s="316"/>
      <c r="AW29" s="316"/>
      <c r="AX29" s="316"/>
      <c r="AY29" s="316"/>
      <c r="AZ29" s="316"/>
      <c r="BA29" s="316"/>
      <c r="BB29" s="316"/>
      <c r="BC29" s="316"/>
      <c r="BD29" s="316"/>
      <c r="BE29" s="316"/>
      <c r="BF29" s="316"/>
      <c r="BG29" s="316"/>
      <c r="BH29" s="316"/>
      <c r="BI29" s="316"/>
      <c r="BJ29" s="316"/>
      <c r="BK29" s="316"/>
      <c r="BL29" s="316"/>
      <c r="BM29" s="316"/>
      <c r="BN29" s="316"/>
      <c r="BO29" s="316"/>
      <c r="BP29" s="316"/>
      <c r="BQ29" s="316"/>
      <c r="BR29" s="316"/>
      <c r="BS29" s="316"/>
      <c r="BT29" s="316"/>
      <c r="BU29" s="316"/>
      <c r="BV29" s="316"/>
      <c r="BW29" s="316"/>
      <c r="BX29" s="316"/>
      <c r="BY29" s="316"/>
      <c r="BZ29" s="316"/>
      <c r="CA29" s="316"/>
      <c r="CB29" s="316"/>
      <c r="CC29" s="316"/>
      <c r="CD29" s="316"/>
      <c r="CE29" s="316"/>
      <c r="CF29" s="316"/>
      <c r="CG29" s="316"/>
      <c r="CH29" s="316"/>
      <c r="CI29" s="316"/>
      <c r="CJ29" s="316"/>
      <c r="CK29" s="316"/>
      <c r="CL29" s="316"/>
      <c r="CM29" s="316"/>
      <c r="CN29" s="316"/>
      <c r="CO29" s="316"/>
      <c r="CP29" s="316"/>
      <c r="CQ29" s="316"/>
      <c r="CR29" s="316"/>
      <c r="CS29" s="316"/>
      <c r="CT29" s="316"/>
      <c r="CU29" s="316"/>
      <c r="CV29" s="316"/>
      <c r="CW29" s="316"/>
      <c r="CX29" s="316"/>
      <c r="CY29" s="316"/>
      <c r="CZ29" s="316"/>
      <c r="DA29" s="316"/>
      <c r="DB29" s="316"/>
      <c r="DC29" s="316"/>
      <c r="DD29" s="316"/>
      <c r="DE29" s="316"/>
      <c r="DF29" s="316"/>
      <c r="DG29" s="316"/>
      <c r="DH29" s="316"/>
      <c r="DI29" s="316"/>
      <c r="DJ29" s="316"/>
      <c r="DK29" s="316"/>
      <c r="DL29" s="316"/>
      <c r="DM29" s="316"/>
      <c r="DN29" s="316"/>
      <c r="DO29" s="316"/>
      <c r="DP29" s="316"/>
      <c r="DQ29" s="316"/>
      <c r="DR29" s="316"/>
      <c r="DS29" s="316"/>
      <c r="DT29" s="316"/>
      <c r="DU29" s="316"/>
      <c r="DV29" s="316"/>
      <c r="DW29" s="316"/>
      <c r="DX29" s="316"/>
      <c r="DY29" s="316"/>
      <c r="DZ29" s="316"/>
      <c r="EA29" s="316"/>
      <c r="EB29" s="316"/>
      <c r="EC29" s="316"/>
      <c r="ED29" s="316"/>
      <c r="EE29" s="316"/>
      <c r="EF29" s="316"/>
      <c r="EG29" s="316"/>
      <c r="EH29" s="316"/>
      <c r="EI29" s="316"/>
      <c r="EJ29" s="316"/>
      <c r="EK29" s="316"/>
      <c r="EL29" s="316"/>
      <c r="EM29" s="316"/>
      <c r="EN29" s="316"/>
      <c r="EO29" s="316"/>
      <c r="EP29" s="316"/>
      <c r="EQ29" s="316"/>
      <c r="ER29" s="316"/>
      <c r="ES29" s="316"/>
      <c r="ET29" s="316"/>
      <c r="EU29" s="316"/>
      <c r="EV29" s="316"/>
      <c r="EW29" s="316"/>
      <c r="EX29" s="316"/>
      <c r="EY29" s="316"/>
      <c r="EZ29" s="316"/>
      <c r="FA29" s="316"/>
      <c r="FB29" s="316"/>
      <c r="FC29" s="316"/>
      <c r="FD29" s="316"/>
      <c r="FE29" s="316"/>
      <c r="FF29" s="316"/>
      <c r="FG29" s="316"/>
      <c r="FH29" s="316"/>
      <c r="FI29" s="316"/>
      <c r="FJ29" s="316"/>
      <c r="FK29" s="316"/>
      <c r="FL29" s="316"/>
      <c r="FM29" s="316"/>
      <c r="FN29" s="316"/>
      <c r="FO29" s="316"/>
      <c r="FP29" s="316"/>
      <c r="FQ29" s="316"/>
      <c r="FR29" s="316"/>
      <c r="FS29" s="316"/>
      <c r="FT29" s="316"/>
      <c r="FU29" s="316"/>
      <c r="FV29" s="316"/>
      <c r="FW29" s="316"/>
      <c r="FX29" s="316"/>
      <c r="FY29" s="316"/>
      <c r="FZ29" s="316"/>
      <c r="GA29" s="316"/>
      <c r="GB29" s="316"/>
      <c r="GC29" s="316"/>
      <c r="GD29" s="316"/>
      <c r="GE29" s="316"/>
      <c r="GF29" s="316"/>
      <c r="GG29" s="316"/>
      <c r="GH29" s="316"/>
      <c r="GI29" s="316"/>
      <c r="GJ29" s="316"/>
      <c r="GK29" s="316"/>
      <c r="GL29" s="316"/>
      <c r="GM29" s="316"/>
      <c r="GN29" s="316"/>
      <c r="GO29" s="316"/>
      <c r="GP29" s="316"/>
      <c r="GQ29" s="316"/>
      <c r="GR29" s="316"/>
      <c r="GS29" s="316"/>
      <c r="GT29" s="316"/>
      <c r="GU29" s="316"/>
      <c r="GV29" s="316"/>
      <c r="GW29" s="316"/>
      <c r="GX29" s="316"/>
      <c r="GY29" s="316"/>
      <c r="GZ29" s="316"/>
      <c r="HA29" s="316"/>
      <c r="HB29" s="316"/>
      <c r="HC29" s="316"/>
      <c r="HD29" s="316"/>
      <c r="HE29" s="316"/>
      <c r="HF29" s="316"/>
      <c r="HG29" s="316"/>
      <c r="HH29" s="316"/>
      <c r="HI29" s="316"/>
      <c r="HJ29" s="316"/>
      <c r="HK29" s="316"/>
      <c r="HL29" s="316"/>
      <c r="HM29" s="316"/>
      <c r="HN29" s="316"/>
      <c r="HO29" s="316"/>
      <c r="HP29" s="316"/>
      <c r="HQ29" s="316"/>
      <c r="HR29" s="316"/>
      <c r="HS29" s="316"/>
      <c r="HT29" s="316"/>
      <c r="HU29" s="316"/>
      <c r="HV29" s="316"/>
      <c r="HW29" s="316"/>
      <c r="HX29" s="316"/>
      <c r="HY29" s="316"/>
      <c r="HZ29" s="316"/>
      <c r="IA29" s="316"/>
      <c r="IB29" s="316"/>
      <c r="IC29" s="316"/>
      <c r="ID29" s="316"/>
      <c r="IE29" s="316"/>
      <c r="IF29" s="316"/>
      <c r="IG29" s="316"/>
      <c r="IH29" s="316"/>
      <c r="II29" s="316"/>
      <c r="IJ29" s="316"/>
      <c r="IK29" s="316"/>
      <c r="IL29" s="316"/>
      <c r="IM29" s="316"/>
      <c r="IN29" s="316"/>
      <c r="IO29" s="316"/>
      <c r="IP29" s="316"/>
      <c r="IQ29" s="316"/>
      <c r="IR29" s="316"/>
      <c r="IS29" s="316"/>
      <c r="IT29" s="316"/>
      <c r="IU29" s="316"/>
      <c r="IV29" s="316"/>
      <c r="IW29" s="316"/>
    </row>
    <row r="30" customFormat="false" ht="12.75" hidden="false" customHeight="false" outlineLevel="0" collapsed="false">
      <c r="A30" s="163"/>
      <c r="B30" s="320"/>
      <c r="C30" s="320"/>
      <c r="D30" s="320"/>
      <c r="E30" s="320"/>
      <c r="F30" s="320"/>
      <c r="G30" s="320"/>
      <c r="H30" s="320"/>
      <c r="I30" s="320"/>
      <c r="J30" s="320"/>
      <c r="K30" s="320"/>
      <c r="L30" s="320"/>
      <c r="M30" s="320"/>
      <c r="N30" s="320"/>
      <c r="O30" s="320"/>
      <c r="P30" s="320"/>
      <c r="Q30" s="320"/>
      <c r="R30" s="320"/>
      <c r="S30" s="320"/>
      <c r="T30" s="320"/>
      <c r="U30" s="320"/>
      <c r="V30" s="293"/>
      <c r="W30" s="164"/>
      <c r="X30" s="316"/>
      <c r="Y30" s="316"/>
      <c r="Z30" s="316"/>
      <c r="AA30" s="316"/>
      <c r="AB30" s="316"/>
      <c r="AC30" s="316"/>
      <c r="AD30" s="316"/>
      <c r="AE30" s="316"/>
      <c r="AF30" s="316"/>
      <c r="AG30" s="316"/>
      <c r="AH30" s="316"/>
      <c r="AI30" s="316"/>
      <c r="AJ30" s="316"/>
      <c r="AK30" s="316"/>
      <c r="AL30" s="316"/>
      <c r="AM30" s="316"/>
      <c r="AN30" s="316"/>
      <c r="AO30" s="316"/>
      <c r="AP30" s="316"/>
      <c r="AQ30" s="316"/>
      <c r="AR30" s="316"/>
      <c r="AS30" s="316"/>
      <c r="AT30" s="316"/>
      <c r="AU30" s="316"/>
      <c r="AV30" s="316"/>
      <c r="AW30" s="316"/>
      <c r="AX30" s="316"/>
      <c r="AY30" s="316"/>
      <c r="AZ30" s="316"/>
      <c r="BA30" s="316"/>
      <c r="BB30" s="316"/>
      <c r="BC30" s="316"/>
      <c r="BD30" s="316"/>
      <c r="BE30" s="316"/>
      <c r="BF30" s="316"/>
      <c r="BG30" s="316"/>
      <c r="BH30" s="316"/>
      <c r="BI30" s="316"/>
      <c r="BJ30" s="316"/>
      <c r="BK30" s="316"/>
      <c r="BL30" s="316"/>
      <c r="BM30" s="316"/>
      <c r="BN30" s="316"/>
      <c r="BO30" s="316"/>
      <c r="BP30" s="316"/>
      <c r="BQ30" s="316"/>
      <c r="BR30" s="316"/>
      <c r="BS30" s="316"/>
      <c r="BT30" s="316"/>
      <c r="BU30" s="316"/>
      <c r="BV30" s="316"/>
      <c r="BW30" s="316"/>
      <c r="BX30" s="316"/>
      <c r="BY30" s="316"/>
      <c r="BZ30" s="316"/>
      <c r="CA30" s="316"/>
      <c r="CB30" s="316"/>
      <c r="CC30" s="316"/>
      <c r="CD30" s="316"/>
      <c r="CE30" s="316"/>
      <c r="CF30" s="316"/>
      <c r="CG30" s="316"/>
      <c r="CH30" s="316"/>
      <c r="CI30" s="316"/>
      <c r="CJ30" s="316"/>
      <c r="CK30" s="316"/>
      <c r="CL30" s="316"/>
      <c r="CM30" s="316"/>
      <c r="CN30" s="316"/>
      <c r="CO30" s="316"/>
      <c r="CP30" s="316"/>
      <c r="CQ30" s="316"/>
      <c r="CR30" s="316"/>
      <c r="CS30" s="316"/>
      <c r="CT30" s="316"/>
      <c r="CU30" s="316"/>
      <c r="CV30" s="316"/>
      <c r="CW30" s="316"/>
      <c r="CX30" s="316"/>
      <c r="CY30" s="316"/>
      <c r="CZ30" s="316"/>
      <c r="DA30" s="316"/>
      <c r="DB30" s="316"/>
      <c r="DC30" s="316"/>
      <c r="DD30" s="316"/>
      <c r="DE30" s="316"/>
      <c r="DF30" s="316"/>
      <c r="DG30" s="316"/>
      <c r="DH30" s="316"/>
      <c r="DI30" s="316"/>
      <c r="DJ30" s="316"/>
      <c r="DK30" s="316"/>
      <c r="DL30" s="316"/>
      <c r="DM30" s="316"/>
      <c r="DN30" s="316"/>
      <c r="DO30" s="316"/>
      <c r="DP30" s="316"/>
      <c r="DQ30" s="316"/>
      <c r="DR30" s="316"/>
      <c r="DS30" s="316"/>
      <c r="DT30" s="316"/>
      <c r="DU30" s="316"/>
      <c r="DV30" s="316"/>
      <c r="DW30" s="316"/>
      <c r="DX30" s="316"/>
      <c r="DY30" s="316"/>
      <c r="DZ30" s="316"/>
      <c r="EA30" s="316"/>
      <c r="EB30" s="316"/>
      <c r="EC30" s="316"/>
      <c r="ED30" s="316"/>
      <c r="EE30" s="316"/>
      <c r="EF30" s="316"/>
      <c r="EG30" s="316"/>
      <c r="EH30" s="316"/>
      <c r="EI30" s="316"/>
      <c r="EJ30" s="316"/>
      <c r="EK30" s="316"/>
      <c r="EL30" s="316"/>
      <c r="EM30" s="316"/>
      <c r="EN30" s="316"/>
      <c r="EO30" s="316"/>
      <c r="EP30" s="316"/>
      <c r="EQ30" s="316"/>
      <c r="ER30" s="316"/>
      <c r="ES30" s="316"/>
      <c r="ET30" s="316"/>
      <c r="EU30" s="316"/>
      <c r="EV30" s="316"/>
      <c r="EW30" s="316"/>
      <c r="EX30" s="316"/>
      <c r="EY30" s="316"/>
      <c r="EZ30" s="316"/>
      <c r="FA30" s="316"/>
      <c r="FB30" s="316"/>
      <c r="FC30" s="316"/>
      <c r="FD30" s="316"/>
      <c r="FE30" s="316"/>
      <c r="FF30" s="316"/>
      <c r="FG30" s="316"/>
      <c r="FH30" s="316"/>
      <c r="FI30" s="316"/>
      <c r="FJ30" s="316"/>
      <c r="FK30" s="316"/>
      <c r="FL30" s="316"/>
      <c r="FM30" s="316"/>
      <c r="FN30" s="316"/>
      <c r="FO30" s="316"/>
      <c r="FP30" s="316"/>
      <c r="FQ30" s="316"/>
      <c r="FR30" s="316"/>
      <c r="FS30" s="316"/>
      <c r="FT30" s="316"/>
      <c r="FU30" s="316"/>
      <c r="FV30" s="316"/>
      <c r="FW30" s="316"/>
      <c r="FX30" s="316"/>
      <c r="FY30" s="316"/>
      <c r="FZ30" s="316"/>
      <c r="GA30" s="316"/>
      <c r="GB30" s="316"/>
      <c r="GC30" s="316"/>
      <c r="GD30" s="316"/>
      <c r="GE30" s="316"/>
      <c r="GF30" s="316"/>
      <c r="GG30" s="316"/>
      <c r="GH30" s="316"/>
      <c r="GI30" s="316"/>
      <c r="GJ30" s="316"/>
      <c r="GK30" s="316"/>
      <c r="GL30" s="316"/>
      <c r="GM30" s="316"/>
      <c r="GN30" s="316"/>
      <c r="GO30" s="316"/>
      <c r="GP30" s="316"/>
      <c r="GQ30" s="316"/>
      <c r="GR30" s="316"/>
      <c r="GS30" s="316"/>
      <c r="GT30" s="316"/>
      <c r="GU30" s="316"/>
      <c r="GV30" s="316"/>
      <c r="GW30" s="316"/>
      <c r="GX30" s="316"/>
      <c r="GY30" s="316"/>
      <c r="GZ30" s="316"/>
      <c r="HA30" s="316"/>
      <c r="HB30" s="316"/>
      <c r="HC30" s="316"/>
      <c r="HD30" s="316"/>
      <c r="HE30" s="316"/>
      <c r="HF30" s="316"/>
      <c r="HG30" s="316"/>
      <c r="HH30" s="316"/>
      <c r="HI30" s="316"/>
      <c r="HJ30" s="316"/>
      <c r="HK30" s="316"/>
      <c r="HL30" s="316"/>
      <c r="HM30" s="316"/>
      <c r="HN30" s="316"/>
      <c r="HO30" s="316"/>
      <c r="HP30" s="316"/>
      <c r="HQ30" s="316"/>
      <c r="HR30" s="316"/>
      <c r="HS30" s="316"/>
      <c r="HT30" s="316"/>
      <c r="HU30" s="316"/>
      <c r="HV30" s="316"/>
      <c r="HW30" s="316"/>
      <c r="HX30" s="316"/>
      <c r="HY30" s="316"/>
      <c r="HZ30" s="316"/>
      <c r="IA30" s="316"/>
      <c r="IB30" s="316"/>
      <c r="IC30" s="316"/>
      <c r="ID30" s="316"/>
      <c r="IE30" s="316"/>
      <c r="IF30" s="316"/>
      <c r="IG30" s="316"/>
      <c r="IH30" s="316"/>
      <c r="II30" s="316"/>
      <c r="IJ30" s="316"/>
      <c r="IK30" s="316"/>
      <c r="IL30" s="316"/>
      <c r="IM30" s="316"/>
      <c r="IN30" s="316"/>
      <c r="IO30" s="316"/>
      <c r="IP30" s="316"/>
      <c r="IQ30" s="316"/>
      <c r="IR30" s="316"/>
      <c r="IS30" s="316"/>
      <c r="IT30" s="316"/>
      <c r="IU30" s="316"/>
      <c r="IV30" s="316"/>
      <c r="IW30" s="316"/>
    </row>
    <row r="31" customFormat="false" ht="12.75" hidden="false" customHeight="false" outlineLevel="0" collapsed="false">
      <c r="A31" s="4" t="s">
        <v>118</v>
      </c>
      <c r="B31" s="153" t="n">
        <f aca="false">IS!B33*Allocation!$E$6</f>
        <v>11998.3228552074</v>
      </c>
      <c r="C31" s="153" t="n">
        <f aca="false">IS!C33*Allocation!$E$6</f>
        <v>12031.2852806338</v>
      </c>
      <c r="D31" s="153" t="n">
        <f aca="false">IS!D33*Allocation!$E$6</f>
        <v>12031.2852806338</v>
      </c>
      <c r="E31" s="153" t="n">
        <f aca="false">IS!E33*Allocation!$E$6</f>
        <v>12024.4669471869</v>
      </c>
      <c r="F31" s="153" t="n">
        <f aca="false">IS!F33*Allocation!$E$6</f>
        <v>11818.7023992331</v>
      </c>
      <c r="G31" s="153" t="n">
        <f aca="false">IS!G33*Allocation!$E$6</f>
        <v>11593.9716339208</v>
      </c>
      <c r="H31" s="153" t="n">
        <f aca="false">IS!H33*Allocation!$E$6</f>
        <v>11341.4045115043</v>
      </c>
      <c r="I31" s="153" t="n">
        <f aca="false">IS!I33*Allocation!$E$6</f>
        <v>11093.3326627682</v>
      </c>
      <c r="J31" s="153" t="n">
        <f aca="false">IS!J33*Allocation!$E$6</f>
        <v>10748.9560792929</v>
      </c>
      <c r="K31" s="153" t="n">
        <f aca="false">IS!K33*Allocation!$E$6</f>
        <v>10385.2673588168</v>
      </c>
      <c r="L31" s="153" t="n">
        <f aca="false">IS!L33*Allocation!$E$6</f>
        <v>9765.43964757023</v>
      </c>
      <c r="M31" s="153" t="n">
        <f aca="false">IS!M33*Allocation!$E$6</f>
        <v>8772.65827870356</v>
      </c>
      <c r="N31" s="153" t="n">
        <f aca="false">IS!N33*Allocation!$E$6</f>
        <v>7730.53750164108</v>
      </c>
      <c r="O31" s="153" t="n">
        <f aca="false">IS!O33*Allocation!$E$6</f>
        <v>6713.08642867651</v>
      </c>
      <c r="P31" s="153" t="n">
        <f aca="false">IS!P33*Allocation!$E$6</f>
        <v>5682.8126846554</v>
      </c>
      <c r="Q31" s="153" t="n">
        <f aca="false">IS!Q33*Allocation!$E$6</f>
        <v>4615.04656547984</v>
      </c>
      <c r="R31" s="153" t="n">
        <f aca="false">IS!R33*Allocation!$E$6</f>
        <v>3482.47020672504</v>
      </c>
      <c r="S31" s="153" t="n">
        <f aca="false">IS!S33*Allocation!$E$6</f>
        <v>2414.56471069017</v>
      </c>
      <c r="T31" s="153" t="n">
        <f aca="false">IS!T33*Allocation!$E$6</f>
        <v>1498.85874502205</v>
      </c>
      <c r="U31" s="153" t="n">
        <f aca="false">IS!U33*Allocation!$E$6</f>
        <v>585.382809102904</v>
      </c>
      <c r="W31" s="164" t="n">
        <f aca="false">SUM(B31:U31)</f>
        <v>166327.852587465</v>
      </c>
      <c r="X31" s="293"/>
      <c r="Y31" s="293"/>
      <c r="Z31" s="293"/>
      <c r="AA31" s="293"/>
      <c r="AB31" s="293"/>
      <c r="AC31" s="293"/>
      <c r="AD31" s="293"/>
      <c r="AE31" s="293"/>
      <c r="AF31" s="293"/>
      <c r="AG31" s="293"/>
      <c r="AH31" s="293"/>
      <c r="AI31" s="293"/>
      <c r="AJ31" s="293"/>
      <c r="AK31" s="293"/>
      <c r="AL31" s="293"/>
      <c r="AM31" s="293"/>
      <c r="AN31" s="293"/>
      <c r="AO31" s="293"/>
      <c r="AP31" s="293"/>
      <c r="AQ31" s="293"/>
      <c r="AR31" s="293"/>
      <c r="AS31" s="293"/>
      <c r="AT31" s="293"/>
      <c r="AU31" s="293"/>
      <c r="AV31" s="293"/>
      <c r="AW31" s="293"/>
      <c r="AX31" s="293"/>
      <c r="AY31" s="293"/>
      <c r="AZ31" s="293"/>
      <c r="BA31" s="293"/>
      <c r="BB31" s="293"/>
      <c r="BC31" s="293"/>
      <c r="BD31" s="293"/>
      <c r="BE31" s="293"/>
      <c r="BF31" s="293"/>
      <c r="BG31" s="293"/>
      <c r="BH31" s="293"/>
      <c r="BI31" s="293"/>
      <c r="BJ31" s="293"/>
      <c r="BK31" s="293"/>
      <c r="BL31" s="293"/>
      <c r="BM31" s="293"/>
      <c r="BN31" s="293"/>
      <c r="BO31" s="293"/>
      <c r="BP31" s="293"/>
      <c r="BQ31" s="293"/>
      <c r="BR31" s="293"/>
      <c r="BS31" s="293"/>
      <c r="BT31" s="293"/>
      <c r="BU31" s="293"/>
      <c r="BV31" s="293"/>
      <c r="BW31" s="293"/>
      <c r="BX31" s="293"/>
      <c r="BY31" s="293"/>
      <c r="BZ31" s="293"/>
      <c r="CA31" s="293"/>
      <c r="CB31" s="293"/>
      <c r="CC31" s="293"/>
      <c r="CD31" s="293"/>
      <c r="CE31" s="293"/>
      <c r="CF31" s="293"/>
      <c r="CG31" s="293"/>
      <c r="CH31" s="293"/>
      <c r="CI31" s="293"/>
      <c r="CJ31" s="293"/>
      <c r="CK31" s="293"/>
      <c r="CL31" s="293"/>
      <c r="CM31" s="293"/>
      <c r="CN31" s="293"/>
      <c r="CO31" s="293"/>
      <c r="CP31" s="293"/>
      <c r="CQ31" s="293"/>
      <c r="CR31" s="293"/>
      <c r="CS31" s="293"/>
      <c r="CT31" s="293"/>
      <c r="CU31" s="293"/>
      <c r="CV31" s="293"/>
      <c r="CW31" s="293"/>
      <c r="CX31" s="293"/>
      <c r="CY31" s="293"/>
      <c r="CZ31" s="293"/>
      <c r="DA31" s="293"/>
      <c r="DB31" s="293"/>
      <c r="DC31" s="293"/>
      <c r="DD31" s="293"/>
      <c r="DE31" s="293"/>
      <c r="DF31" s="293"/>
      <c r="DG31" s="293"/>
      <c r="DH31" s="293"/>
      <c r="DI31" s="293"/>
      <c r="DJ31" s="293"/>
      <c r="DK31" s="293"/>
      <c r="DL31" s="293"/>
      <c r="DM31" s="293"/>
      <c r="DN31" s="293"/>
      <c r="DO31" s="293"/>
      <c r="DP31" s="293"/>
      <c r="DQ31" s="293"/>
      <c r="DR31" s="293"/>
      <c r="DS31" s="293"/>
      <c r="DT31" s="293"/>
      <c r="DU31" s="293"/>
      <c r="DV31" s="293"/>
      <c r="DW31" s="293"/>
      <c r="DX31" s="293"/>
      <c r="DY31" s="293"/>
      <c r="DZ31" s="293"/>
      <c r="EA31" s="293"/>
      <c r="EB31" s="293"/>
      <c r="EC31" s="293"/>
      <c r="ED31" s="293"/>
      <c r="EE31" s="293"/>
      <c r="EF31" s="293"/>
      <c r="EG31" s="293"/>
      <c r="EH31" s="293"/>
      <c r="EI31" s="293"/>
      <c r="EJ31" s="293"/>
      <c r="EK31" s="293"/>
      <c r="EL31" s="293"/>
      <c r="EM31" s="293"/>
      <c r="EN31" s="293"/>
      <c r="EO31" s="293"/>
      <c r="EP31" s="293"/>
      <c r="EQ31" s="293"/>
      <c r="ER31" s="293"/>
      <c r="ES31" s="293"/>
      <c r="ET31" s="293"/>
      <c r="EU31" s="293"/>
      <c r="EV31" s="293"/>
      <c r="EW31" s="293"/>
      <c r="EX31" s="293"/>
      <c r="EY31" s="293"/>
      <c r="EZ31" s="293"/>
      <c r="FA31" s="293"/>
      <c r="FB31" s="293"/>
      <c r="FC31" s="293"/>
      <c r="FD31" s="293"/>
      <c r="FE31" s="293"/>
      <c r="FF31" s="293"/>
      <c r="FG31" s="293"/>
      <c r="FH31" s="293"/>
      <c r="FI31" s="293"/>
      <c r="FJ31" s="293"/>
      <c r="FK31" s="293"/>
      <c r="FL31" s="293"/>
      <c r="FM31" s="293"/>
      <c r="FN31" s="293"/>
      <c r="FO31" s="293"/>
      <c r="FP31" s="293"/>
      <c r="FQ31" s="293"/>
      <c r="FR31" s="293"/>
      <c r="FS31" s="293"/>
      <c r="FT31" s="293"/>
      <c r="FU31" s="293"/>
      <c r="FV31" s="293"/>
      <c r="FW31" s="293"/>
      <c r="FX31" s="293"/>
      <c r="FY31" s="293"/>
      <c r="FZ31" s="293"/>
      <c r="GA31" s="293"/>
      <c r="GB31" s="293"/>
      <c r="GC31" s="293"/>
      <c r="GD31" s="293"/>
      <c r="GE31" s="293"/>
      <c r="GF31" s="293"/>
      <c r="GG31" s="293"/>
      <c r="GH31" s="293"/>
      <c r="GI31" s="293"/>
      <c r="GJ31" s="293"/>
      <c r="GK31" s="293"/>
      <c r="GL31" s="293"/>
      <c r="GM31" s="293"/>
      <c r="GN31" s="293"/>
      <c r="GO31" s="293"/>
      <c r="GP31" s="293"/>
      <c r="GQ31" s="293"/>
      <c r="GR31" s="293"/>
      <c r="GS31" s="293"/>
      <c r="GT31" s="293"/>
      <c r="GU31" s="293"/>
      <c r="GV31" s="293"/>
      <c r="GW31" s="293"/>
      <c r="GX31" s="293"/>
      <c r="GY31" s="293"/>
      <c r="GZ31" s="293"/>
      <c r="HA31" s="293"/>
      <c r="HB31" s="293"/>
      <c r="HC31" s="293"/>
      <c r="HD31" s="293"/>
      <c r="HE31" s="293"/>
      <c r="HF31" s="293"/>
      <c r="HG31" s="293"/>
      <c r="HH31" s="293"/>
      <c r="HI31" s="293"/>
      <c r="HJ31" s="293"/>
      <c r="HK31" s="293"/>
      <c r="HL31" s="293"/>
      <c r="HM31" s="293"/>
      <c r="HN31" s="293"/>
      <c r="HO31" s="293"/>
      <c r="HP31" s="293"/>
      <c r="HQ31" s="293"/>
      <c r="HR31" s="293"/>
      <c r="HS31" s="293"/>
      <c r="HT31" s="293"/>
      <c r="HU31" s="293"/>
      <c r="HV31" s="293"/>
      <c r="HW31" s="293"/>
      <c r="HX31" s="293"/>
      <c r="HY31" s="293"/>
      <c r="HZ31" s="293"/>
      <c r="IA31" s="293"/>
      <c r="IB31" s="293"/>
      <c r="IC31" s="293"/>
      <c r="ID31" s="293"/>
      <c r="IE31" s="293"/>
      <c r="IF31" s="293"/>
      <c r="IG31" s="293"/>
      <c r="IH31" s="293"/>
      <c r="II31" s="293"/>
      <c r="IJ31" s="293"/>
      <c r="IK31" s="293"/>
      <c r="IL31" s="293"/>
      <c r="IM31" s="293"/>
      <c r="IN31" s="293"/>
      <c r="IO31" s="293"/>
      <c r="IP31" s="293"/>
      <c r="IQ31" s="293"/>
      <c r="IR31" s="293"/>
      <c r="IS31" s="293"/>
      <c r="IT31" s="293"/>
      <c r="IU31" s="293"/>
      <c r="IV31" s="293"/>
      <c r="IW31" s="293"/>
    </row>
    <row r="32" customFormat="false" ht="12.75" hidden="false" customHeight="false" outlineLevel="0" collapsed="false">
      <c r="B32" s="259"/>
      <c r="C32" s="259"/>
      <c r="D32" s="259"/>
      <c r="E32" s="259"/>
      <c r="F32" s="259"/>
      <c r="G32" s="259"/>
      <c r="H32" s="259"/>
      <c r="I32" s="259"/>
      <c r="J32" s="259"/>
      <c r="K32" s="259"/>
      <c r="L32" s="259"/>
      <c r="M32" s="259"/>
      <c r="N32" s="259"/>
      <c r="O32" s="259"/>
      <c r="P32" s="259"/>
      <c r="Q32" s="259"/>
      <c r="R32" s="259"/>
      <c r="S32" s="259"/>
      <c r="T32" s="259"/>
      <c r="U32" s="259"/>
      <c r="W32" s="164"/>
      <c r="X32" s="293"/>
      <c r="Y32" s="293"/>
      <c r="Z32" s="293"/>
      <c r="AA32" s="293"/>
      <c r="AB32" s="293"/>
      <c r="AC32" s="293"/>
      <c r="AD32" s="293"/>
      <c r="AE32" s="293"/>
      <c r="AF32" s="293"/>
      <c r="AG32" s="293"/>
      <c r="AH32" s="293"/>
      <c r="AI32" s="293"/>
      <c r="AJ32" s="293"/>
      <c r="AK32" s="293"/>
      <c r="AL32" s="293"/>
      <c r="AM32" s="293"/>
      <c r="AN32" s="293"/>
      <c r="AO32" s="293"/>
      <c r="AP32" s="293"/>
      <c r="AQ32" s="293"/>
      <c r="AR32" s="293"/>
      <c r="AS32" s="293"/>
      <c r="AT32" s="293"/>
      <c r="AU32" s="293"/>
      <c r="AV32" s="293"/>
      <c r="AW32" s="293"/>
      <c r="AX32" s="293"/>
      <c r="AY32" s="293"/>
      <c r="AZ32" s="293"/>
      <c r="BA32" s="293"/>
      <c r="BB32" s="293"/>
      <c r="BC32" s="293"/>
      <c r="BD32" s="293"/>
      <c r="BE32" s="293"/>
      <c r="BF32" s="293"/>
      <c r="BG32" s="293"/>
      <c r="BH32" s="293"/>
      <c r="BI32" s="293"/>
      <c r="BJ32" s="293"/>
      <c r="BK32" s="293"/>
      <c r="BL32" s="293"/>
      <c r="BM32" s="293"/>
      <c r="BN32" s="293"/>
      <c r="BO32" s="293"/>
      <c r="BP32" s="293"/>
      <c r="BQ32" s="293"/>
      <c r="BR32" s="293"/>
      <c r="BS32" s="293"/>
      <c r="BT32" s="293"/>
      <c r="BU32" s="293"/>
      <c r="BV32" s="293"/>
      <c r="BW32" s="293"/>
      <c r="BX32" s="293"/>
      <c r="BY32" s="293"/>
      <c r="BZ32" s="293"/>
      <c r="CA32" s="293"/>
      <c r="CB32" s="293"/>
      <c r="CC32" s="293"/>
      <c r="CD32" s="293"/>
      <c r="CE32" s="293"/>
      <c r="CF32" s="293"/>
      <c r="CG32" s="293"/>
      <c r="CH32" s="293"/>
      <c r="CI32" s="293"/>
      <c r="CJ32" s="293"/>
      <c r="CK32" s="293"/>
      <c r="CL32" s="293"/>
      <c r="CM32" s="293"/>
      <c r="CN32" s="293"/>
      <c r="CO32" s="293"/>
      <c r="CP32" s="293"/>
      <c r="CQ32" s="293"/>
      <c r="CR32" s="293"/>
      <c r="CS32" s="293"/>
      <c r="CT32" s="293"/>
      <c r="CU32" s="293"/>
      <c r="CV32" s="293"/>
      <c r="CW32" s="293"/>
      <c r="CX32" s="293"/>
      <c r="CY32" s="293"/>
      <c r="CZ32" s="293"/>
      <c r="DA32" s="293"/>
      <c r="DB32" s="293"/>
      <c r="DC32" s="293"/>
      <c r="DD32" s="293"/>
      <c r="DE32" s="293"/>
      <c r="DF32" s="293"/>
      <c r="DG32" s="293"/>
      <c r="DH32" s="293"/>
      <c r="DI32" s="293"/>
      <c r="DJ32" s="293"/>
      <c r="DK32" s="293"/>
      <c r="DL32" s="293"/>
      <c r="DM32" s="293"/>
      <c r="DN32" s="293"/>
      <c r="DO32" s="293"/>
      <c r="DP32" s="293"/>
      <c r="DQ32" s="293"/>
      <c r="DR32" s="293"/>
      <c r="DS32" s="293"/>
      <c r="DT32" s="293"/>
      <c r="DU32" s="293"/>
      <c r="DV32" s="293"/>
      <c r="DW32" s="293"/>
      <c r="DX32" s="293"/>
      <c r="DY32" s="293"/>
      <c r="DZ32" s="293"/>
      <c r="EA32" s="293"/>
      <c r="EB32" s="293"/>
      <c r="EC32" s="293"/>
      <c r="ED32" s="293"/>
      <c r="EE32" s="293"/>
      <c r="EF32" s="293"/>
      <c r="EG32" s="293"/>
      <c r="EH32" s="293"/>
      <c r="EI32" s="293"/>
      <c r="EJ32" s="293"/>
      <c r="EK32" s="293"/>
      <c r="EL32" s="293"/>
      <c r="EM32" s="293"/>
      <c r="EN32" s="293"/>
      <c r="EO32" s="293"/>
      <c r="EP32" s="293"/>
      <c r="EQ32" s="293"/>
      <c r="ER32" s="293"/>
      <c r="ES32" s="293"/>
      <c r="ET32" s="293"/>
      <c r="EU32" s="293"/>
      <c r="EV32" s="293"/>
      <c r="EW32" s="293"/>
      <c r="EX32" s="293"/>
      <c r="EY32" s="293"/>
      <c r="EZ32" s="293"/>
      <c r="FA32" s="293"/>
      <c r="FB32" s="293"/>
      <c r="FC32" s="293"/>
      <c r="FD32" s="293"/>
      <c r="FE32" s="293"/>
      <c r="FF32" s="293"/>
      <c r="FG32" s="293"/>
      <c r="FH32" s="293"/>
      <c r="FI32" s="293"/>
      <c r="FJ32" s="293"/>
      <c r="FK32" s="293"/>
      <c r="FL32" s="293"/>
      <c r="FM32" s="293"/>
      <c r="FN32" s="293"/>
      <c r="FO32" s="293"/>
      <c r="FP32" s="293"/>
      <c r="FQ32" s="293"/>
      <c r="FR32" s="293"/>
      <c r="FS32" s="293"/>
      <c r="FT32" s="293"/>
      <c r="FU32" s="293"/>
      <c r="FV32" s="293"/>
      <c r="FW32" s="293"/>
      <c r="FX32" s="293"/>
      <c r="FY32" s="293"/>
      <c r="FZ32" s="293"/>
      <c r="GA32" s="293"/>
      <c r="GB32" s="293"/>
      <c r="GC32" s="293"/>
      <c r="GD32" s="293"/>
      <c r="GE32" s="293"/>
      <c r="GF32" s="293"/>
      <c r="GG32" s="293"/>
      <c r="GH32" s="293"/>
      <c r="GI32" s="293"/>
      <c r="GJ32" s="293"/>
      <c r="GK32" s="293"/>
      <c r="GL32" s="293"/>
      <c r="GM32" s="293"/>
      <c r="GN32" s="293"/>
      <c r="GO32" s="293"/>
      <c r="GP32" s="293"/>
      <c r="GQ32" s="293"/>
      <c r="GR32" s="293"/>
      <c r="GS32" s="293"/>
      <c r="GT32" s="293"/>
      <c r="GU32" s="293"/>
      <c r="GV32" s="293"/>
      <c r="GW32" s="293"/>
      <c r="GX32" s="293"/>
      <c r="GY32" s="293"/>
      <c r="GZ32" s="293"/>
      <c r="HA32" s="293"/>
      <c r="HB32" s="293"/>
      <c r="HC32" s="293"/>
      <c r="HD32" s="293"/>
      <c r="HE32" s="293"/>
      <c r="HF32" s="293"/>
      <c r="HG32" s="293"/>
      <c r="HH32" s="293"/>
      <c r="HI32" s="293"/>
      <c r="HJ32" s="293"/>
      <c r="HK32" s="293"/>
      <c r="HL32" s="293"/>
      <c r="HM32" s="293"/>
      <c r="HN32" s="293"/>
      <c r="HO32" s="293"/>
      <c r="HP32" s="293"/>
      <c r="HQ32" s="293"/>
      <c r="HR32" s="293"/>
      <c r="HS32" s="293"/>
      <c r="HT32" s="293"/>
      <c r="HU32" s="293"/>
      <c r="HV32" s="293"/>
      <c r="HW32" s="293"/>
      <c r="HX32" s="293"/>
      <c r="HY32" s="293"/>
      <c r="HZ32" s="293"/>
      <c r="IA32" s="293"/>
      <c r="IB32" s="293"/>
      <c r="IC32" s="293"/>
      <c r="ID32" s="293"/>
      <c r="IE32" s="293"/>
      <c r="IF32" s="293"/>
      <c r="IG32" s="293"/>
      <c r="IH32" s="293"/>
      <c r="II32" s="293"/>
      <c r="IJ32" s="293"/>
      <c r="IK32" s="293"/>
      <c r="IL32" s="293"/>
      <c r="IM32" s="293"/>
      <c r="IN32" s="293"/>
      <c r="IO32" s="293"/>
      <c r="IP32" s="293"/>
      <c r="IQ32" s="293"/>
      <c r="IR32" s="293"/>
      <c r="IS32" s="293"/>
      <c r="IT32" s="293"/>
      <c r="IU32" s="293"/>
      <c r="IV32" s="293"/>
      <c r="IW32" s="293"/>
    </row>
    <row r="33" customFormat="false" ht="12.75" hidden="false" customHeight="false" outlineLevel="0" collapsed="false">
      <c r="A33" s="163" t="s">
        <v>119</v>
      </c>
      <c r="B33" s="320" t="n">
        <f aca="false">B29-B31</f>
        <v>12641.6392244028</v>
      </c>
      <c r="C33" s="320" t="n">
        <f aca="false">C29-C31</f>
        <v>14101.0839395589</v>
      </c>
      <c r="D33" s="320" t="n">
        <f aca="false">D29-D31</f>
        <v>15764.7245979097</v>
      </c>
      <c r="E33" s="320" t="n">
        <f aca="false">E29-E31</f>
        <v>17610.5613715835</v>
      </c>
      <c r="F33" s="320" t="n">
        <f aca="false">F29-F31</f>
        <v>19746.7525168465</v>
      </c>
      <c r="G33" s="320" t="n">
        <f aca="false">G29-G31</f>
        <v>20374.6326986896</v>
      </c>
      <c r="H33" s="320" t="n">
        <f aca="false">H29-H31</f>
        <v>21123.6450467333</v>
      </c>
      <c r="I33" s="320" t="n">
        <f aca="false">I29-I31</f>
        <v>21873.1688842838</v>
      </c>
      <c r="J33" s="320" t="n">
        <f aca="false">J29-J31</f>
        <v>22724.0349763737</v>
      </c>
      <c r="K33" s="320" t="n">
        <f aca="false">K29-K31</f>
        <v>23599.2808728323</v>
      </c>
      <c r="L33" s="320" t="n">
        <f aca="false">L29-L31</f>
        <v>25007.138578815</v>
      </c>
      <c r="M33" s="320" t="n">
        <f aca="false">M29-M31</f>
        <v>26801.6909785522</v>
      </c>
      <c r="N33" s="320" t="n">
        <f aca="false">N29-N31</f>
        <v>28306.2780523812</v>
      </c>
      <c r="O33" s="320" t="n">
        <f aca="false">O29-O31</f>
        <v>30153.693149877</v>
      </c>
      <c r="P33" s="320" t="n">
        <f aca="false">P29-P31</f>
        <v>31586.7885139377</v>
      </c>
      <c r="Q33" s="320" t="n">
        <f aca="false">Q29-Q31</f>
        <v>33857.775571202</v>
      </c>
      <c r="R33" s="320" t="n">
        <f aca="false">R29-R31</f>
        <v>35614.3402031115</v>
      </c>
      <c r="S33" s="320" t="n">
        <f aca="false">S29-S31</f>
        <v>37313.4057704663</v>
      </c>
      <c r="T33" s="320" t="n">
        <f aca="false">T29-T31</f>
        <v>38867.5030276196</v>
      </c>
      <c r="U33" s="320" t="n">
        <f aca="false">U29-U31</f>
        <v>40426.6604752285</v>
      </c>
      <c r="V33" s="293"/>
      <c r="W33" s="164" t="n">
        <f aca="false">SUM(B33:U33)</f>
        <v>517494.798450405</v>
      </c>
    </row>
    <row r="34" customFormat="false" ht="12.75" hidden="false" customHeight="false" outlineLevel="0" collapsed="false">
      <c r="A34" s="163"/>
      <c r="B34" s="320"/>
      <c r="C34" s="320"/>
      <c r="D34" s="320"/>
      <c r="E34" s="320"/>
      <c r="F34" s="320"/>
      <c r="G34" s="320"/>
      <c r="H34" s="320"/>
      <c r="I34" s="320"/>
      <c r="J34" s="320"/>
      <c r="K34" s="320"/>
      <c r="L34" s="320"/>
      <c r="M34" s="320"/>
      <c r="N34" s="320"/>
      <c r="O34" s="320"/>
      <c r="P34" s="320"/>
      <c r="Q34" s="320"/>
      <c r="R34" s="320"/>
      <c r="S34" s="320"/>
      <c r="T34" s="320"/>
      <c r="U34" s="320"/>
      <c r="V34" s="293"/>
      <c r="W34" s="164"/>
    </row>
    <row r="35" customFormat="false" ht="12.75" hidden="false" customHeight="false" outlineLevel="0" collapsed="false">
      <c r="A35" s="169" t="s">
        <v>120</v>
      </c>
      <c r="B35" s="153" t="n">
        <f aca="false">B33*-Assumptions!$C$38</f>
        <v>-758.498353464166</v>
      </c>
      <c r="C35" s="153" t="n">
        <f aca="false">C33*-Assumptions!$C$38</f>
        <v>-846.065036373536</v>
      </c>
      <c r="D35" s="153" t="n">
        <f aca="false">D33*-Assumptions!$C$38</f>
        <v>-945.883475874581</v>
      </c>
      <c r="E35" s="153" t="n">
        <f aca="false">E33*-Assumptions!$C$38</f>
        <v>-1056.63368229501</v>
      </c>
      <c r="F35" s="153" t="n">
        <f aca="false">F33*-Assumptions!$C$38</f>
        <v>-1184.80515101079</v>
      </c>
      <c r="G35" s="153" t="n">
        <f aca="false">G33*-Assumptions!$C$38</f>
        <v>-1222.47796192137</v>
      </c>
      <c r="H35" s="153" t="n">
        <f aca="false">H33*-Assumptions!$C$38</f>
        <v>-1267.418702804</v>
      </c>
      <c r="I35" s="153" t="n">
        <f aca="false">I33*-Assumptions!$C$38</f>
        <v>-1312.39013305703</v>
      </c>
      <c r="J35" s="153" t="n">
        <f aca="false">J33*-Assumptions!$C$38</f>
        <v>-1363.44209858242</v>
      </c>
      <c r="K35" s="153" t="n">
        <f aca="false">K33*-Assumptions!$C$38</f>
        <v>-1415.95685236994</v>
      </c>
      <c r="L35" s="153" t="n">
        <f aca="false">L33*-Assumptions!$C$38</f>
        <v>-1500.4283147289</v>
      </c>
      <c r="M35" s="153" t="n">
        <f aca="false">M33*-Assumptions!$C$38</f>
        <v>-1608.10145871313</v>
      </c>
      <c r="N35" s="153" t="n">
        <f aca="false">N33*-Assumptions!$C$38</f>
        <v>-1698.37668314287</v>
      </c>
      <c r="O35" s="153" t="n">
        <f aca="false">O33*-Assumptions!$C$38</f>
        <v>-1809.22158899262</v>
      </c>
      <c r="P35" s="153" t="n">
        <f aca="false">P33*-Assumptions!$C$38</f>
        <v>-1895.20731083626</v>
      </c>
      <c r="Q35" s="153" t="n">
        <f aca="false">Q33*-Assumptions!$C$38</f>
        <v>-2031.46653427212</v>
      </c>
      <c r="R35" s="153" t="n">
        <f aca="false">R33*-Assumptions!$C$38</f>
        <v>-2136.86041218669</v>
      </c>
      <c r="S35" s="153" t="n">
        <f aca="false">S33*-Assumptions!$C$38</f>
        <v>-2238.80434622798</v>
      </c>
      <c r="T35" s="153" t="n">
        <f aca="false">T33*-Assumptions!$C$38</f>
        <v>-2332.05018165718</v>
      </c>
      <c r="U35" s="153" t="n">
        <f aca="false">U33*-Assumptions!$C$38</f>
        <v>-2425.59962851371</v>
      </c>
      <c r="W35" s="164" t="n">
        <f aca="false">SUM(B35:U35)</f>
        <v>-31049.6879070243</v>
      </c>
      <c r="X35" s="293"/>
      <c r="Y35" s="293"/>
      <c r="Z35" s="293"/>
      <c r="AA35" s="293"/>
      <c r="AB35" s="293"/>
      <c r="AC35" s="293"/>
      <c r="AD35" s="293"/>
      <c r="AE35" s="293"/>
      <c r="AF35" s="293"/>
      <c r="AG35" s="293"/>
      <c r="AH35" s="293"/>
      <c r="AI35" s="293"/>
      <c r="AJ35" s="293"/>
      <c r="AK35" s="293"/>
      <c r="AL35" s="293"/>
      <c r="AM35" s="293"/>
      <c r="AN35" s="293"/>
      <c r="AO35" s="293"/>
      <c r="AP35" s="293"/>
      <c r="AQ35" s="293"/>
      <c r="AR35" s="293"/>
      <c r="AS35" s="293"/>
      <c r="AT35" s="293"/>
      <c r="AU35" s="293"/>
      <c r="AV35" s="293"/>
      <c r="AW35" s="293"/>
      <c r="AX35" s="293"/>
      <c r="AY35" s="293"/>
      <c r="AZ35" s="293"/>
      <c r="BA35" s="293"/>
      <c r="BB35" s="293"/>
      <c r="BC35" s="293"/>
      <c r="BD35" s="293"/>
      <c r="BE35" s="293"/>
      <c r="BF35" s="293"/>
      <c r="BG35" s="293"/>
      <c r="BH35" s="293"/>
      <c r="BI35" s="293"/>
      <c r="BJ35" s="293"/>
      <c r="BK35" s="293"/>
      <c r="BL35" s="293"/>
      <c r="BM35" s="293"/>
      <c r="BN35" s="293"/>
      <c r="BO35" s="293"/>
      <c r="BP35" s="293"/>
      <c r="BQ35" s="293"/>
      <c r="BR35" s="293"/>
      <c r="BS35" s="293"/>
      <c r="BT35" s="293"/>
      <c r="BU35" s="293"/>
      <c r="BV35" s="293"/>
      <c r="BW35" s="293"/>
      <c r="BX35" s="293"/>
      <c r="BY35" s="293"/>
      <c r="BZ35" s="293"/>
      <c r="CA35" s="293"/>
      <c r="CB35" s="293"/>
      <c r="CC35" s="293"/>
      <c r="CD35" s="293"/>
      <c r="CE35" s="293"/>
      <c r="CF35" s="293"/>
      <c r="CG35" s="293"/>
      <c r="CH35" s="293"/>
      <c r="CI35" s="293"/>
      <c r="CJ35" s="293"/>
      <c r="CK35" s="293"/>
      <c r="CL35" s="293"/>
      <c r="CM35" s="293"/>
      <c r="CN35" s="293"/>
      <c r="CO35" s="293"/>
      <c r="CP35" s="293"/>
      <c r="CQ35" s="293"/>
      <c r="CR35" s="293"/>
      <c r="CS35" s="293"/>
      <c r="CT35" s="293"/>
      <c r="CU35" s="293"/>
      <c r="CV35" s="293"/>
      <c r="CW35" s="293"/>
      <c r="CX35" s="293"/>
      <c r="CY35" s="293"/>
      <c r="CZ35" s="293"/>
      <c r="DA35" s="293"/>
      <c r="DB35" s="293"/>
      <c r="DC35" s="293"/>
      <c r="DD35" s="293"/>
      <c r="DE35" s="293"/>
      <c r="DF35" s="293"/>
      <c r="DG35" s="293"/>
      <c r="DH35" s="293"/>
      <c r="DI35" s="293"/>
      <c r="DJ35" s="293"/>
      <c r="DK35" s="293"/>
      <c r="DL35" s="293"/>
      <c r="DM35" s="293"/>
      <c r="DN35" s="293"/>
      <c r="DO35" s="293"/>
      <c r="DP35" s="293"/>
      <c r="DQ35" s="293"/>
      <c r="DR35" s="293"/>
      <c r="DS35" s="293"/>
      <c r="DT35" s="293"/>
      <c r="DU35" s="293"/>
      <c r="DV35" s="293"/>
      <c r="DW35" s="293"/>
      <c r="DX35" s="293"/>
      <c r="DY35" s="293"/>
      <c r="DZ35" s="293"/>
      <c r="EA35" s="293"/>
      <c r="EB35" s="293"/>
      <c r="EC35" s="293"/>
      <c r="ED35" s="293"/>
      <c r="EE35" s="293"/>
      <c r="EF35" s="293"/>
      <c r="EG35" s="293"/>
      <c r="EH35" s="293"/>
      <c r="EI35" s="293"/>
      <c r="EJ35" s="293"/>
      <c r="EK35" s="293"/>
      <c r="EL35" s="293"/>
      <c r="EM35" s="293"/>
      <c r="EN35" s="293"/>
      <c r="EO35" s="293"/>
      <c r="EP35" s="293"/>
      <c r="EQ35" s="293"/>
      <c r="ER35" s="293"/>
      <c r="ES35" s="293"/>
      <c r="ET35" s="293"/>
      <c r="EU35" s="293"/>
      <c r="EV35" s="293"/>
      <c r="EW35" s="293"/>
      <c r="EX35" s="293"/>
      <c r="EY35" s="293"/>
      <c r="EZ35" s="293"/>
      <c r="FA35" s="293"/>
      <c r="FB35" s="293"/>
      <c r="FC35" s="293"/>
      <c r="FD35" s="293"/>
      <c r="FE35" s="293"/>
      <c r="FF35" s="293"/>
      <c r="FG35" s="293"/>
      <c r="FH35" s="293"/>
      <c r="FI35" s="293"/>
      <c r="FJ35" s="293"/>
      <c r="FK35" s="293"/>
      <c r="FL35" s="293"/>
      <c r="FM35" s="293"/>
      <c r="FN35" s="293"/>
      <c r="FO35" s="293"/>
      <c r="FP35" s="293"/>
      <c r="FQ35" s="293"/>
      <c r="FR35" s="293"/>
      <c r="FS35" s="293"/>
      <c r="FT35" s="293"/>
      <c r="FU35" s="293"/>
      <c r="FV35" s="293"/>
      <c r="FW35" s="293"/>
      <c r="FX35" s="293"/>
      <c r="FY35" s="293"/>
      <c r="FZ35" s="293"/>
      <c r="GA35" s="293"/>
      <c r="GB35" s="293"/>
      <c r="GC35" s="293"/>
      <c r="GD35" s="293"/>
      <c r="GE35" s="293"/>
      <c r="GF35" s="293"/>
      <c r="GG35" s="293"/>
      <c r="GH35" s="293"/>
      <c r="GI35" s="293"/>
      <c r="GJ35" s="293"/>
      <c r="GK35" s="293"/>
      <c r="GL35" s="293"/>
      <c r="GM35" s="293"/>
      <c r="GN35" s="293"/>
      <c r="GO35" s="293"/>
      <c r="GP35" s="293"/>
      <c r="GQ35" s="293"/>
      <c r="GR35" s="293"/>
      <c r="GS35" s="293"/>
      <c r="GT35" s="293"/>
      <c r="GU35" s="293"/>
      <c r="GV35" s="293"/>
      <c r="GW35" s="293"/>
      <c r="GX35" s="293"/>
      <c r="GY35" s="293"/>
      <c r="GZ35" s="293"/>
      <c r="HA35" s="293"/>
      <c r="HB35" s="293"/>
      <c r="HC35" s="293"/>
      <c r="HD35" s="293"/>
      <c r="HE35" s="293"/>
      <c r="HF35" s="293"/>
      <c r="HG35" s="293"/>
      <c r="HH35" s="293"/>
      <c r="HI35" s="293"/>
      <c r="HJ35" s="293"/>
      <c r="HK35" s="293"/>
      <c r="HL35" s="293"/>
      <c r="HM35" s="293"/>
      <c r="HN35" s="293"/>
      <c r="HO35" s="293"/>
      <c r="HP35" s="293"/>
      <c r="HQ35" s="293"/>
      <c r="HR35" s="293"/>
      <c r="HS35" s="293"/>
      <c r="HT35" s="293"/>
      <c r="HU35" s="293"/>
      <c r="HV35" s="293"/>
      <c r="HW35" s="293"/>
      <c r="HX35" s="293"/>
      <c r="HY35" s="293"/>
      <c r="HZ35" s="293"/>
      <c r="IA35" s="293"/>
      <c r="IB35" s="293"/>
      <c r="IC35" s="293"/>
      <c r="ID35" s="293"/>
      <c r="IE35" s="293"/>
      <c r="IF35" s="293"/>
      <c r="IG35" s="293"/>
      <c r="IH35" s="293"/>
      <c r="II35" s="293"/>
      <c r="IJ35" s="293"/>
      <c r="IK35" s="293"/>
      <c r="IL35" s="293"/>
      <c r="IM35" s="293"/>
      <c r="IN35" s="293"/>
      <c r="IO35" s="293"/>
      <c r="IP35" s="293"/>
      <c r="IQ35" s="293"/>
      <c r="IR35" s="293"/>
      <c r="IS35" s="293"/>
      <c r="IT35" s="293"/>
      <c r="IU35" s="293"/>
      <c r="IV35" s="293"/>
      <c r="IW35" s="293"/>
    </row>
    <row r="36" customFormat="false" ht="12.75" hidden="false" customHeight="false" outlineLevel="0" collapsed="false">
      <c r="A36" s="169" t="s">
        <v>121</v>
      </c>
      <c r="B36" s="322" t="n">
        <f aca="false">(B33+B35)*-Assumptions!$C$37</f>
        <v>-4159.09930482851</v>
      </c>
      <c r="C36" s="322" t="n">
        <f aca="false">(C33+C35)*-Assumptions!$C$37</f>
        <v>-4639.25661611489</v>
      </c>
      <c r="D36" s="322" t="n">
        <f aca="false">(D33+D35)*-Assumptions!$C$37</f>
        <v>-5186.59439271228</v>
      </c>
      <c r="E36" s="322" t="n">
        <f aca="false">(E33+E35)*-Assumptions!$C$37</f>
        <v>-5793.87469125097</v>
      </c>
      <c r="F36" s="322" t="n">
        <f aca="false">(F33+F35)*-Assumptions!$C$37</f>
        <v>-6496.6815780425</v>
      </c>
      <c r="G36" s="322" t="n">
        <f aca="false">(G33+G35)*-Assumptions!$C$37</f>
        <v>-6703.25415786886</v>
      </c>
      <c r="H36" s="322" t="n">
        <f aca="false">(H33+H35)*-Assumptions!$C$37</f>
        <v>-6949.67922037525</v>
      </c>
      <c r="I36" s="322" t="n">
        <f aca="false">(I33+I35)*-Assumptions!$C$37</f>
        <v>-7196.27256292937</v>
      </c>
      <c r="J36" s="322" t="n">
        <f aca="false">(J33+J35)*-Assumptions!$C$37</f>
        <v>-7476.20750722696</v>
      </c>
      <c r="K36" s="322" t="n">
        <f aca="false">(K33+K35)*-Assumptions!$C$37</f>
        <v>-7764.16340716184</v>
      </c>
      <c r="L36" s="322" t="n">
        <f aca="false">(L33+L35)*-Assumptions!$C$37</f>
        <v>-8227.34859243012</v>
      </c>
      <c r="M36" s="322" t="n">
        <f aca="false">(M33+M35)*-Assumptions!$C$37</f>
        <v>-8817.75633194368</v>
      </c>
      <c r="N36" s="322" t="n">
        <f aca="false">(N33+N35)*-Assumptions!$C$37</f>
        <v>-9312.76547923342</v>
      </c>
      <c r="O36" s="322" t="n">
        <f aca="false">(O33+O35)*-Assumptions!$C$37</f>
        <v>-9920.56504630954</v>
      </c>
      <c r="P36" s="322" t="n">
        <f aca="false">(P33+P35)*-Assumptions!$C$37</f>
        <v>-10392.0534210855</v>
      </c>
      <c r="Q36" s="322" t="n">
        <f aca="false">(Q33+Q35)*-Assumptions!$C$37</f>
        <v>-11139.2081629254</v>
      </c>
      <c r="R36" s="322" t="n">
        <f aca="false">(R33+R35)*-Assumptions!$C$37</f>
        <v>-11717.1179268237</v>
      </c>
      <c r="S36" s="322" t="n">
        <f aca="false">(S33+S35)*-Assumptions!$C$37</f>
        <v>-12276.1104984834</v>
      </c>
      <c r="T36" s="322" t="n">
        <f aca="false">(T33+T35)*-Assumptions!$C$37</f>
        <v>-12787.4084960868</v>
      </c>
      <c r="U36" s="322" t="n">
        <f aca="false">(U33+U35)*-Assumptions!$C$37</f>
        <v>-13300.3712963502</v>
      </c>
      <c r="W36" s="164" t="n">
        <f aca="false">SUM(B36:U36)</f>
        <v>-170255.788690183</v>
      </c>
      <c r="X36" s="293"/>
      <c r="Y36" s="293"/>
      <c r="Z36" s="293"/>
      <c r="AA36" s="293"/>
      <c r="AB36" s="293"/>
      <c r="AC36" s="293"/>
      <c r="AD36" s="293"/>
      <c r="AE36" s="293"/>
      <c r="AF36" s="293"/>
      <c r="AG36" s="293"/>
      <c r="AH36" s="293"/>
      <c r="AI36" s="293"/>
      <c r="AJ36" s="293"/>
      <c r="AK36" s="293"/>
      <c r="AL36" s="293"/>
      <c r="AM36" s="293"/>
      <c r="AN36" s="293"/>
      <c r="AO36" s="293"/>
      <c r="AP36" s="293"/>
      <c r="AQ36" s="293"/>
      <c r="AR36" s="293"/>
      <c r="AS36" s="293"/>
      <c r="AT36" s="293"/>
      <c r="AU36" s="293"/>
      <c r="AV36" s="293"/>
      <c r="AW36" s="293"/>
      <c r="AX36" s="293"/>
      <c r="AY36" s="293"/>
      <c r="AZ36" s="293"/>
      <c r="BA36" s="293"/>
      <c r="BB36" s="293"/>
      <c r="BC36" s="293"/>
      <c r="BD36" s="293"/>
      <c r="BE36" s="293"/>
      <c r="BF36" s="293"/>
      <c r="BG36" s="293"/>
      <c r="BH36" s="293"/>
      <c r="BI36" s="293"/>
      <c r="BJ36" s="293"/>
      <c r="BK36" s="293"/>
      <c r="BL36" s="293"/>
      <c r="BM36" s="293"/>
      <c r="BN36" s="293"/>
      <c r="BO36" s="293"/>
      <c r="BP36" s="293"/>
      <c r="BQ36" s="293"/>
      <c r="BR36" s="293"/>
      <c r="BS36" s="293"/>
      <c r="BT36" s="293"/>
      <c r="BU36" s="293"/>
      <c r="BV36" s="293"/>
      <c r="BW36" s="293"/>
      <c r="BX36" s="293"/>
      <c r="BY36" s="293"/>
      <c r="BZ36" s="293"/>
      <c r="CA36" s="293"/>
      <c r="CB36" s="293"/>
      <c r="CC36" s="293"/>
      <c r="CD36" s="293"/>
      <c r="CE36" s="293"/>
      <c r="CF36" s="293"/>
      <c r="CG36" s="293"/>
      <c r="CH36" s="293"/>
      <c r="CI36" s="293"/>
      <c r="CJ36" s="293"/>
      <c r="CK36" s="293"/>
      <c r="CL36" s="293"/>
      <c r="CM36" s="293"/>
      <c r="CN36" s="293"/>
      <c r="CO36" s="293"/>
      <c r="CP36" s="293"/>
      <c r="CQ36" s="293"/>
      <c r="CR36" s="293"/>
      <c r="CS36" s="293"/>
      <c r="CT36" s="293"/>
      <c r="CU36" s="293"/>
      <c r="CV36" s="293"/>
      <c r="CW36" s="293"/>
      <c r="CX36" s="293"/>
      <c r="CY36" s="293"/>
      <c r="CZ36" s="293"/>
      <c r="DA36" s="293"/>
      <c r="DB36" s="293"/>
      <c r="DC36" s="293"/>
      <c r="DD36" s="293"/>
      <c r="DE36" s="293"/>
      <c r="DF36" s="293"/>
      <c r="DG36" s="293"/>
      <c r="DH36" s="293"/>
      <c r="DI36" s="293"/>
      <c r="DJ36" s="293"/>
      <c r="DK36" s="293"/>
      <c r="DL36" s="293"/>
      <c r="DM36" s="293"/>
      <c r="DN36" s="293"/>
      <c r="DO36" s="293"/>
      <c r="DP36" s="293"/>
      <c r="DQ36" s="293"/>
      <c r="DR36" s="293"/>
      <c r="DS36" s="293"/>
      <c r="DT36" s="293"/>
      <c r="DU36" s="293"/>
      <c r="DV36" s="293"/>
      <c r="DW36" s="293"/>
      <c r="DX36" s="293"/>
      <c r="DY36" s="293"/>
      <c r="DZ36" s="293"/>
      <c r="EA36" s="293"/>
      <c r="EB36" s="293"/>
      <c r="EC36" s="293"/>
      <c r="ED36" s="293"/>
      <c r="EE36" s="293"/>
      <c r="EF36" s="293"/>
      <c r="EG36" s="293"/>
      <c r="EH36" s="293"/>
      <c r="EI36" s="293"/>
      <c r="EJ36" s="293"/>
      <c r="EK36" s="293"/>
      <c r="EL36" s="293"/>
      <c r="EM36" s="293"/>
      <c r="EN36" s="293"/>
      <c r="EO36" s="293"/>
      <c r="EP36" s="293"/>
      <c r="EQ36" s="293"/>
      <c r="ER36" s="293"/>
      <c r="ES36" s="293"/>
      <c r="ET36" s="293"/>
      <c r="EU36" s="293"/>
      <c r="EV36" s="293"/>
      <c r="EW36" s="293"/>
      <c r="EX36" s="293"/>
      <c r="EY36" s="293"/>
      <c r="EZ36" s="293"/>
      <c r="FA36" s="293"/>
      <c r="FB36" s="293"/>
      <c r="FC36" s="293"/>
      <c r="FD36" s="293"/>
      <c r="FE36" s="293"/>
      <c r="FF36" s="293"/>
      <c r="FG36" s="293"/>
      <c r="FH36" s="293"/>
      <c r="FI36" s="293"/>
      <c r="FJ36" s="293"/>
      <c r="FK36" s="293"/>
      <c r="FL36" s="293"/>
      <c r="FM36" s="293"/>
      <c r="FN36" s="293"/>
      <c r="FO36" s="293"/>
      <c r="FP36" s="293"/>
      <c r="FQ36" s="293"/>
      <c r="FR36" s="293"/>
      <c r="FS36" s="293"/>
      <c r="FT36" s="293"/>
      <c r="FU36" s="293"/>
      <c r="FV36" s="293"/>
      <c r="FW36" s="293"/>
      <c r="FX36" s="293"/>
      <c r="FY36" s="293"/>
      <c r="FZ36" s="293"/>
      <c r="GA36" s="293"/>
      <c r="GB36" s="293"/>
      <c r="GC36" s="293"/>
      <c r="GD36" s="293"/>
      <c r="GE36" s="293"/>
      <c r="GF36" s="293"/>
      <c r="GG36" s="293"/>
      <c r="GH36" s="293"/>
      <c r="GI36" s="293"/>
      <c r="GJ36" s="293"/>
      <c r="GK36" s="293"/>
      <c r="GL36" s="293"/>
      <c r="GM36" s="293"/>
      <c r="GN36" s="293"/>
      <c r="GO36" s="293"/>
      <c r="GP36" s="293"/>
      <c r="GQ36" s="293"/>
      <c r="GR36" s="293"/>
      <c r="GS36" s="293"/>
      <c r="GT36" s="293"/>
      <c r="GU36" s="293"/>
      <c r="GV36" s="293"/>
      <c r="GW36" s="293"/>
      <c r="GX36" s="293"/>
      <c r="GY36" s="293"/>
      <c r="GZ36" s="293"/>
      <c r="HA36" s="293"/>
      <c r="HB36" s="293"/>
      <c r="HC36" s="293"/>
      <c r="HD36" s="293"/>
      <c r="HE36" s="293"/>
      <c r="HF36" s="293"/>
      <c r="HG36" s="293"/>
      <c r="HH36" s="293"/>
      <c r="HI36" s="293"/>
      <c r="HJ36" s="293"/>
      <c r="HK36" s="293"/>
      <c r="HL36" s="293"/>
      <c r="HM36" s="293"/>
      <c r="HN36" s="293"/>
      <c r="HO36" s="293"/>
      <c r="HP36" s="293"/>
      <c r="HQ36" s="293"/>
      <c r="HR36" s="293"/>
      <c r="HS36" s="293"/>
      <c r="HT36" s="293"/>
      <c r="HU36" s="293"/>
      <c r="HV36" s="293"/>
      <c r="HW36" s="293"/>
      <c r="HX36" s="293"/>
      <c r="HY36" s="293"/>
      <c r="HZ36" s="293"/>
      <c r="IA36" s="293"/>
      <c r="IB36" s="293"/>
      <c r="IC36" s="293"/>
      <c r="ID36" s="293"/>
      <c r="IE36" s="293"/>
      <c r="IF36" s="293"/>
      <c r="IG36" s="293"/>
      <c r="IH36" s="293"/>
      <c r="II36" s="293"/>
      <c r="IJ36" s="293"/>
      <c r="IK36" s="293"/>
      <c r="IL36" s="293"/>
      <c r="IM36" s="293"/>
      <c r="IN36" s="293"/>
      <c r="IO36" s="293"/>
      <c r="IP36" s="293"/>
      <c r="IQ36" s="293"/>
      <c r="IR36" s="293"/>
      <c r="IS36" s="293"/>
      <c r="IT36" s="293"/>
      <c r="IU36" s="293"/>
      <c r="IV36" s="293"/>
      <c r="IW36" s="293"/>
    </row>
    <row r="37" customFormat="false" ht="12.75" hidden="false" customHeight="false" outlineLevel="0" collapsed="false">
      <c r="B37" s="153"/>
      <c r="C37" s="153"/>
      <c r="D37" s="153"/>
      <c r="E37" s="153"/>
      <c r="F37" s="153"/>
      <c r="G37" s="153"/>
      <c r="H37" s="153"/>
      <c r="I37" s="153"/>
      <c r="J37" s="153"/>
      <c r="K37" s="153"/>
      <c r="L37" s="153"/>
      <c r="M37" s="153"/>
      <c r="N37" s="153"/>
      <c r="O37" s="153"/>
      <c r="P37" s="153"/>
      <c r="Q37" s="153"/>
      <c r="R37" s="153"/>
      <c r="S37" s="153"/>
      <c r="T37" s="153"/>
      <c r="U37" s="153"/>
      <c r="W37" s="164"/>
    </row>
    <row r="38" customFormat="false" ht="15.75" hidden="false" customHeight="false" outlineLevel="0" collapsed="false">
      <c r="A38" s="178" t="s">
        <v>196</v>
      </c>
      <c r="B38" s="323" t="n">
        <f aca="false">SUM(B33:B36)</f>
        <v>7724.04156611009</v>
      </c>
      <c r="C38" s="323" t="n">
        <f aca="false">SUM(C33:C36)</f>
        <v>8615.76228707051</v>
      </c>
      <c r="D38" s="323" t="n">
        <f aca="false">SUM(D33:D36)</f>
        <v>9632.24672932282</v>
      </c>
      <c r="E38" s="323" t="n">
        <f aca="false">SUM(E33:E36)</f>
        <v>10760.0529980375</v>
      </c>
      <c r="F38" s="323" t="n">
        <f aca="false">SUM(F33:F36)</f>
        <v>12065.2657877932</v>
      </c>
      <c r="G38" s="323" t="n">
        <f aca="false">SUM(G33:G36)</f>
        <v>12448.9005788993</v>
      </c>
      <c r="H38" s="323" t="n">
        <f aca="false">SUM(H33:H36)</f>
        <v>12906.547123554</v>
      </c>
      <c r="I38" s="323" t="n">
        <f aca="false">SUM(I33:I36)</f>
        <v>13364.5061882974</v>
      </c>
      <c r="J38" s="323" t="n">
        <f aca="false">SUM(J33:J36)</f>
        <v>13884.3853705643</v>
      </c>
      <c r="K38" s="323" t="n">
        <f aca="false">SUM(K33:K36)</f>
        <v>14419.1606133006</v>
      </c>
      <c r="L38" s="323" t="n">
        <f aca="false">SUM(L33:L36)</f>
        <v>15279.3616716559</v>
      </c>
      <c r="M38" s="323" t="n">
        <f aca="false">SUM(M33:M36)</f>
        <v>16375.8331878954</v>
      </c>
      <c r="N38" s="323" t="n">
        <f aca="false">SUM(N33:N36)</f>
        <v>17295.1358900049</v>
      </c>
      <c r="O38" s="323" t="n">
        <f aca="false">SUM(O33:O36)</f>
        <v>18423.9065145749</v>
      </c>
      <c r="P38" s="323" t="n">
        <f aca="false">SUM(P33:P36)</f>
        <v>19299.5277820159</v>
      </c>
      <c r="Q38" s="323" t="n">
        <f aca="false">SUM(Q33:Q36)</f>
        <v>20687.1008740044</v>
      </c>
      <c r="R38" s="323" t="n">
        <f aca="false">SUM(R33:R36)</f>
        <v>21760.3618641011</v>
      </c>
      <c r="S38" s="323" t="n">
        <f aca="false">SUM(S33:S36)</f>
        <v>22798.4909257549</v>
      </c>
      <c r="T38" s="323" t="n">
        <f aca="false">SUM(T33:T36)</f>
        <v>23748.0443498756</v>
      </c>
      <c r="U38" s="323" t="n">
        <f aca="false">SUM(U33:U36)</f>
        <v>24700.6895503646</v>
      </c>
      <c r="V38" s="324"/>
      <c r="W38" s="164" t="n">
        <f aca="false">SUM(B38:U38)</f>
        <v>316189.321853197</v>
      </c>
    </row>
    <row r="39" customFormat="false" ht="12.75" hidden="false" customHeight="false" outlineLevel="0" collapsed="false">
      <c r="A39" s="317"/>
      <c r="B39" s="325"/>
      <c r="C39" s="325"/>
      <c r="D39" s="325"/>
      <c r="E39" s="325"/>
      <c r="F39" s="325"/>
      <c r="G39" s="325"/>
      <c r="H39" s="325"/>
      <c r="I39" s="325"/>
      <c r="J39" s="325"/>
      <c r="K39" s="325"/>
      <c r="L39" s="325"/>
      <c r="M39" s="325"/>
      <c r="N39" s="325"/>
      <c r="O39" s="325"/>
      <c r="P39" s="325"/>
      <c r="Q39" s="325"/>
      <c r="R39" s="325"/>
      <c r="S39" s="325"/>
      <c r="T39" s="325"/>
      <c r="U39" s="325"/>
      <c r="V39" s="316"/>
      <c r="W39" s="316"/>
      <c r="X39" s="293"/>
      <c r="Y39" s="293"/>
      <c r="Z39" s="293"/>
      <c r="AA39" s="293"/>
      <c r="AB39" s="293"/>
      <c r="AC39" s="293"/>
      <c r="AD39" s="293"/>
      <c r="AE39" s="293"/>
      <c r="AF39" s="293"/>
      <c r="AG39" s="293"/>
      <c r="AH39" s="293"/>
      <c r="AI39" s="293"/>
      <c r="AJ39" s="293"/>
      <c r="AK39" s="293"/>
      <c r="AL39" s="293"/>
      <c r="AM39" s="293"/>
      <c r="AN39" s="293"/>
      <c r="AO39" s="293"/>
      <c r="AP39" s="293"/>
      <c r="AQ39" s="293"/>
      <c r="AR39" s="293"/>
      <c r="AS39" s="293"/>
      <c r="AT39" s="293"/>
      <c r="AU39" s="293"/>
      <c r="AV39" s="293"/>
      <c r="AW39" s="293"/>
      <c r="AX39" s="293"/>
      <c r="AY39" s="293"/>
      <c r="AZ39" s="293"/>
      <c r="BA39" s="293"/>
      <c r="BB39" s="293"/>
      <c r="BC39" s="293"/>
      <c r="BD39" s="293"/>
      <c r="BE39" s="293"/>
      <c r="BF39" s="293"/>
      <c r="BG39" s="293"/>
      <c r="BH39" s="293"/>
      <c r="BI39" s="293"/>
      <c r="BJ39" s="293"/>
      <c r="BK39" s="293"/>
      <c r="BL39" s="293"/>
      <c r="BM39" s="293"/>
      <c r="BN39" s="293"/>
      <c r="BO39" s="293"/>
      <c r="BP39" s="293"/>
      <c r="BQ39" s="293"/>
      <c r="BR39" s="293"/>
      <c r="BS39" s="293"/>
      <c r="BT39" s="293"/>
      <c r="BU39" s="293"/>
      <c r="BV39" s="293"/>
      <c r="BW39" s="293"/>
      <c r="BX39" s="293"/>
      <c r="BY39" s="293"/>
      <c r="BZ39" s="293"/>
      <c r="CA39" s="293"/>
      <c r="CB39" s="293"/>
      <c r="CC39" s="293"/>
      <c r="CD39" s="293"/>
      <c r="CE39" s="293"/>
      <c r="CF39" s="293"/>
      <c r="CG39" s="293"/>
      <c r="CH39" s="293"/>
      <c r="CI39" s="293"/>
      <c r="CJ39" s="293"/>
      <c r="CK39" s="293"/>
      <c r="CL39" s="293"/>
      <c r="CM39" s="293"/>
      <c r="CN39" s="293"/>
      <c r="CO39" s="293"/>
      <c r="CP39" s="293"/>
      <c r="CQ39" s="293"/>
      <c r="CR39" s="293"/>
      <c r="CS39" s="293"/>
      <c r="CT39" s="293"/>
      <c r="CU39" s="293"/>
      <c r="CV39" s="293"/>
      <c r="CW39" s="293"/>
      <c r="CX39" s="293"/>
      <c r="CY39" s="293"/>
      <c r="CZ39" s="293"/>
      <c r="DA39" s="293"/>
      <c r="DB39" s="293"/>
      <c r="DC39" s="293"/>
      <c r="DD39" s="293"/>
      <c r="DE39" s="293"/>
      <c r="DF39" s="293"/>
      <c r="DG39" s="293"/>
      <c r="DH39" s="293"/>
      <c r="DI39" s="293"/>
      <c r="DJ39" s="293"/>
      <c r="DK39" s="293"/>
      <c r="DL39" s="293"/>
      <c r="DM39" s="293"/>
      <c r="DN39" s="293"/>
      <c r="DO39" s="293"/>
      <c r="DP39" s="293"/>
      <c r="DQ39" s="293"/>
      <c r="DR39" s="293"/>
      <c r="DS39" s="293"/>
      <c r="DT39" s="293"/>
      <c r="DU39" s="293"/>
      <c r="DV39" s="293"/>
      <c r="DW39" s="293"/>
      <c r="DX39" s="293"/>
      <c r="DY39" s="293"/>
      <c r="DZ39" s="293"/>
      <c r="EA39" s="293"/>
      <c r="EB39" s="293"/>
      <c r="EC39" s="293"/>
      <c r="ED39" s="293"/>
      <c r="EE39" s="293"/>
      <c r="EF39" s="293"/>
      <c r="EG39" s="293"/>
      <c r="EH39" s="293"/>
      <c r="EI39" s="293"/>
      <c r="EJ39" s="293"/>
      <c r="EK39" s="293"/>
      <c r="EL39" s="293"/>
      <c r="EM39" s="293"/>
      <c r="EN39" s="293"/>
      <c r="EO39" s="293"/>
      <c r="EP39" s="293"/>
      <c r="EQ39" s="293"/>
      <c r="ER39" s="293"/>
      <c r="ES39" s="293"/>
      <c r="ET39" s="293"/>
      <c r="EU39" s="293"/>
      <c r="EV39" s="293"/>
      <c r="EW39" s="293"/>
      <c r="EX39" s="293"/>
      <c r="EY39" s="293"/>
      <c r="EZ39" s="293"/>
      <c r="FA39" s="293"/>
      <c r="FB39" s="293"/>
      <c r="FC39" s="293"/>
      <c r="FD39" s="293"/>
      <c r="FE39" s="293"/>
      <c r="FF39" s="293"/>
      <c r="FG39" s="293"/>
      <c r="FH39" s="293"/>
      <c r="FI39" s="293"/>
      <c r="FJ39" s="293"/>
      <c r="FK39" s="293"/>
      <c r="FL39" s="293"/>
      <c r="FM39" s="293"/>
      <c r="FN39" s="293"/>
      <c r="FO39" s="293"/>
      <c r="FP39" s="293"/>
      <c r="FQ39" s="293"/>
      <c r="FR39" s="293"/>
      <c r="FS39" s="293"/>
      <c r="FT39" s="293"/>
      <c r="FU39" s="293"/>
      <c r="FV39" s="293"/>
      <c r="FW39" s="293"/>
      <c r="FX39" s="293"/>
      <c r="FY39" s="293"/>
      <c r="FZ39" s="293"/>
      <c r="GA39" s="293"/>
      <c r="GB39" s="293"/>
      <c r="GC39" s="293"/>
      <c r="GD39" s="293"/>
      <c r="GE39" s="293"/>
      <c r="GF39" s="293"/>
      <c r="GG39" s="293"/>
      <c r="GH39" s="293"/>
      <c r="GI39" s="293"/>
      <c r="GJ39" s="293"/>
      <c r="GK39" s="293"/>
      <c r="GL39" s="293"/>
      <c r="GM39" s="293"/>
      <c r="GN39" s="293"/>
      <c r="GO39" s="293"/>
      <c r="GP39" s="293"/>
      <c r="GQ39" s="293"/>
      <c r="GR39" s="293"/>
      <c r="GS39" s="293"/>
      <c r="GT39" s="293"/>
      <c r="GU39" s="293"/>
      <c r="GV39" s="293"/>
      <c r="GW39" s="293"/>
      <c r="GX39" s="293"/>
      <c r="GY39" s="293"/>
      <c r="GZ39" s="293"/>
      <c r="HA39" s="293"/>
      <c r="HB39" s="293"/>
      <c r="HC39" s="293"/>
      <c r="HD39" s="293"/>
      <c r="HE39" s="293"/>
      <c r="HF39" s="293"/>
      <c r="HG39" s="293"/>
      <c r="HH39" s="293"/>
      <c r="HI39" s="293"/>
      <c r="HJ39" s="293"/>
      <c r="HK39" s="293"/>
      <c r="HL39" s="293"/>
      <c r="HM39" s="293"/>
      <c r="HN39" s="293"/>
      <c r="HO39" s="293"/>
      <c r="HP39" s="293"/>
      <c r="HQ39" s="293"/>
      <c r="HR39" s="293"/>
      <c r="HS39" s="293"/>
      <c r="HT39" s="293"/>
      <c r="HU39" s="293"/>
      <c r="HV39" s="293"/>
      <c r="HW39" s="293"/>
      <c r="HX39" s="293"/>
      <c r="HY39" s="293"/>
      <c r="HZ39" s="293"/>
      <c r="IA39" s="293"/>
      <c r="IB39" s="293"/>
      <c r="IC39" s="293"/>
      <c r="ID39" s="293"/>
      <c r="IE39" s="293"/>
      <c r="IF39" s="293"/>
      <c r="IG39" s="293"/>
      <c r="IH39" s="293"/>
      <c r="II39" s="293"/>
      <c r="IJ39" s="293"/>
      <c r="IK39" s="293"/>
      <c r="IL39" s="293"/>
      <c r="IM39" s="293"/>
      <c r="IN39" s="293"/>
      <c r="IO39" s="293"/>
      <c r="IP39" s="293"/>
      <c r="IQ39" s="293"/>
      <c r="IR39" s="293"/>
      <c r="IS39" s="293"/>
      <c r="IT39" s="293"/>
      <c r="IU39" s="293"/>
      <c r="IV39" s="293"/>
      <c r="IW39" s="293"/>
    </row>
    <row r="40" customFormat="false" ht="12.75" hidden="false" customHeight="false" outlineLevel="0" collapsed="false">
      <c r="A40" s="163"/>
      <c r="B40" s="172"/>
      <c r="C40" s="172"/>
      <c r="D40" s="172"/>
      <c r="E40" s="172"/>
      <c r="F40" s="172"/>
      <c r="G40" s="172"/>
      <c r="H40" s="172"/>
      <c r="I40" s="172"/>
      <c r="J40" s="172"/>
      <c r="K40" s="172"/>
      <c r="L40" s="172"/>
      <c r="M40" s="172"/>
      <c r="N40" s="172"/>
      <c r="O40" s="172"/>
      <c r="P40" s="172"/>
      <c r="Q40" s="172"/>
      <c r="R40" s="172"/>
      <c r="S40" s="172"/>
      <c r="T40" s="172"/>
      <c r="U40" s="172"/>
      <c r="X40" s="293"/>
      <c r="Y40" s="293"/>
      <c r="Z40" s="293"/>
      <c r="AA40" s="293"/>
      <c r="AB40" s="293"/>
      <c r="AC40" s="293"/>
      <c r="AD40" s="293"/>
      <c r="AE40" s="293"/>
      <c r="AF40" s="293"/>
      <c r="AG40" s="293"/>
      <c r="AH40" s="293"/>
      <c r="AI40" s="293"/>
      <c r="AJ40" s="293"/>
      <c r="AK40" s="293"/>
      <c r="AL40" s="293"/>
      <c r="AM40" s="293"/>
      <c r="AN40" s="293"/>
      <c r="AO40" s="293"/>
      <c r="AP40" s="293"/>
      <c r="AQ40" s="293"/>
      <c r="AR40" s="293"/>
      <c r="AS40" s="293"/>
      <c r="AT40" s="293"/>
      <c r="AU40" s="293"/>
      <c r="AV40" s="293"/>
      <c r="AW40" s="293"/>
      <c r="AX40" s="293"/>
      <c r="AY40" s="293"/>
      <c r="AZ40" s="293"/>
      <c r="BA40" s="293"/>
      <c r="BB40" s="293"/>
      <c r="BC40" s="293"/>
      <c r="BD40" s="293"/>
      <c r="BE40" s="293"/>
      <c r="BF40" s="293"/>
      <c r="BG40" s="293"/>
      <c r="BH40" s="293"/>
      <c r="BI40" s="293"/>
      <c r="BJ40" s="293"/>
      <c r="BK40" s="293"/>
      <c r="BL40" s="293"/>
      <c r="BM40" s="293"/>
      <c r="BN40" s="293"/>
      <c r="BO40" s="293"/>
      <c r="BP40" s="293"/>
      <c r="BQ40" s="293"/>
      <c r="BR40" s="293"/>
      <c r="BS40" s="293"/>
      <c r="BT40" s="293"/>
      <c r="BU40" s="293"/>
      <c r="BV40" s="293"/>
      <c r="BW40" s="293"/>
      <c r="BX40" s="293"/>
      <c r="BY40" s="293"/>
      <c r="BZ40" s="293"/>
      <c r="CA40" s="293"/>
      <c r="CB40" s="293"/>
      <c r="CC40" s="293"/>
      <c r="CD40" s="293"/>
      <c r="CE40" s="293"/>
      <c r="CF40" s="293"/>
      <c r="CG40" s="293"/>
      <c r="CH40" s="293"/>
      <c r="CI40" s="293"/>
      <c r="CJ40" s="293"/>
      <c r="CK40" s="293"/>
      <c r="CL40" s="293"/>
      <c r="CM40" s="293"/>
      <c r="CN40" s="293"/>
      <c r="CO40" s="293"/>
      <c r="CP40" s="293"/>
      <c r="CQ40" s="293"/>
      <c r="CR40" s="293"/>
      <c r="CS40" s="293"/>
      <c r="CT40" s="293"/>
      <c r="CU40" s="293"/>
      <c r="CV40" s="293"/>
      <c r="CW40" s="293"/>
      <c r="CX40" s="293"/>
      <c r="CY40" s="293"/>
      <c r="CZ40" s="293"/>
      <c r="DA40" s="293"/>
      <c r="DB40" s="293"/>
      <c r="DC40" s="293"/>
      <c r="DD40" s="293"/>
      <c r="DE40" s="293"/>
      <c r="DF40" s="293"/>
      <c r="DG40" s="293"/>
      <c r="DH40" s="293"/>
      <c r="DI40" s="293"/>
      <c r="DJ40" s="293"/>
      <c r="DK40" s="293"/>
      <c r="DL40" s="293"/>
      <c r="DM40" s="293"/>
      <c r="DN40" s="293"/>
      <c r="DO40" s="293"/>
      <c r="DP40" s="293"/>
      <c r="DQ40" s="293"/>
      <c r="DR40" s="293"/>
      <c r="DS40" s="293"/>
      <c r="DT40" s="293"/>
      <c r="DU40" s="293"/>
      <c r="DV40" s="293"/>
      <c r="DW40" s="293"/>
      <c r="DX40" s="293"/>
      <c r="DY40" s="293"/>
      <c r="DZ40" s="293"/>
      <c r="EA40" s="293"/>
      <c r="EB40" s="293"/>
      <c r="EC40" s="293"/>
      <c r="ED40" s="293"/>
      <c r="EE40" s="293"/>
      <c r="EF40" s="293"/>
      <c r="EG40" s="293"/>
      <c r="EH40" s="293"/>
      <c r="EI40" s="293"/>
      <c r="EJ40" s="293"/>
      <c r="EK40" s="293"/>
      <c r="EL40" s="293"/>
      <c r="EM40" s="293"/>
      <c r="EN40" s="293"/>
      <c r="EO40" s="293"/>
      <c r="EP40" s="293"/>
      <c r="EQ40" s="293"/>
      <c r="ER40" s="293"/>
      <c r="ES40" s="293"/>
      <c r="ET40" s="293"/>
      <c r="EU40" s="293"/>
      <c r="EV40" s="293"/>
      <c r="EW40" s="293"/>
      <c r="EX40" s="293"/>
      <c r="EY40" s="293"/>
      <c r="EZ40" s="293"/>
      <c r="FA40" s="293"/>
      <c r="FB40" s="293"/>
      <c r="FC40" s="293"/>
      <c r="FD40" s="293"/>
      <c r="FE40" s="293"/>
      <c r="FF40" s="293"/>
      <c r="FG40" s="293"/>
      <c r="FH40" s="293"/>
      <c r="FI40" s="293"/>
      <c r="FJ40" s="293"/>
      <c r="FK40" s="293"/>
      <c r="FL40" s="293"/>
      <c r="FM40" s="293"/>
      <c r="FN40" s="293"/>
      <c r="FO40" s="293"/>
      <c r="FP40" s="293"/>
      <c r="FQ40" s="293"/>
      <c r="FR40" s="293"/>
      <c r="FS40" s="293"/>
      <c r="FT40" s="293"/>
      <c r="FU40" s="293"/>
      <c r="FV40" s="293"/>
      <c r="FW40" s="293"/>
      <c r="FX40" s="293"/>
      <c r="FY40" s="293"/>
      <c r="FZ40" s="293"/>
      <c r="GA40" s="293"/>
      <c r="GB40" s="293"/>
      <c r="GC40" s="293"/>
      <c r="GD40" s="293"/>
      <c r="GE40" s="293"/>
      <c r="GF40" s="293"/>
      <c r="GG40" s="293"/>
      <c r="GH40" s="293"/>
      <c r="GI40" s="293"/>
      <c r="GJ40" s="293"/>
      <c r="GK40" s="293"/>
      <c r="GL40" s="293"/>
      <c r="GM40" s="293"/>
      <c r="GN40" s="293"/>
      <c r="GO40" s="293"/>
      <c r="GP40" s="293"/>
      <c r="GQ40" s="293"/>
      <c r="GR40" s="293"/>
      <c r="GS40" s="293"/>
      <c r="GT40" s="293"/>
      <c r="GU40" s="293"/>
      <c r="GV40" s="293"/>
      <c r="GW40" s="293"/>
      <c r="GX40" s="293"/>
      <c r="GY40" s="293"/>
      <c r="GZ40" s="293"/>
      <c r="HA40" s="293"/>
      <c r="HB40" s="293"/>
      <c r="HC40" s="293"/>
      <c r="HD40" s="293"/>
      <c r="HE40" s="293"/>
      <c r="HF40" s="293"/>
      <c r="HG40" s="293"/>
      <c r="HH40" s="293"/>
      <c r="HI40" s="293"/>
      <c r="HJ40" s="293"/>
      <c r="HK40" s="293"/>
      <c r="HL40" s="293"/>
      <c r="HM40" s="293"/>
      <c r="HN40" s="293"/>
      <c r="HO40" s="293"/>
      <c r="HP40" s="293"/>
      <c r="HQ40" s="293"/>
      <c r="HR40" s="293"/>
      <c r="HS40" s="293"/>
      <c r="HT40" s="293"/>
      <c r="HU40" s="293"/>
      <c r="HV40" s="293"/>
      <c r="HW40" s="293"/>
      <c r="HX40" s="293"/>
      <c r="HY40" s="293"/>
      <c r="HZ40" s="293"/>
      <c r="IA40" s="293"/>
      <c r="IB40" s="293"/>
      <c r="IC40" s="293"/>
      <c r="ID40" s="293"/>
      <c r="IE40" s="293"/>
      <c r="IF40" s="293"/>
      <c r="IG40" s="293"/>
      <c r="IH40" s="293"/>
      <c r="II40" s="293"/>
      <c r="IJ40" s="293"/>
      <c r="IK40" s="293"/>
      <c r="IL40" s="293"/>
      <c r="IM40" s="293"/>
      <c r="IN40" s="293"/>
      <c r="IO40" s="293"/>
      <c r="IP40" s="293"/>
      <c r="IQ40" s="293"/>
      <c r="IR40" s="293"/>
      <c r="IS40" s="293"/>
      <c r="IT40" s="293"/>
      <c r="IU40" s="293"/>
      <c r="IV40" s="293"/>
      <c r="IW40" s="293"/>
    </row>
    <row r="41" customFormat="false" ht="12.75" hidden="false" customHeight="false" outlineLevel="0" collapsed="false">
      <c r="A41" s="258"/>
      <c r="B41" s="172"/>
      <c r="C41" s="172"/>
      <c r="D41" s="172"/>
      <c r="E41" s="172"/>
      <c r="F41" s="172"/>
      <c r="G41" s="172"/>
      <c r="H41" s="172"/>
      <c r="I41" s="172"/>
      <c r="J41" s="172"/>
      <c r="K41" s="172"/>
      <c r="L41" s="172"/>
      <c r="M41" s="172"/>
      <c r="N41" s="172"/>
      <c r="O41" s="172"/>
      <c r="P41" s="172"/>
      <c r="Q41" s="172"/>
      <c r="R41" s="172"/>
      <c r="S41" s="172"/>
      <c r="T41" s="172"/>
      <c r="U41" s="172"/>
    </row>
    <row r="42" customFormat="false" ht="18" hidden="false" customHeight="false" outlineLevel="0" collapsed="false">
      <c r="A42" s="326" t="s">
        <v>197</v>
      </c>
      <c r="B42" s="172"/>
      <c r="C42" s="172"/>
      <c r="D42" s="172"/>
      <c r="E42" s="172"/>
      <c r="F42" s="172"/>
      <c r="G42" s="172"/>
      <c r="H42" s="172"/>
      <c r="I42" s="172"/>
      <c r="J42" s="172"/>
      <c r="K42" s="172"/>
      <c r="L42" s="172"/>
      <c r="M42" s="172"/>
      <c r="N42" s="172"/>
      <c r="O42" s="172"/>
      <c r="P42" s="172"/>
      <c r="Q42" s="172"/>
      <c r="R42" s="172"/>
      <c r="S42" s="172"/>
      <c r="T42" s="172"/>
      <c r="U42" s="172"/>
    </row>
    <row r="43" customFormat="false" ht="12.75" hidden="false" customHeight="false" outlineLevel="0" collapsed="false">
      <c r="A43" s="163"/>
      <c r="B43" s="172"/>
      <c r="C43" s="172"/>
      <c r="D43" s="172"/>
      <c r="E43" s="172"/>
      <c r="F43" s="172"/>
      <c r="G43" s="172"/>
      <c r="H43" s="172"/>
      <c r="I43" s="172"/>
      <c r="J43" s="172"/>
      <c r="K43" s="172"/>
      <c r="L43" s="172"/>
      <c r="M43" s="172"/>
      <c r="N43" s="172"/>
      <c r="O43" s="172"/>
      <c r="P43" s="172"/>
      <c r="Q43" s="172"/>
      <c r="R43" s="172"/>
      <c r="S43" s="172"/>
      <c r="T43" s="172"/>
      <c r="U43" s="172"/>
    </row>
    <row r="44" customFormat="false" ht="15.75" hidden="false" customHeight="false" outlineLevel="0" collapsed="false">
      <c r="A44" s="163"/>
      <c r="B44" s="172"/>
      <c r="C44" s="172"/>
      <c r="D44" s="172"/>
      <c r="E44" s="172"/>
      <c r="F44" s="172"/>
      <c r="G44" s="172"/>
      <c r="H44" s="172"/>
      <c r="I44" s="172"/>
      <c r="J44" s="172"/>
      <c r="K44" s="172"/>
      <c r="L44" s="172"/>
      <c r="M44" s="172"/>
      <c r="N44" s="172"/>
      <c r="O44" s="172"/>
      <c r="P44" s="172"/>
      <c r="Q44" s="172"/>
      <c r="R44" s="172"/>
      <c r="S44" s="172"/>
      <c r="T44" s="172"/>
      <c r="U44" s="172"/>
      <c r="X44" s="324"/>
      <c r="Y44" s="324"/>
      <c r="Z44" s="324"/>
      <c r="AA44" s="324"/>
      <c r="AB44" s="324"/>
      <c r="AC44" s="324"/>
      <c r="AD44" s="324"/>
      <c r="AE44" s="324"/>
      <c r="AF44" s="324"/>
      <c r="AG44" s="324"/>
      <c r="AH44" s="324"/>
      <c r="AI44" s="324"/>
      <c r="AJ44" s="324"/>
      <c r="AK44" s="324"/>
      <c r="AL44" s="324"/>
      <c r="AM44" s="324"/>
      <c r="AN44" s="324"/>
      <c r="AO44" s="324"/>
      <c r="AP44" s="324"/>
      <c r="AQ44" s="324"/>
      <c r="AR44" s="324"/>
      <c r="AS44" s="324"/>
      <c r="AT44" s="324"/>
      <c r="AU44" s="324"/>
      <c r="AV44" s="324"/>
      <c r="AW44" s="324"/>
      <c r="AX44" s="324"/>
      <c r="AY44" s="324"/>
      <c r="AZ44" s="324"/>
      <c r="BA44" s="324"/>
      <c r="BB44" s="324"/>
      <c r="BC44" s="324"/>
      <c r="BD44" s="324"/>
      <c r="BE44" s="324"/>
      <c r="BF44" s="324"/>
      <c r="BG44" s="324"/>
      <c r="BH44" s="324"/>
      <c r="BI44" s="324"/>
      <c r="BJ44" s="324"/>
      <c r="BK44" s="324"/>
      <c r="BL44" s="324"/>
      <c r="BM44" s="324"/>
      <c r="BN44" s="324"/>
      <c r="BO44" s="324"/>
      <c r="BP44" s="324"/>
      <c r="BQ44" s="324"/>
      <c r="BR44" s="324"/>
      <c r="BS44" s="324"/>
      <c r="BT44" s="324"/>
      <c r="BU44" s="324"/>
      <c r="BV44" s="324"/>
      <c r="BW44" s="324"/>
      <c r="BX44" s="324"/>
      <c r="BY44" s="324"/>
      <c r="BZ44" s="324"/>
      <c r="CA44" s="324"/>
      <c r="CB44" s="324"/>
      <c r="CC44" s="324"/>
      <c r="CD44" s="324"/>
      <c r="CE44" s="324"/>
      <c r="CF44" s="324"/>
      <c r="CG44" s="324"/>
      <c r="CH44" s="324"/>
      <c r="CI44" s="324"/>
      <c r="CJ44" s="324"/>
      <c r="CK44" s="324"/>
      <c r="CL44" s="324"/>
      <c r="CM44" s="324"/>
      <c r="CN44" s="324"/>
      <c r="CO44" s="324"/>
      <c r="CP44" s="324"/>
      <c r="CQ44" s="324"/>
      <c r="CR44" s="324"/>
      <c r="CS44" s="324"/>
      <c r="CT44" s="324"/>
      <c r="CU44" s="324"/>
      <c r="CV44" s="324"/>
      <c r="CW44" s="324"/>
      <c r="CX44" s="324"/>
      <c r="CY44" s="324"/>
      <c r="CZ44" s="324"/>
      <c r="DA44" s="324"/>
      <c r="DB44" s="324"/>
      <c r="DC44" s="324"/>
      <c r="DD44" s="324"/>
      <c r="DE44" s="324"/>
      <c r="DF44" s="324"/>
      <c r="DG44" s="324"/>
      <c r="DH44" s="324"/>
      <c r="DI44" s="324"/>
      <c r="DJ44" s="324"/>
      <c r="DK44" s="324"/>
      <c r="DL44" s="324"/>
      <c r="DM44" s="324"/>
      <c r="DN44" s="324"/>
      <c r="DO44" s="324"/>
      <c r="DP44" s="324"/>
      <c r="DQ44" s="324"/>
      <c r="DR44" s="324"/>
      <c r="DS44" s="324"/>
      <c r="DT44" s="324"/>
      <c r="DU44" s="324"/>
      <c r="DV44" s="324"/>
      <c r="DW44" s="324"/>
      <c r="DX44" s="324"/>
      <c r="DY44" s="324"/>
      <c r="DZ44" s="324"/>
      <c r="EA44" s="324"/>
      <c r="EB44" s="324"/>
      <c r="EC44" s="324"/>
      <c r="ED44" s="324"/>
      <c r="EE44" s="324"/>
      <c r="EF44" s="324"/>
      <c r="EG44" s="324"/>
      <c r="EH44" s="324"/>
      <c r="EI44" s="324"/>
      <c r="EJ44" s="324"/>
      <c r="EK44" s="324"/>
      <c r="EL44" s="324"/>
      <c r="EM44" s="324"/>
      <c r="EN44" s="324"/>
      <c r="EO44" s="324"/>
      <c r="EP44" s="324"/>
      <c r="EQ44" s="324"/>
      <c r="ER44" s="324"/>
      <c r="ES44" s="324"/>
      <c r="ET44" s="324"/>
      <c r="EU44" s="324"/>
      <c r="EV44" s="324"/>
      <c r="EW44" s="324"/>
      <c r="EX44" s="324"/>
      <c r="EY44" s="324"/>
      <c r="EZ44" s="324"/>
      <c r="FA44" s="324"/>
      <c r="FB44" s="324"/>
      <c r="FC44" s="324"/>
      <c r="FD44" s="324"/>
      <c r="FE44" s="324"/>
      <c r="FF44" s="324"/>
      <c r="FG44" s="324"/>
      <c r="FH44" s="324"/>
      <c r="FI44" s="324"/>
      <c r="FJ44" s="324"/>
      <c r="FK44" s="324"/>
      <c r="FL44" s="324"/>
      <c r="FM44" s="324"/>
      <c r="FN44" s="324"/>
      <c r="FO44" s="324"/>
      <c r="FP44" s="324"/>
      <c r="FQ44" s="324"/>
      <c r="FR44" s="324"/>
      <c r="FS44" s="324"/>
      <c r="FT44" s="324"/>
      <c r="FU44" s="324"/>
      <c r="FV44" s="324"/>
      <c r="FW44" s="324"/>
      <c r="FX44" s="324"/>
      <c r="FY44" s="324"/>
      <c r="FZ44" s="324"/>
      <c r="GA44" s="324"/>
      <c r="GB44" s="324"/>
      <c r="GC44" s="324"/>
      <c r="GD44" s="324"/>
      <c r="GE44" s="324"/>
      <c r="GF44" s="324"/>
      <c r="GG44" s="324"/>
      <c r="GH44" s="324"/>
      <c r="GI44" s="324"/>
      <c r="GJ44" s="324"/>
      <c r="GK44" s="324"/>
      <c r="GL44" s="324"/>
      <c r="GM44" s="324"/>
      <c r="GN44" s="324"/>
      <c r="GO44" s="324"/>
      <c r="GP44" s="324"/>
      <c r="GQ44" s="324"/>
      <c r="GR44" s="324"/>
      <c r="GS44" s="324"/>
      <c r="GT44" s="324"/>
      <c r="GU44" s="324"/>
      <c r="GV44" s="324"/>
      <c r="GW44" s="324"/>
      <c r="GX44" s="324"/>
      <c r="GY44" s="324"/>
      <c r="GZ44" s="324"/>
      <c r="HA44" s="324"/>
      <c r="HB44" s="324"/>
      <c r="HC44" s="324"/>
      <c r="HD44" s="324"/>
      <c r="HE44" s="324"/>
      <c r="HF44" s="324"/>
      <c r="HG44" s="324"/>
      <c r="HH44" s="324"/>
      <c r="HI44" s="324"/>
      <c r="HJ44" s="324"/>
      <c r="HK44" s="324"/>
      <c r="HL44" s="324"/>
      <c r="HM44" s="324"/>
      <c r="HN44" s="324"/>
      <c r="HO44" s="324"/>
      <c r="HP44" s="324"/>
      <c r="HQ44" s="324"/>
      <c r="HR44" s="324"/>
      <c r="HS44" s="324"/>
      <c r="HT44" s="324"/>
      <c r="HU44" s="324"/>
      <c r="HV44" s="324"/>
      <c r="HW44" s="324"/>
      <c r="HX44" s="324"/>
      <c r="HY44" s="324"/>
      <c r="HZ44" s="324"/>
      <c r="IA44" s="324"/>
      <c r="IB44" s="324"/>
      <c r="IC44" s="324"/>
      <c r="ID44" s="324"/>
      <c r="IE44" s="324"/>
      <c r="IF44" s="324"/>
      <c r="IG44" s="324"/>
      <c r="IH44" s="324"/>
      <c r="II44" s="324"/>
      <c r="IJ44" s="324"/>
      <c r="IK44" s="324"/>
      <c r="IL44" s="324"/>
      <c r="IM44" s="324"/>
      <c r="IN44" s="324"/>
      <c r="IO44" s="324"/>
      <c r="IP44" s="324"/>
      <c r="IQ44" s="324"/>
      <c r="IR44" s="324"/>
      <c r="IS44" s="324"/>
      <c r="IT44" s="324"/>
      <c r="IU44" s="324"/>
      <c r="IV44" s="324"/>
      <c r="IW44" s="324"/>
    </row>
    <row r="45" customFormat="false" ht="12.75" hidden="false" customHeight="false" outlineLevel="0" collapsed="false">
      <c r="A45" s="163"/>
      <c r="B45" s="172"/>
      <c r="C45" s="172"/>
      <c r="D45" s="172"/>
      <c r="E45" s="172"/>
      <c r="F45" s="172"/>
      <c r="G45" s="172"/>
      <c r="H45" s="172"/>
      <c r="I45" s="172"/>
      <c r="J45" s="172"/>
      <c r="K45" s="172"/>
      <c r="L45" s="172"/>
      <c r="M45" s="172"/>
      <c r="N45" s="172"/>
      <c r="O45" s="172"/>
      <c r="P45" s="172"/>
      <c r="Q45" s="172"/>
      <c r="R45" s="172"/>
      <c r="S45" s="172"/>
      <c r="T45" s="172"/>
      <c r="U45" s="172"/>
      <c r="X45" s="316"/>
      <c r="Y45" s="316"/>
      <c r="Z45" s="316"/>
      <c r="AA45" s="316"/>
      <c r="AB45" s="316"/>
      <c r="AC45" s="316"/>
      <c r="AD45" s="316"/>
      <c r="AE45" s="316"/>
      <c r="AF45" s="316"/>
      <c r="AG45" s="316"/>
      <c r="AH45" s="316"/>
      <c r="AI45" s="316"/>
      <c r="AJ45" s="316"/>
      <c r="AK45" s="316"/>
      <c r="AL45" s="316"/>
      <c r="AM45" s="316"/>
      <c r="AN45" s="316"/>
      <c r="AO45" s="316"/>
      <c r="AP45" s="316"/>
      <c r="AQ45" s="316"/>
      <c r="AR45" s="316"/>
      <c r="AS45" s="316"/>
      <c r="AT45" s="316"/>
      <c r="AU45" s="316"/>
      <c r="AV45" s="316"/>
      <c r="AW45" s="316"/>
      <c r="AX45" s="316"/>
      <c r="AY45" s="316"/>
      <c r="AZ45" s="316"/>
      <c r="BA45" s="316"/>
      <c r="BB45" s="316"/>
      <c r="BC45" s="316"/>
      <c r="BD45" s="316"/>
      <c r="BE45" s="316"/>
      <c r="BF45" s="316"/>
      <c r="BG45" s="316"/>
      <c r="BH45" s="316"/>
      <c r="BI45" s="316"/>
      <c r="BJ45" s="316"/>
      <c r="BK45" s="316"/>
      <c r="BL45" s="316"/>
      <c r="BM45" s="316"/>
      <c r="BN45" s="316"/>
      <c r="BO45" s="316"/>
      <c r="BP45" s="316"/>
      <c r="BQ45" s="316"/>
      <c r="BR45" s="316"/>
      <c r="BS45" s="316"/>
      <c r="BT45" s="316"/>
      <c r="BU45" s="316"/>
      <c r="BV45" s="316"/>
      <c r="BW45" s="316"/>
      <c r="BX45" s="316"/>
      <c r="BY45" s="316"/>
      <c r="BZ45" s="316"/>
      <c r="CA45" s="316"/>
      <c r="CB45" s="316"/>
      <c r="CC45" s="316"/>
      <c r="CD45" s="316"/>
      <c r="CE45" s="316"/>
      <c r="CF45" s="316"/>
      <c r="CG45" s="316"/>
      <c r="CH45" s="316"/>
      <c r="CI45" s="316"/>
      <c r="CJ45" s="316"/>
      <c r="CK45" s="316"/>
      <c r="CL45" s="316"/>
      <c r="CM45" s="316"/>
      <c r="CN45" s="316"/>
      <c r="CO45" s="316"/>
      <c r="CP45" s="316"/>
      <c r="CQ45" s="316"/>
      <c r="CR45" s="316"/>
      <c r="CS45" s="316"/>
      <c r="CT45" s="316"/>
      <c r="CU45" s="316"/>
      <c r="CV45" s="316"/>
      <c r="CW45" s="316"/>
      <c r="CX45" s="316"/>
      <c r="CY45" s="316"/>
      <c r="CZ45" s="316"/>
      <c r="DA45" s="316"/>
      <c r="DB45" s="316"/>
      <c r="DC45" s="316"/>
      <c r="DD45" s="316"/>
      <c r="DE45" s="316"/>
      <c r="DF45" s="316"/>
      <c r="DG45" s="316"/>
      <c r="DH45" s="316"/>
      <c r="DI45" s="316"/>
      <c r="DJ45" s="316"/>
      <c r="DK45" s="316"/>
      <c r="DL45" s="316"/>
      <c r="DM45" s="316"/>
      <c r="DN45" s="316"/>
      <c r="DO45" s="316"/>
      <c r="DP45" s="316"/>
      <c r="DQ45" s="316"/>
      <c r="DR45" s="316"/>
      <c r="DS45" s="316"/>
      <c r="DT45" s="316"/>
      <c r="DU45" s="316"/>
      <c r="DV45" s="316"/>
      <c r="DW45" s="316"/>
      <c r="DX45" s="316"/>
      <c r="DY45" s="316"/>
      <c r="DZ45" s="316"/>
      <c r="EA45" s="316"/>
      <c r="EB45" s="316"/>
      <c r="EC45" s="316"/>
      <c r="ED45" s="316"/>
      <c r="EE45" s="316"/>
      <c r="EF45" s="316"/>
      <c r="EG45" s="316"/>
      <c r="EH45" s="316"/>
      <c r="EI45" s="316"/>
      <c r="EJ45" s="316"/>
      <c r="EK45" s="316"/>
      <c r="EL45" s="316"/>
      <c r="EM45" s="316"/>
      <c r="EN45" s="316"/>
      <c r="EO45" s="316"/>
      <c r="EP45" s="316"/>
      <c r="EQ45" s="316"/>
      <c r="ER45" s="316"/>
      <c r="ES45" s="316"/>
      <c r="ET45" s="316"/>
      <c r="EU45" s="316"/>
      <c r="EV45" s="316"/>
      <c r="EW45" s="316"/>
      <c r="EX45" s="316"/>
      <c r="EY45" s="316"/>
      <c r="EZ45" s="316"/>
      <c r="FA45" s="316"/>
      <c r="FB45" s="316"/>
      <c r="FC45" s="316"/>
      <c r="FD45" s="316"/>
      <c r="FE45" s="316"/>
      <c r="FF45" s="316"/>
      <c r="FG45" s="316"/>
      <c r="FH45" s="316"/>
      <c r="FI45" s="316"/>
      <c r="FJ45" s="316"/>
      <c r="FK45" s="316"/>
      <c r="FL45" s="316"/>
      <c r="FM45" s="316"/>
      <c r="FN45" s="316"/>
      <c r="FO45" s="316"/>
      <c r="FP45" s="316"/>
      <c r="FQ45" s="316"/>
      <c r="FR45" s="316"/>
      <c r="FS45" s="316"/>
      <c r="FT45" s="316"/>
      <c r="FU45" s="316"/>
      <c r="FV45" s="316"/>
      <c r="FW45" s="316"/>
      <c r="FX45" s="316"/>
      <c r="FY45" s="316"/>
      <c r="FZ45" s="316"/>
      <c r="GA45" s="316"/>
      <c r="GB45" s="316"/>
      <c r="GC45" s="316"/>
      <c r="GD45" s="316"/>
      <c r="GE45" s="316"/>
      <c r="GF45" s="316"/>
      <c r="GG45" s="316"/>
      <c r="GH45" s="316"/>
      <c r="GI45" s="316"/>
      <c r="GJ45" s="316"/>
      <c r="GK45" s="316"/>
      <c r="GL45" s="316"/>
      <c r="GM45" s="316"/>
      <c r="GN45" s="316"/>
      <c r="GO45" s="316"/>
      <c r="GP45" s="316"/>
      <c r="GQ45" s="316"/>
      <c r="GR45" s="316"/>
      <c r="GS45" s="316"/>
      <c r="GT45" s="316"/>
      <c r="GU45" s="316"/>
      <c r="GV45" s="316"/>
      <c r="GW45" s="316"/>
      <c r="GX45" s="316"/>
      <c r="GY45" s="316"/>
      <c r="GZ45" s="316"/>
      <c r="HA45" s="316"/>
      <c r="HB45" s="316"/>
      <c r="HC45" s="316"/>
      <c r="HD45" s="316"/>
      <c r="HE45" s="316"/>
      <c r="HF45" s="316"/>
      <c r="HG45" s="316"/>
      <c r="HH45" s="316"/>
      <c r="HI45" s="316"/>
      <c r="HJ45" s="316"/>
      <c r="HK45" s="316"/>
      <c r="HL45" s="316"/>
      <c r="HM45" s="316"/>
      <c r="HN45" s="316"/>
      <c r="HO45" s="316"/>
      <c r="HP45" s="316"/>
      <c r="HQ45" s="316"/>
      <c r="HR45" s="316"/>
      <c r="HS45" s="316"/>
      <c r="HT45" s="316"/>
      <c r="HU45" s="316"/>
      <c r="HV45" s="316"/>
      <c r="HW45" s="316"/>
      <c r="HX45" s="316"/>
      <c r="HY45" s="316"/>
      <c r="HZ45" s="316"/>
      <c r="IA45" s="316"/>
      <c r="IB45" s="316"/>
      <c r="IC45" s="316"/>
      <c r="ID45" s="316"/>
      <c r="IE45" s="316"/>
      <c r="IF45" s="316"/>
      <c r="IG45" s="316"/>
      <c r="IH45" s="316"/>
      <c r="II45" s="316"/>
      <c r="IJ45" s="316"/>
      <c r="IK45" s="316"/>
      <c r="IL45" s="316"/>
      <c r="IM45" s="316"/>
      <c r="IN45" s="316"/>
      <c r="IO45" s="316"/>
      <c r="IP45" s="316"/>
      <c r="IQ45" s="316"/>
      <c r="IR45" s="316"/>
      <c r="IS45" s="316"/>
      <c r="IT45" s="316"/>
      <c r="IU45" s="316"/>
      <c r="IV45" s="316"/>
      <c r="IW45" s="316"/>
    </row>
    <row r="46" customFormat="false" ht="13.5" hidden="false" customHeight="false" outlineLevel="0" collapsed="false">
      <c r="A46" s="154" t="s">
        <v>103</v>
      </c>
      <c r="B46" s="155" t="n">
        <v>2001</v>
      </c>
      <c r="C46" s="155" t="n">
        <f aca="false">B46+1</f>
        <v>2002</v>
      </c>
      <c r="D46" s="155" t="n">
        <f aca="false">C46+1</f>
        <v>2003</v>
      </c>
      <c r="E46" s="155" t="n">
        <f aca="false">D46+1</f>
        <v>2004</v>
      </c>
      <c r="F46" s="155" t="n">
        <f aca="false">E46+1</f>
        <v>2005</v>
      </c>
      <c r="G46" s="155" t="n">
        <f aca="false">F46+1</f>
        <v>2006</v>
      </c>
      <c r="H46" s="155" t="n">
        <f aca="false">G46+1</f>
        <v>2007</v>
      </c>
      <c r="I46" s="155" t="n">
        <f aca="false">H46+1</f>
        <v>2008</v>
      </c>
      <c r="J46" s="155" t="n">
        <f aca="false">I46+1</f>
        <v>2009</v>
      </c>
      <c r="K46" s="155" t="n">
        <f aca="false">J46+1</f>
        <v>2010</v>
      </c>
      <c r="L46" s="155" t="n">
        <f aca="false">K46+1</f>
        <v>2011</v>
      </c>
      <c r="M46" s="155" t="n">
        <f aca="false">L46+1</f>
        <v>2012</v>
      </c>
      <c r="N46" s="155" t="n">
        <f aca="false">M46+1</f>
        <v>2013</v>
      </c>
      <c r="O46" s="155" t="n">
        <f aca="false">N46+1</f>
        <v>2014</v>
      </c>
      <c r="P46" s="155" t="n">
        <f aca="false">O46+1</f>
        <v>2015</v>
      </c>
      <c r="Q46" s="155" t="n">
        <f aca="false">P46+1</f>
        <v>2016</v>
      </c>
      <c r="R46" s="155" t="n">
        <f aca="false">Q46+1</f>
        <v>2017</v>
      </c>
      <c r="S46" s="155" t="n">
        <f aca="false">R46+1</f>
        <v>2018</v>
      </c>
      <c r="T46" s="155" t="n">
        <f aca="false">S46+1</f>
        <v>2019</v>
      </c>
      <c r="U46" s="155" t="n">
        <f aca="false">T46+1</f>
        <v>2020</v>
      </c>
      <c r="W46" s="290" t="s">
        <v>125</v>
      </c>
    </row>
    <row r="47" customFormat="false" ht="12.75" hidden="false" customHeight="false" outlineLevel="0" collapsed="false">
      <c r="A47" s="254"/>
      <c r="B47" s="172"/>
      <c r="C47" s="172"/>
      <c r="D47" s="172"/>
      <c r="E47" s="172"/>
      <c r="F47" s="172"/>
      <c r="G47" s="172"/>
      <c r="H47" s="172"/>
      <c r="I47" s="172"/>
      <c r="J47" s="172"/>
      <c r="K47" s="172"/>
      <c r="L47" s="172"/>
      <c r="M47" s="172"/>
      <c r="N47" s="172"/>
      <c r="O47" s="172"/>
      <c r="P47" s="172"/>
      <c r="Q47" s="172"/>
      <c r="R47" s="172"/>
      <c r="S47" s="172"/>
      <c r="T47" s="172"/>
      <c r="U47" s="172"/>
      <c r="W47" s="168"/>
    </row>
    <row r="48" customFormat="false" ht="12.75" hidden="false" customHeight="false" outlineLevel="0" collapsed="false">
      <c r="A48" s="258" t="s">
        <v>115</v>
      </c>
      <c r="B48" s="259" t="n">
        <f aca="false">B25</f>
        <v>31744.3317496753</v>
      </c>
      <c r="C48" s="259" t="n">
        <f aca="false">C25</f>
        <v>33236.7388902578</v>
      </c>
      <c r="D48" s="259" t="n">
        <f aca="false">D25</f>
        <v>34900.3795486086</v>
      </c>
      <c r="E48" s="172" t="n">
        <f aca="false">E25</f>
        <v>36739.3979888356</v>
      </c>
      <c r="F48" s="172" t="n">
        <f aca="false">F25</f>
        <v>38669.8245861447</v>
      </c>
      <c r="G48" s="172" t="n">
        <f aca="false">G25</f>
        <v>39072.9740026755</v>
      </c>
      <c r="H48" s="172" t="n">
        <f aca="false">H25</f>
        <v>39569.4192283027</v>
      </c>
      <c r="I48" s="172" t="n">
        <f aca="false">I25</f>
        <v>40070.8712171171</v>
      </c>
      <c r="J48" s="172" t="n">
        <f aca="false">J25</f>
        <v>40577.3607257318</v>
      </c>
      <c r="K48" s="172" t="n">
        <f aca="false">K25</f>
        <v>41088.9179017142</v>
      </c>
      <c r="L48" s="172" t="n">
        <f aca="false">L25</f>
        <v>41876.9478964503</v>
      </c>
      <c r="M48" s="172" t="n">
        <f aca="false">M25</f>
        <v>42678.7189273209</v>
      </c>
      <c r="N48" s="172" t="n">
        <f aca="false">N25</f>
        <v>43141.1852240874</v>
      </c>
      <c r="O48" s="172" t="n">
        <f aca="false">O25</f>
        <v>43971.1492486187</v>
      </c>
      <c r="P48" s="172" t="n">
        <f aca="false">P25</f>
        <v>44373.9708686582</v>
      </c>
      <c r="Q48" s="172" t="n">
        <f aca="false">Q25</f>
        <v>45577.1918067469</v>
      </c>
      <c r="R48" s="172" t="n">
        <f aca="false">R25</f>
        <v>46201.1800799016</v>
      </c>
      <c r="S48" s="172" t="n">
        <f aca="false">S25</f>
        <v>46832.3401512216</v>
      </c>
      <c r="T48" s="172" t="n">
        <f aca="false">T25</f>
        <v>47470.7314427068</v>
      </c>
      <c r="U48" s="172" t="n">
        <f aca="false">U25</f>
        <v>48116.4129543965</v>
      </c>
      <c r="W48" s="170" t="n">
        <f aca="false">SUM(B48:U48)</f>
        <v>825910.044439172</v>
      </c>
    </row>
    <row r="49" customFormat="false" ht="12.75" hidden="false" customHeight="false" outlineLevel="0" collapsed="false">
      <c r="A49" s="258" t="s">
        <v>149</v>
      </c>
      <c r="B49" s="259" t="n">
        <f aca="false">B20</f>
        <v>174.46</v>
      </c>
      <c r="C49" s="259" t="n">
        <f aca="false">C20</f>
        <v>348.92</v>
      </c>
      <c r="D49" s="259" t="n">
        <f aca="false">D20</f>
        <v>436.15</v>
      </c>
      <c r="E49" s="259" t="n">
        <f aca="false">E20</f>
        <v>436.15</v>
      </c>
      <c r="F49" s="259" t="n">
        <f aca="false">F20</f>
        <v>436.15</v>
      </c>
      <c r="G49" s="259" t="n">
        <f aca="false">G20</f>
        <v>523.38</v>
      </c>
      <c r="H49" s="259" t="n">
        <f aca="false">H20</f>
        <v>523.38</v>
      </c>
      <c r="I49" s="259" t="n">
        <f aca="false">I20</f>
        <v>523.38</v>
      </c>
      <c r="J49" s="259" t="n">
        <f aca="false">J20</f>
        <v>523.38</v>
      </c>
      <c r="K49" s="259" t="n">
        <f aca="false">K20</f>
        <v>523.38</v>
      </c>
      <c r="L49" s="259" t="n">
        <f aca="false">L20</f>
        <v>523.38</v>
      </c>
      <c r="M49" s="259" t="n">
        <f aca="false">M20</f>
        <v>523.38</v>
      </c>
      <c r="N49" s="259" t="n">
        <f aca="false">N20</f>
        <v>872.3</v>
      </c>
      <c r="O49" s="259" t="n">
        <f aca="false">O20</f>
        <v>872.3</v>
      </c>
      <c r="P49" s="259" t="n">
        <f aca="false">P20</f>
        <v>1308.45</v>
      </c>
      <c r="Q49" s="259" t="n">
        <f aca="false">Q20</f>
        <v>743.931045</v>
      </c>
      <c r="R49" s="259" t="n">
        <f aca="false">R20</f>
        <v>758.8096659</v>
      </c>
      <c r="S49" s="259" t="n">
        <f aca="false">S20</f>
        <v>773.985859218</v>
      </c>
      <c r="T49" s="259" t="n">
        <f aca="false">T20</f>
        <v>789.46557640236</v>
      </c>
      <c r="U49" s="259" t="n">
        <f aca="false">U20</f>
        <v>805.254887930407</v>
      </c>
      <c r="W49" s="170" t="n">
        <f aca="false">SUM(B49:U49)</f>
        <v>12419.9870344508</v>
      </c>
    </row>
    <row r="50" customFormat="false" ht="12.75" hidden="false" customHeight="false" outlineLevel="0" collapsed="false">
      <c r="A50" s="258" t="s">
        <v>150</v>
      </c>
      <c r="B50" s="327" t="n">
        <v>-92.2251014</v>
      </c>
      <c r="C50" s="259" t="n">
        <f aca="false">-B49</f>
        <v>-174.46</v>
      </c>
      <c r="D50" s="259" t="n">
        <f aca="false">-C49</f>
        <v>-348.92</v>
      </c>
      <c r="E50" s="259" t="n">
        <f aca="false">-D49</f>
        <v>-436.15</v>
      </c>
      <c r="F50" s="259" t="n">
        <f aca="false">-E49</f>
        <v>-436.15</v>
      </c>
      <c r="G50" s="259" t="n">
        <f aca="false">-F49</f>
        <v>-436.15</v>
      </c>
      <c r="H50" s="259" t="n">
        <f aca="false">-G49</f>
        <v>-523.38</v>
      </c>
      <c r="I50" s="259" t="n">
        <f aca="false">-H49</f>
        <v>-523.38</v>
      </c>
      <c r="J50" s="259" t="n">
        <f aca="false">-I49</f>
        <v>-523.38</v>
      </c>
      <c r="K50" s="259" t="n">
        <f aca="false">-J49</f>
        <v>-523.38</v>
      </c>
      <c r="L50" s="259" t="n">
        <f aca="false">-K49</f>
        <v>-523.38</v>
      </c>
      <c r="M50" s="259" t="n">
        <f aca="false">-L49</f>
        <v>-523.38</v>
      </c>
      <c r="N50" s="259" t="n">
        <f aca="false">-M49</f>
        <v>-523.38</v>
      </c>
      <c r="O50" s="259" t="n">
        <f aca="false">-N49</f>
        <v>-872.3</v>
      </c>
      <c r="P50" s="259" t="n">
        <f aca="false">-O49</f>
        <v>-872.3</v>
      </c>
      <c r="Q50" s="259" t="n">
        <f aca="false">-P49</f>
        <v>-1308.45</v>
      </c>
      <c r="R50" s="259" t="n">
        <f aca="false">-Q49</f>
        <v>-743.931045</v>
      </c>
      <c r="S50" s="259" t="n">
        <f aca="false">-R49</f>
        <v>-758.8096659</v>
      </c>
      <c r="T50" s="259" t="n">
        <f aca="false">-S49</f>
        <v>-773.985859218</v>
      </c>
      <c r="U50" s="259" t="n">
        <f aca="false">-T49</f>
        <v>-789.46557640236</v>
      </c>
      <c r="W50" s="170" t="n">
        <f aca="false">SUM(B50:U50)</f>
        <v>-11706.9572479204</v>
      </c>
    </row>
    <row r="51" customFormat="false" ht="12.75" hidden="false" customHeight="false" outlineLevel="0" collapsed="false">
      <c r="A51" s="258" t="s">
        <v>198</v>
      </c>
      <c r="B51" s="328" t="n">
        <f aca="false">-Debt!B77*Allocation!$E$6</f>
        <v>-11998.3228552074</v>
      </c>
      <c r="C51" s="328" t="n">
        <f aca="false">-Debt!C77*Allocation!$E$6</f>
        <v>-12031.2852806338</v>
      </c>
      <c r="D51" s="328" t="n">
        <f aca="false">-Debt!D77*Allocation!$E$6</f>
        <v>-12031.2852806338</v>
      </c>
      <c r="E51" s="328" t="n">
        <f aca="false">-Debt!E77*Allocation!$E$6</f>
        <v>-13460.2300082981</v>
      </c>
      <c r="F51" s="328" t="n">
        <f aca="false">-Debt!F77*Allocation!$E$6</f>
        <v>-13794.9880245273</v>
      </c>
      <c r="G51" s="328" t="n">
        <f aca="false">-Debt!G77*Allocation!$E$6</f>
        <v>-13840.5185413065</v>
      </c>
      <c r="H51" s="328" t="n">
        <f aca="false">-Debt!H77*Allocation!$E$6</f>
        <v>-13790.6473804587</v>
      </c>
      <c r="I51" s="328" t="n">
        <f aca="false">-Debt!I77*Allocation!$E$6</f>
        <v>-13880.4021343369</v>
      </c>
      <c r="J51" s="328" t="n">
        <f aca="false">-Debt!J77*Allocation!$E$6</f>
        <v>-13806.2868329532</v>
      </c>
      <c r="K51" s="328" t="n">
        <f aca="false">-Debt!K77*Allocation!$E$6</f>
        <v>-14687.949815751</v>
      </c>
      <c r="L51" s="328" t="n">
        <f aca="false">-Debt!L77*Allocation!$E$6</f>
        <v>-18856.0464088302</v>
      </c>
      <c r="M51" s="328" t="n">
        <f aca="false">-Debt!M77*Allocation!$E$6</f>
        <v>-17863.2650399636</v>
      </c>
      <c r="N51" s="328" t="n">
        <f aca="false">-Debt!N77*Allocation!$E$6</f>
        <v>-16821.1442629011</v>
      </c>
      <c r="O51" s="328" t="n">
        <f aca="false">-Debt!O77*Allocation!$E$6</f>
        <v>-15803.6931899365</v>
      </c>
      <c r="P51" s="328" t="n">
        <f aca="false">-Debt!P77*Allocation!$E$6</f>
        <v>-15227.9497839784</v>
      </c>
      <c r="Q51" s="328" t="n">
        <f aca="false">-Debt!Q77*Allocation!$E$6</f>
        <v>-14614.7140028659</v>
      </c>
      <c r="R51" s="328" t="n">
        <f aca="false">-Debt!R77*Allocation!$E$6</f>
        <v>-13482.1376441111</v>
      </c>
      <c r="S51" s="328" t="n">
        <f aca="false">-Debt!S77*Allocation!$E$6</f>
        <v>-10596.1107958242</v>
      </c>
      <c r="T51" s="328" t="n">
        <f aca="false">-Debt!T77*Allocation!$E$6</f>
        <v>-9680.40483015607</v>
      </c>
      <c r="U51" s="328" t="n">
        <f aca="false">-Debt!U77*Allocation!$E$6</f>
        <v>-7857.86821811092</v>
      </c>
      <c r="W51" s="170" t="n">
        <f aca="false">SUM(B51:U51)</f>
        <v>-274125.250330785</v>
      </c>
    </row>
    <row r="52" customFormat="false" ht="12.75" hidden="false" customHeight="false" outlineLevel="0" collapsed="false">
      <c r="A52" s="258"/>
      <c r="B52" s="329"/>
      <c r="C52" s="329"/>
      <c r="D52" s="329"/>
      <c r="E52" s="329"/>
      <c r="F52" s="329"/>
      <c r="G52" s="329"/>
      <c r="H52" s="329"/>
      <c r="I52" s="329"/>
      <c r="J52" s="329"/>
      <c r="K52" s="329"/>
      <c r="L52" s="329"/>
      <c r="M52" s="329"/>
      <c r="N52" s="329"/>
      <c r="O52" s="329"/>
      <c r="P52" s="329"/>
      <c r="Q52" s="329"/>
      <c r="R52" s="329"/>
      <c r="S52" s="329"/>
      <c r="T52" s="329"/>
      <c r="U52" s="329"/>
      <c r="W52" s="251"/>
    </row>
    <row r="53" customFormat="false" ht="12.75" hidden="false" customHeight="false" outlineLevel="0" collapsed="false">
      <c r="A53" s="254" t="s">
        <v>199</v>
      </c>
      <c r="B53" s="330" t="n">
        <f aca="false">SUM(B48:B51)</f>
        <v>19828.2437930679</v>
      </c>
      <c r="C53" s="330" t="n">
        <f aca="false">SUM(C48:C51)</f>
        <v>21379.9136096241</v>
      </c>
      <c r="D53" s="330" t="n">
        <f aca="false">SUM(D48:D51)</f>
        <v>22956.3242679748</v>
      </c>
      <c r="E53" s="330" t="n">
        <f aca="false">SUM(E48:E51)</f>
        <v>23279.1679805374</v>
      </c>
      <c r="F53" s="330" t="n">
        <f aca="false">SUM(F48:F51)</f>
        <v>24874.8365616174</v>
      </c>
      <c r="G53" s="330" t="n">
        <f aca="false">SUM(G48:G51)</f>
        <v>25319.685461369</v>
      </c>
      <c r="H53" s="330" t="n">
        <f aca="false">SUM(H48:H51)</f>
        <v>25778.7718478441</v>
      </c>
      <c r="I53" s="330" t="n">
        <f aca="false">SUM(I48:I51)</f>
        <v>26190.4690827802</v>
      </c>
      <c r="J53" s="330" t="n">
        <f aca="false">SUM(J48:J51)</f>
        <v>26771.0738927786</v>
      </c>
      <c r="K53" s="330" t="n">
        <f aca="false">SUM(K48:K51)</f>
        <v>26400.9680859632</v>
      </c>
      <c r="L53" s="330" t="n">
        <f aca="false">SUM(L48:L51)</f>
        <v>23020.9014876201</v>
      </c>
      <c r="M53" s="330" t="n">
        <f aca="false">SUM(M48:M51)</f>
        <v>24815.4538873573</v>
      </c>
      <c r="N53" s="330" t="n">
        <f aca="false">SUM(N48:N51)</f>
        <v>26668.9609611863</v>
      </c>
      <c r="O53" s="330" t="n">
        <f aca="false">SUM(O48:O51)</f>
        <v>28167.4560586821</v>
      </c>
      <c r="P53" s="330" t="n">
        <f aca="false">SUM(P48:P51)</f>
        <v>29582.1710846798</v>
      </c>
      <c r="Q53" s="330" t="n">
        <f aca="false">SUM(Q48:Q51)</f>
        <v>30397.9588488811</v>
      </c>
      <c r="R53" s="330" t="n">
        <f aca="false">SUM(R48:R51)</f>
        <v>32733.9210566906</v>
      </c>
      <c r="S53" s="330" t="n">
        <f aca="false">SUM(S48:S51)</f>
        <v>36251.4055487154</v>
      </c>
      <c r="T53" s="330" t="n">
        <f aca="false">SUM(T48:T51)</f>
        <v>37805.8063297351</v>
      </c>
      <c r="U53" s="330" t="n">
        <f aca="false">SUM(U48:U51)</f>
        <v>40274.3340478136</v>
      </c>
      <c r="V53" s="293"/>
      <c r="W53" s="170" t="n">
        <f aca="false">SUM(B53:U53)</f>
        <v>552497.823894918</v>
      </c>
    </row>
    <row r="54" customFormat="false" ht="12.75" hidden="false" customHeight="false" outlineLevel="0" collapsed="false">
      <c r="A54" s="254"/>
      <c r="B54" s="259"/>
      <c r="C54" s="259"/>
      <c r="D54" s="259"/>
      <c r="E54" s="259"/>
      <c r="F54" s="259"/>
      <c r="G54" s="259"/>
      <c r="H54" s="259"/>
      <c r="I54" s="259"/>
      <c r="J54" s="259"/>
      <c r="K54" s="259"/>
      <c r="L54" s="259"/>
      <c r="M54" s="259"/>
      <c r="N54" s="259"/>
      <c r="O54" s="259"/>
      <c r="P54" s="259"/>
      <c r="Q54" s="259"/>
      <c r="R54" s="259"/>
      <c r="S54" s="259"/>
      <c r="T54" s="259"/>
      <c r="U54" s="259"/>
      <c r="W54" s="251"/>
    </row>
    <row r="55" customFormat="false" ht="15" hidden="false" customHeight="false" outlineLevel="0" collapsed="false">
      <c r="A55" s="258" t="s">
        <v>200</v>
      </c>
      <c r="B55" s="329" t="n">
        <f aca="false">-B97</f>
        <v>-474.323566661561</v>
      </c>
      <c r="C55" s="329" t="n">
        <f aca="false">-C97</f>
        <v>-0</v>
      </c>
      <c r="D55" s="329" t="n">
        <f aca="false">-D97</f>
        <v>-79.7954217624221</v>
      </c>
      <c r="E55" s="329" t="n">
        <f aca="false">-E97</f>
        <v>-388.822933308888</v>
      </c>
      <c r="F55" s="329" t="n">
        <f aca="false">-F97</f>
        <v>-626.401694943671</v>
      </c>
      <c r="G55" s="329" t="n">
        <f aca="false">-G97</f>
        <v>-763.535681235166</v>
      </c>
      <c r="H55" s="329" t="n">
        <f aca="false">-H97</f>
        <v>-855.36526194022</v>
      </c>
      <c r="I55" s="329" t="n">
        <f aca="false">-I97</f>
        <v>-898.915818259238</v>
      </c>
      <c r="J55" s="329" t="n">
        <f aca="false">-J97</f>
        <v>-951.388657718647</v>
      </c>
      <c r="K55" s="329" t="n">
        <f aca="false">-K97</f>
        <v>-1002.48253757215</v>
      </c>
      <c r="L55" s="329" t="n">
        <f aca="false">-L97</f>
        <v>-1088.37487386512</v>
      </c>
      <c r="M55" s="329" t="n">
        <f aca="false">-M97</f>
        <v>-1194.62714391534</v>
      </c>
      <c r="N55" s="329" t="n">
        <f aca="false">-N97</f>
        <v>-1286.3232422791</v>
      </c>
      <c r="O55" s="329" t="n">
        <f aca="false">-O97</f>
        <v>-1395.74727419483</v>
      </c>
      <c r="P55" s="329" t="n">
        <f aca="false">-P97</f>
        <v>-1483.15386997249</v>
      </c>
      <c r="Q55" s="329" t="n">
        <f aca="false">-Q97</f>
        <v>-2038.57090394218</v>
      </c>
      <c r="R55" s="329" t="n">
        <f aca="false">-R97</f>
        <v>-2563.1225923906</v>
      </c>
      <c r="S55" s="329" t="n">
        <f aca="false">-S97</f>
        <v>-2665.06652643189</v>
      </c>
      <c r="T55" s="329" t="n">
        <f aca="false">-T97</f>
        <v>-2758.31236186108</v>
      </c>
      <c r="U55" s="329" t="n">
        <f aca="false">-U97</f>
        <v>-2851.86180871762</v>
      </c>
      <c r="W55" s="170" t="n">
        <f aca="false">SUM(B55:U55)</f>
        <v>-25366.1921709722</v>
      </c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</row>
    <row r="56" customFormat="false" ht="12.75" hidden="false" customHeight="false" outlineLevel="0" collapsed="false">
      <c r="A56" s="258" t="s">
        <v>201</v>
      </c>
      <c r="B56" s="331" t="n">
        <f aca="false">-Allocation!$E$6*Tax!B24</f>
        <v>-2319.38218763117</v>
      </c>
      <c r="C56" s="331" t="n">
        <f aca="false">-Allocation!$E$6*Tax!C24</f>
        <v>-0</v>
      </c>
      <c r="D56" s="331" t="n">
        <f aca="false">-Allocation!$E$6*Tax!D24</f>
        <v>-0</v>
      </c>
      <c r="E56" s="331" t="n">
        <f aca="false">-Allocation!$E$6*Tax!E24</f>
        <v>-1375.31258759693</v>
      </c>
      <c r="F56" s="331" t="n">
        <f aca="false">-Allocation!$E$6*Tax!F24</f>
        <v>-3076.0212055563</v>
      </c>
      <c r="G56" s="331" t="n">
        <f aca="false">-Allocation!$E$6*Tax!G24</f>
        <v>-3884.5632092763</v>
      </c>
      <c r="H56" s="331" t="n">
        <f aca="false">-Allocation!$E$6*Tax!H24</f>
        <v>-4440.85135161144</v>
      </c>
      <c r="I56" s="331" t="n">
        <f aca="false">-Allocation!$E$6*Tax!I24</f>
        <v>-4730.31693956638</v>
      </c>
      <c r="J56" s="331" t="n">
        <f aca="false">-Allocation!$E$6*Tax!J24</f>
        <v>-5081.2832469097</v>
      </c>
      <c r="K56" s="331" t="n">
        <f aca="false">-Allocation!$E$6*Tax!K24</f>
        <v>-5434.17684853491</v>
      </c>
      <c r="L56" s="331" t="n">
        <f aca="false">-Allocation!$E$6*Tax!L24</f>
        <v>-5859.74206605965</v>
      </c>
      <c r="M56" s="331" t="n">
        <f aca="false">-Allocation!$E$6*Tax!M24</f>
        <v>-6409.81102627466</v>
      </c>
      <c r="N56" s="331" t="n">
        <f aca="false">-Allocation!$E$6*Tax!N24</f>
        <v>-6960.28511711752</v>
      </c>
      <c r="O56" s="331" t="n">
        <f aca="false">-Allocation!$E$6*Tax!O24</f>
        <v>-7526.15530370921</v>
      </c>
      <c r="P56" s="331" t="n">
        <f aca="false">-Allocation!$E$6*Tax!P24</f>
        <v>-8071.75215143958</v>
      </c>
      <c r="Q56" s="331" t="n">
        <f aca="false">-Allocation!$E$6*Tax!Q24</f>
        <v>-11077.2200292269</v>
      </c>
      <c r="R56" s="331" t="n">
        <f aca="false">-Allocation!$E$6*Tax!R24</f>
        <v>-14047.2085353871</v>
      </c>
      <c r="S56" s="331" t="n">
        <f aca="false">-Allocation!$E$6*Tax!S24</f>
        <v>-14610.4940046395</v>
      </c>
      <c r="T56" s="331" t="n">
        <f aca="false">-Allocation!$E$6*Tax!T24</f>
        <v>-15126.9881947441</v>
      </c>
      <c r="U56" s="331" t="n">
        <f aca="false">-Allocation!$E$6*Tax!U24</f>
        <v>-15645.5149227124</v>
      </c>
      <c r="W56" s="170" t="n">
        <f aca="false">SUM(B56:U56)</f>
        <v>-135677.078927994</v>
      </c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</row>
    <row r="57" customFormat="false" ht="12.75" hidden="false" customHeight="false" outlineLevel="0" collapsed="false">
      <c r="A57" s="258"/>
      <c r="B57" s="322"/>
      <c r="C57" s="322"/>
      <c r="D57" s="322"/>
      <c r="E57" s="322"/>
      <c r="F57" s="322"/>
      <c r="G57" s="322"/>
      <c r="H57" s="322"/>
      <c r="I57" s="322"/>
      <c r="J57" s="322"/>
      <c r="K57" s="322"/>
      <c r="L57" s="322"/>
      <c r="M57" s="322"/>
      <c r="N57" s="322"/>
      <c r="O57" s="322"/>
      <c r="P57" s="322"/>
      <c r="Q57" s="322"/>
      <c r="R57" s="322"/>
      <c r="S57" s="322"/>
      <c r="T57" s="322"/>
      <c r="U57" s="322"/>
      <c r="W57" s="251"/>
    </row>
    <row r="58" customFormat="false" ht="15.75" hidden="false" customHeight="false" outlineLevel="0" collapsed="false">
      <c r="A58" s="332" t="s">
        <v>202</v>
      </c>
      <c r="B58" s="333" t="n">
        <f aca="false">B53+B56+B55</f>
        <v>17034.5380387752</v>
      </c>
      <c r="C58" s="333" t="n">
        <f aca="false">C53+C56+C55</f>
        <v>21379.9136096241</v>
      </c>
      <c r="D58" s="333" t="n">
        <f aca="false">D53+D56+D55</f>
        <v>22876.5288462124</v>
      </c>
      <c r="E58" s="333" t="n">
        <f aca="false">E53+E56+E55</f>
        <v>21515.0324596316</v>
      </c>
      <c r="F58" s="333" t="n">
        <f aca="false">F53+F56+F55</f>
        <v>21172.4136611175</v>
      </c>
      <c r="G58" s="333" t="n">
        <f aca="false">G53+G56+G55</f>
        <v>20671.5865708575</v>
      </c>
      <c r="H58" s="333" t="n">
        <f aca="false">H53+H56+H55</f>
        <v>20482.5552342924</v>
      </c>
      <c r="I58" s="333" t="n">
        <f aca="false">I53+I56+I55</f>
        <v>20561.2363249546</v>
      </c>
      <c r="J58" s="333" t="n">
        <f aca="false">J53+J56+J55</f>
        <v>20738.4019881503</v>
      </c>
      <c r="K58" s="333" t="n">
        <f aca="false">K53+K56+K55</f>
        <v>19964.3086998562</v>
      </c>
      <c r="L58" s="333" t="n">
        <f aca="false">L53+L56+L55</f>
        <v>16072.7845476953</v>
      </c>
      <c r="M58" s="333" t="n">
        <f aca="false">M53+M56+M55</f>
        <v>17211.0157171673</v>
      </c>
      <c r="N58" s="333" t="n">
        <f aca="false">N53+N56+N55</f>
        <v>18422.3526017897</v>
      </c>
      <c r="O58" s="333" t="n">
        <f aca="false">O53+O56+O55</f>
        <v>19245.5534807781</v>
      </c>
      <c r="P58" s="333" t="n">
        <f aca="false">P53+P56+P55</f>
        <v>20027.2650632677</v>
      </c>
      <c r="Q58" s="333" t="n">
        <f aca="false">Q53+Q56+Q55</f>
        <v>17282.167915712</v>
      </c>
      <c r="R58" s="333" t="n">
        <f aca="false">R53+R56+R55</f>
        <v>16123.5899289128</v>
      </c>
      <c r="S58" s="333" t="n">
        <f aca="false">S53+S56+S55</f>
        <v>18975.8450176441</v>
      </c>
      <c r="T58" s="333" t="n">
        <f aca="false">T53+T56+T55</f>
        <v>19920.5057731299</v>
      </c>
      <c r="U58" s="333" t="n">
        <f aca="false">U53+U56+U55</f>
        <v>21776.9573163836</v>
      </c>
      <c r="V58" s="324"/>
      <c r="W58" s="170" t="n">
        <f aca="false">SUM(B58:U58)</f>
        <v>391454.552795952</v>
      </c>
    </row>
    <row r="59" customFormat="false" ht="12.75" hidden="false" customHeight="false" outlineLevel="0" collapsed="false">
      <c r="A59" s="334"/>
      <c r="B59" s="172"/>
      <c r="C59" s="172"/>
      <c r="D59" s="172"/>
      <c r="E59" s="172"/>
      <c r="F59" s="172"/>
      <c r="G59" s="172"/>
      <c r="H59" s="172"/>
      <c r="I59" s="172"/>
      <c r="J59" s="172"/>
      <c r="K59" s="172"/>
      <c r="L59" s="172"/>
      <c r="M59" s="172"/>
      <c r="N59" s="172"/>
      <c r="O59" s="172"/>
      <c r="P59" s="172"/>
      <c r="Q59" s="172"/>
      <c r="R59" s="172"/>
      <c r="S59" s="172"/>
      <c r="T59" s="172"/>
      <c r="U59" s="172"/>
      <c r="X59" s="293"/>
      <c r="Y59" s="293"/>
      <c r="Z59" s="293"/>
      <c r="AA59" s="293"/>
      <c r="AB59" s="293"/>
      <c r="AC59" s="293"/>
      <c r="AD59" s="293"/>
      <c r="AE59" s="293"/>
      <c r="AF59" s="293"/>
      <c r="AG59" s="293"/>
      <c r="AH59" s="293"/>
      <c r="AI59" s="293"/>
      <c r="AJ59" s="293"/>
      <c r="AK59" s="293"/>
      <c r="AL59" s="293"/>
      <c r="AM59" s="293"/>
      <c r="AN59" s="293"/>
      <c r="AO59" s="293"/>
      <c r="AP59" s="293"/>
      <c r="AQ59" s="293"/>
      <c r="AR59" s="293"/>
      <c r="AS59" s="293"/>
      <c r="AT59" s="293"/>
      <c r="AU59" s="293"/>
      <c r="AV59" s="293"/>
      <c r="AW59" s="293"/>
      <c r="AX59" s="293"/>
      <c r="AY59" s="293"/>
      <c r="AZ59" s="293"/>
      <c r="BA59" s="293"/>
      <c r="BB59" s="293"/>
      <c r="BC59" s="293"/>
      <c r="BD59" s="293"/>
      <c r="BE59" s="293"/>
      <c r="BF59" s="293"/>
      <c r="BG59" s="293"/>
      <c r="BH59" s="293"/>
      <c r="BI59" s="293"/>
      <c r="BJ59" s="293"/>
      <c r="BK59" s="293"/>
      <c r="BL59" s="293"/>
      <c r="BM59" s="293"/>
      <c r="BN59" s="293"/>
      <c r="BO59" s="293"/>
      <c r="BP59" s="293"/>
      <c r="BQ59" s="293"/>
      <c r="BR59" s="293"/>
      <c r="BS59" s="293"/>
      <c r="BT59" s="293"/>
      <c r="BU59" s="293"/>
      <c r="BV59" s="293"/>
      <c r="BW59" s="293"/>
      <c r="BX59" s="293"/>
      <c r="BY59" s="293"/>
      <c r="BZ59" s="293"/>
      <c r="CA59" s="293"/>
      <c r="CB59" s="293"/>
      <c r="CC59" s="293"/>
      <c r="CD59" s="293"/>
      <c r="CE59" s="293"/>
      <c r="CF59" s="293"/>
      <c r="CG59" s="293"/>
      <c r="CH59" s="293"/>
      <c r="CI59" s="293"/>
      <c r="CJ59" s="293"/>
      <c r="CK59" s="293"/>
      <c r="CL59" s="293"/>
      <c r="CM59" s="293"/>
      <c r="CN59" s="293"/>
      <c r="CO59" s="293"/>
      <c r="CP59" s="293"/>
      <c r="CQ59" s="293"/>
      <c r="CR59" s="293"/>
      <c r="CS59" s="293"/>
      <c r="CT59" s="293"/>
      <c r="CU59" s="293"/>
      <c r="CV59" s="293"/>
      <c r="CW59" s="293"/>
      <c r="CX59" s="293"/>
      <c r="CY59" s="293"/>
      <c r="CZ59" s="293"/>
      <c r="DA59" s="293"/>
      <c r="DB59" s="293"/>
      <c r="DC59" s="293"/>
      <c r="DD59" s="293"/>
      <c r="DE59" s="293"/>
      <c r="DF59" s="293"/>
      <c r="DG59" s="293"/>
      <c r="DH59" s="293"/>
      <c r="DI59" s="293"/>
      <c r="DJ59" s="293"/>
      <c r="DK59" s="293"/>
      <c r="DL59" s="293"/>
      <c r="DM59" s="293"/>
      <c r="DN59" s="293"/>
      <c r="DO59" s="293"/>
      <c r="DP59" s="293"/>
      <c r="DQ59" s="293"/>
      <c r="DR59" s="293"/>
      <c r="DS59" s="293"/>
      <c r="DT59" s="293"/>
      <c r="DU59" s="293"/>
      <c r="DV59" s="293"/>
      <c r="DW59" s="293"/>
      <c r="DX59" s="293"/>
      <c r="DY59" s="293"/>
      <c r="DZ59" s="293"/>
      <c r="EA59" s="293"/>
      <c r="EB59" s="293"/>
      <c r="EC59" s="293"/>
      <c r="ED59" s="293"/>
      <c r="EE59" s="293"/>
      <c r="EF59" s="293"/>
      <c r="EG59" s="293"/>
      <c r="EH59" s="293"/>
      <c r="EI59" s="293"/>
      <c r="EJ59" s="293"/>
      <c r="EK59" s="293"/>
      <c r="EL59" s="293"/>
      <c r="EM59" s="293"/>
      <c r="EN59" s="293"/>
      <c r="EO59" s="293"/>
      <c r="EP59" s="293"/>
      <c r="EQ59" s="293"/>
      <c r="ER59" s="293"/>
      <c r="ES59" s="293"/>
      <c r="ET59" s="293"/>
      <c r="EU59" s="293"/>
      <c r="EV59" s="293"/>
      <c r="EW59" s="293"/>
      <c r="EX59" s="293"/>
      <c r="EY59" s="293"/>
      <c r="EZ59" s="293"/>
      <c r="FA59" s="293"/>
      <c r="FB59" s="293"/>
      <c r="FC59" s="293"/>
      <c r="FD59" s="293"/>
      <c r="FE59" s="293"/>
      <c r="FF59" s="293"/>
      <c r="FG59" s="293"/>
      <c r="FH59" s="293"/>
      <c r="FI59" s="293"/>
      <c r="FJ59" s="293"/>
      <c r="FK59" s="293"/>
      <c r="FL59" s="293"/>
      <c r="FM59" s="293"/>
      <c r="FN59" s="293"/>
      <c r="FO59" s="293"/>
      <c r="FP59" s="293"/>
      <c r="FQ59" s="293"/>
      <c r="FR59" s="293"/>
      <c r="FS59" s="293"/>
      <c r="FT59" s="293"/>
      <c r="FU59" s="293"/>
      <c r="FV59" s="293"/>
      <c r="FW59" s="293"/>
      <c r="FX59" s="293"/>
      <c r="FY59" s="293"/>
      <c r="FZ59" s="293"/>
      <c r="GA59" s="293"/>
      <c r="GB59" s="293"/>
      <c r="GC59" s="293"/>
      <c r="GD59" s="293"/>
      <c r="GE59" s="293"/>
      <c r="GF59" s="293"/>
      <c r="GG59" s="293"/>
      <c r="GH59" s="293"/>
      <c r="GI59" s="293"/>
      <c r="GJ59" s="293"/>
      <c r="GK59" s="293"/>
      <c r="GL59" s="293"/>
      <c r="GM59" s="293"/>
      <c r="GN59" s="293"/>
      <c r="GO59" s="293"/>
      <c r="GP59" s="293"/>
      <c r="GQ59" s="293"/>
      <c r="GR59" s="293"/>
      <c r="GS59" s="293"/>
      <c r="GT59" s="293"/>
      <c r="GU59" s="293"/>
      <c r="GV59" s="293"/>
      <c r="GW59" s="293"/>
      <c r="GX59" s="293"/>
      <c r="GY59" s="293"/>
      <c r="GZ59" s="293"/>
      <c r="HA59" s="293"/>
      <c r="HB59" s="293"/>
      <c r="HC59" s="293"/>
      <c r="HD59" s="293"/>
      <c r="HE59" s="293"/>
      <c r="HF59" s="293"/>
      <c r="HG59" s="293"/>
      <c r="HH59" s="293"/>
      <c r="HI59" s="293"/>
      <c r="HJ59" s="293"/>
      <c r="HK59" s="293"/>
      <c r="HL59" s="293"/>
      <c r="HM59" s="293"/>
      <c r="HN59" s="293"/>
      <c r="HO59" s="293"/>
      <c r="HP59" s="293"/>
      <c r="HQ59" s="293"/>
      <c r="HR59" s="293"/>
      <c r="HS59" s="293"/>
      <c r="HT59" s="293"/>
      <c r="HU59" s="293"/>
      <c r="HV59" s="293"/>
      <c r="HW59" s="293"/>
      <c r="HX59" s="293"/>
      <c r="HY59" s="293"/>
      <c r="HZ59" s="293"/>
      <c r="IA59" s="293"/>
      <c r="IB59" s="293"/>
      <c r="IC59" s="293"/>
      <c r="ID59" s="293"/>
      <c r="IE59" s="293"/>
      <c r="IF59" s="293"/>
      <c r="IG59" s="293"/>
      <c r="IH59" s="293"/>
      <c r="II59" s="293"/>
      <c r="IJ59" s="293"/>
      <c r="IK59" s="293"/>
      <c r="IL59" s="293"/>
      <c r="IM59" s="293"/>
      <c r="IN59" s="293"/>
      <c r="IO59" s="293"/>
      <c r="IP59" s="293"/>
      <c r="IQ59" s="293"/>
      <c r="IR59" s="293"/>
      <c r="IS59" s="293"/>
      <c r="IT59" s="293"/>
      <c r="IU59" s="293"/>
      <c r="IV59" s="293"/>
      <c r="IW59" s="293"/>
    </row>
    <row r="60" customFormat="false" ht="12.75" hidden="false" customHeight="false" outlineLevel="0" collapsed="false">
      <c r="A60" s="334"/>
      <c r="B60" s="172"/>
      <c r="C60" s="172"/>
      <c r="D60" s="172"/>
      <c r="E60" s="172"/>
      <c r="F60" s="172"/>
      <c r="G60" s="172"/>
      <c r="H60" s="172"/>
      <c r="I60" s="172"/>
      <c r="J60" s="172"/>
      <c r="K60" s="172"/>
      <c r="L60" s="172"/>
      <c r="M60" s="172"/>
      <c r="N60" s="172"/>
      <c r="O60" s="172"/>
      <c r="P60" s="172"/>
      <c r="Q60" s="172"/>
      <c r="R60" s="172"/>
      <c r="S60" s="172"/>
      <c r="T60" s="172"/>
      <c r="U60" s="172"/>
    </row>
    <row r="61" customFormat="false" ht="12.75" hidden="false" customHeight="false" outlineLevel="0" collapsed="false">
      <c r="A61" s="241"/>
      <c r="B61" s="172"/>
      <c r="C61" s="172"/>
      <c r="D61" s="172"/>
      <c r="E61" s="172"/>
      <c r="F61" s="172"/>
      <c r="G61" s="172"/>
      <c r="H61" s="172"/>
      <c r="I61" s="172"/>
      <c r="J61" s="172"/>
      <c r="K61" s="172"/>
      <c r="L61" s="172"/>
      <c r="M61" s="172"/>
      <c r="N61" s="172"/>
      <c r="O61" s="172"/>
      <c r="P61" s="172"/>
      <c r="Q61" s="172"/>
      <c r="R61" s="172"/>
      <c r="S61" s="172"/>
      <c r="T61" s="172"/>
      <c r="U61" s="172"/>
    </row>
    <row r="62" customFormat="false" ht="18" hidden="false" customHeight="false" outlineLevel="0" collapsed="false">
      <c r="A62" s="326" t="s">
        <v>203</v>
      </c>
      <c r="B62" s="272"/>
      <c r="C62" s="272"/>
      <c r="D62" s="272"/>
      <c r="E62" s="272"/>
      <c r="F62" s="272"/>
      <c r="G62" s="272"/>
      <c r="H62" s="272"/>
      <c r="I62" s="272"/>
      <c r="J62" s="272"/>
      <c r="K62" s="272"/>
      <c r="L62" s="272"/>
      <c r="M62" s="272"/>
      <c r="N62" s="272"/>
      <c r="O62" s="272"/>
      <c r="P62" s="272"/>
      <c r="Q62" s="272"/>
      <c r="R62" s="272"/>
      <c r="S62" s="272"/>
      <c r="T62" s="272"/>
      <c r="U62" s="272"/>
    </row>
    <row r="63" customFormat="false" ht="12.75" hidden="false" customHeight="false" outlineLevel="0" collapsed="false">
      <c r="A63" s="293"/>
      <c r="B63" s="294"/>
      <c r="C63" s="294"/>
      <c r="D63" s="294"/>
      <c r="E63" s="294"/>
      <c r="F63" s="294"/>
      <c r="G63" s="295"/>
      <c r="H63" s="294"/>
      <c r="I63" s="294"/>
      <c r="J63" s="294"/>
      <c r="K63" s="294"/>
      <c r="L63" s="294"/>
      <c r="M63" s="295"/>
      <c r="N63" s="294"/>
      <c r="O63" s="294"/>
      <c r="P63" s="294"/>
      <c r="Q63" s="294"/>
      <c r="R63" s="294"/>
      <c r="S63" s="295"/>
      <c r="T63" s="294"/>
      <c r="U63" s="294"/>
    </row>
    <row r="64" customFormat="false" ht="15.75" hidden="false" customHeight="false" outlineLevel="0" collapsed="false">
      <c r="A64" s="248"/>
      <c r="B64" s="297" t="n">
        <v>3</v>
      </c>
      <c r="C64" s="297" t="n">
        <v>4</v>
      </c>
      <c r="D64" s="297" t="n">
        <v>5</v>
      </c>
      <c r="E64" s="298" t="n">
        <v>6</v>
      </c>
      <c r="F64" s="297" t="n">
        <v>7</v>
      </c>
      <c r="G64" s="297" t="n">
        <v>8</v>
      </c>
      <c r="H64" s="297" t="n">
        <v>9</v>
      </c>
      <c r="I64" s="297" t="n">
        <v>10</v>
      </c>
      <c r="J64" s="297" t="n">
        <v>11</v>
      </c>
      <c r="K64" s="298" t="n">
        <v>12</v>
      </c>
      <c r="L64" s="297" t="n">
        <v>13</v>
      </c>
      <c r="M64" s="297" t="n">
        <v>14</v>
      </c>
      <c r="N64" s="297" t="n">
        <v>15</v>
      </c>
      <c r="O64" s="297" t="n">
        <v>16</v>
      </c>
      <c r="P64" s="297" t="n">
        <v>17</v>
      </c>
      <c r="Q64" s="298" t="n">
        <v>18</v>
      </c>
      <c r="R64" s="297" t="n">
        <v>19</v>
      </c>
      <c r="S64" s="297" t="n">
        <v>20</v>
      </c>
      <c r="T64" s="297" t="n">
        <v>21</v>
      </c>
      <c r="U64" s="297" t="n">
        <v>22</v>
      </c>
      <c r="X64" s="324"/>
      <c r="Y64" s="324"/>
      <c r="Z64" s="324"/>
      <c r="AA64" s="324"/>
      <c r="AB64" s="324"/>
      <c r="AC64" s="324"/>
      <c r="AD64" s="324"/>
      <c r="AE64" s="324"/>
      <c r="AF64" s="324"/>
      <c r="AG64" s="324"/>
      <c r="AH64" s="324"/>
      <c r="AI64" s="324"/>
      <c r="AJ64" s="324"/>
      <c r="AK64" s="324"/>
      <c r="AL64" s="324"/>
      <c r="AM64" s="324"/>
      <c r="AN64" s="324"/>
      <c r="AO64" s="324"/>
      <c r="AP64" s="324"/>
      <c r="AQ64" s="324"/>
      <c r="AR64" s="324"/>
      <c r="AS64" s="324"/>
      <c r="AT64" s="324"/>
      <c r="AU64" s="324"/>
      <c r="AV64" s="324"/>
      <c r="AW64" s="324"/>
      <c r="AX64" s="324"/>
      <c r="AY64" s="324"/>
      <c r="AZ64" s="324"/>
      <c r="BA64" s="324"/>
      <c r="BB64" s="324"/>
      <c r="BC64" s="324"/>
      <c r="BD64" s="324"/>
      <c r="BE64" s="324"/>
      <c r="BF64" s="324"/>
      <c r="BG64" s="324"/>
      <c r="BH64" s="324"/>
      <c r="BI64" s="324"/>
      <c r="BJ64" s="324"/>
      <c r="BK64" s="324"/>
      <c r="BL64" s="324"/>
      <c r="BM64" s="324"/>
      <c r="BN64" s="324"/>
      <c r="BO64" s="324"/>
      <c r="BP64" s="324"/>
      <c r="BQ64" s="324"/>
      <c r="BR64" s="324"/>
      <c r="BS64" s="324"/>
      <c r="BT64" s="324"/>
      <c r="BU64" s="324"/>
      <c r="BV64" s="324"/>
      <c r="BW64" s="324"/>
      <c r="BX64" s="324"/>
      <c r="BY64" s="324"/>
      <c r="BZ64" s="324"/>
      <c r="CA64" s="324"/>
      <c r="CB64" s="324"/>
      <c r="CC64" s="324"/>
      <c r="CD64" s="324"/>
      <c r="CE64" s="324"/>
      <c r="CF64" s="324"/>
      <c r="CG64" s="324"/>
      <c r="CH64" s="324"/>
      <c r="CI64" s="324"/>
      <c r="CJ64" s="324"/>
      <c r="CK64" s="324"/>
      <c r="CL64" s="324"/>
      <c r="CM64" s="324"/>
      <c r="CN64" s="324"/>
      <c r="CO64" s="324"/>
      <c r="CP64" s="324"/>
      <c r="CQ64" s="324"/>
      <c r="CR64" s="324"/>
      <c r="CS64" s="324"/>
      <c r="CT64" s="324"/>
      <c r="CU64" s="324"/>
      <c r="CV64" s="324"/>
      <c r="CW64" s="324"/>
      <c r="CX64" s="324"/>
      <c r="CY64" s="324"/>
      <c r="CZ64" s="324"/>
      <c r="DA64" s="324"/>
      <c r="DB64" s="324"/>
      <c r="DC64" s="324"/>
      <c r="DD64" s="324"/>
      <c r="DE64" s="324"/>
      <c r="DF64" s="324"/>
      <c r="DG64" s="324"/>
      <c r="DH64" s="324"/>
      <c r="DI64" s="324"/>
      <c r="DJ64" s="324"/>
      <c r="DK64" s="324"/>
      <c r="DL64" s="324"/>
      <c r="DM64" s="324"/>
      <c r="DN64" s="324"/>
      <c r="DO64" s="324"/>
      <c r="DP64" s="324"/>
      <c r="DQ64" s="324"/>
      <c r="DR64" s="324"/>
      <c r="DS64" s="324"/>
      <c r="DT64" s="324"/>
      <c r="DU64" s="324"/>
      <c r="DV64" s="324"/>
      <c r="DW64" s="324"/>
      <c r="DX64" s="324"/>
      <c r="DY64" s="324"/>
      <c r="DZ64" s="324"/>
      <c r="EA64" s="324"/>
      <c r="EB64" s="324"/>
      <c r="EC64" s="324"/>
      <c r="ED64" s="324"/>
      <c r="EE64" s="324"/>
      <c r="EF64" s="324"/>
      <c r="EG64" s="324"/>
      <c r="EH64" s="324"/>
      <c r="EI64" s="324"/>
      <c r="EJ64" s="324"/>
      <c r="EK64" s="324"/>
      <c r="EL64" s="324"/>
      <c r="EM64" s="324"/>
      <c r="EN64" s="324"/>
      <c r="EO64" s="324"/>
      <c r="EP64" s="324"/>
      <c r="EQ64" s="324"/>
      <c r="ER64" s="324"/>
      <c r="ES64" s="324"/>
      <c r="ET64" s="324"/>
      <c r="EU64" s="324"/>
      <c r="EV64" s="324"/>
      <c r="EW64" s="324"/>
      <c r="EX64" s="324"/>
      <c r="EY64" s="324"/>
      <c r="EZ64" s="324"/>
      <c r="FA64" s="324"/>
      <c r="FB64" s="324"/>
      <c r="FC64" s="324"/>
      <c r="FD64" s="324"/>
      <c r="FE64" s="324"/>
      <c r="FF64" s="324"/>
      <c r="FG64" s="324"/>
      <c r="FH64" s="324"/>
      <c r="FI64" s="324"/>
      <c r="FJ64" s="324"/>
      <c r="FK64" s="324"/>
      <c r="FL64" s="324"/>
      <c r="FM64" s="324"/>
      <c r="FN64" s="324"/>
      <c r="FO64" s="324"/>
      <c r="FP64" s="324"/>
      <c r="FQ64" s="324"/>
      <c r="FR64" s="324"/>
      <c r="FS64" s="324"/>
      <c r="FT64" s="324"/>
      <c r="FU64" s="324"/>
      <c r="FV64" s="324"/>
      <c r="FW64" s="324"/>
      <c r="FX64" s="324"/>
      <c r="FY64" s="324"/>
      <c r="FZ64" s="324"/>
      <c r="GA64" s="324"/>
      <c r="GB64" s="324"/>
      <c r="GC64" s="324"/>
      <c r="GD64" s="324"/>
      <c r="GE64" s="324"/>
      <c r="GF64" s="324"/>
      <c r="GG64" s="324"/>
      <c r="GH64" s="324"/>
      <c r="GI64" s="324"/>
      <c r="GJ64" s="324"/>
      <c r="GK64" s="324"/>
      <c r="GL64" s="324"/>
      <c r="GM64" s="324"/>
      <c r="GN64" s="324"/>
      <c r="GO64" s="324"/>
      <c r="GP64" s="324"/>
      <c r="GQ64" s="324"/>
      <c r="GR64" s="324"/>
      <c r="GS64" s="324"/>
      <c r="GT64" s="324"/>
      <c r="GU64" s="324"/>
      <c r="GV64" s="324"/>
      <c r="GW64" s="324"/>
      <c r="GX64" s="324"/>
      <c r="GY64" s="324"/>
      <c r="GZ64" s="324"/>
      <c r="HA64" s="324"/>
      <c r="HB64" s="324"/>
      <c r="HC64" s="324"/>
      <c r="HD64" s="324"/>
      <c r="HE64" s="324"/>
      <c r="HF64" s="324"/>
      <c r="HG64" s="324"/>
      <c r="HH64" s="324"/>
      <c r="HI64" s="324"/>
      <c r="HJ64" s="324"/>
      <c r="HK64" s="324"/>
      <c r="HL64" s="324"/>
      <c r="HM64" s="324"/>
      <c r="HN64" s="324"/>
      <c r="HO64" s="324"/>
      <c r="HP64" s="324"/>
      <c r="HQ64" s="324"/>
      <c r="HR64" s="324"/>
      <c r="HS64" s="324"/>
      <c r="HT64" s="324"/>
      <c r="HU64" s="324"/>
      <c r="HV64" s="324"/>
      <c r="HW64" s="324"/>
      <c r="HX64" s="324"/>
      <c r="HY64" s="324"/>
      <c r="HZ64" s="324"/>
      <c r="IA64" s="324"/>
      <c r="IB64" s="324"/>
      <c r="IC64" s="324"/>
      <c r="ID64" s="324"/>
      <c r="IE64" s="324"/>
      <c r="IF64" s="324"/>
      <c r="IG64" s="324"/>
      <c r="IH64" s="324"/>
      <c r="II64" s="324"/>
      <c r="IJ64" s="324"/>
      <c r="IK64" s="324"/>
      <c r="IL64" s="324"/>
      <c r="IM64" s="324"/>
      <c r="IN64" s="324"/>
      <c r="IO64" s="324"/>
      <c r="IP64" s="324"/>
      <c r="IQ64" s="324"/>
      <c r="IR64" s="324"/>
      <c r="IS64" s="324"/>
      <c r="IT64" s="324"/>
      <c r="IU64" s="324"/>
      <c r="IV64" s="324"/>
      <c r="IW64" s="324"/>
    </row>
    <row r="65" customFormat="false" ht="13.5" hidden="false" customHeight="false" outlineLevel="0" collapsed="false">
      <c r="A65" s="154" t="s">
        <v>103</v>
      </c>
      <c r="B65" s="155" t="n">
        <v>2001</v>
      </c>
      <c r="C65" s="155" t="n">
        <v>2002</v>
      </c>
      <c r="D65" s="155" t="n">
        <v>2003</v>
      </c>
      <c r="E65" s="155" t="n">
        <v>2004</v>
      </c>
      <c r="F65" s="155" t="n">
        <v>2005</v>
      </c>
      <c r="G65" s="155" t="n">
        <v>2006</v>
      </c>
      <c r="H65" s="155" t="n">
        <v>2007</v>
      </c>
      <c r="I65" s="155" t="n">
        <v>2008</v>
      </c>
      <c r="J65" s="155" t="n">
        <v>2009</v>
      </c>
      <c r="K65" s="155" t="n">
        <v>2010</v>
      </c>
      <c r="L65" s="155" t="n">
        <v>2011</v>
      </c>
      <c r="M65" s="155" t="n">
        <v>2012</v>
      </c>
      <c r="N65" s="155" t="n">
        <v>2013</v>
      </c>
      <c r="O65" s="155" t="n">
        <v>2014</v>
      </c>
      <c r="P65" s="155" t="n">
        <v>2015</v>
      </c>
      <c r="Q65" s="155" t="n">
        <v>2016</v>
      </c>
      <c r="R65" s="155" t="n">
        <v>2017</v>
      </c>
      <c r="S65" s="155" t="n">
        <v>2018</v>
      </c>
      <c r="T65" s="155" t="n">
        <v>2019</v>
      </c>
      <c r="U65" s="155" t="n">
        <v>2020</v>
      </c>
    </row>
    <row r="66" customFormat="false" ht="12.75" hidden="false" customHeight="false" outlineLevel="0" collapsed="false">
      <c r="A66" s="248"/>
      <c r="B66" s="300"/>
      <c r="C66" s="156"/>
      <c r="D66" s="156"/>
      <c r="E66" s="156"/>
      <c r="F66" s="156"/>
      <c r="G66" s="156"/>
      <c r="H66" s="156"/>
      <c r="I66" s="156"/>
      <c r="J66" s="156"/>
      <c r="K66" s="156"/>
      <c r="L66" s="156"/>
      <c r="M66" s="156"/>
      <c r="N66" s="156"/>
      <c r="O66" s="156"/>
      <c r="P66" s="156"/>
      <c r="Q66" s="156"/>
      <c r="R66" s="156"/>
      <c r="S66" s="156"/>
      <c r="T66" s="156"/>
      <c r="U66" s="156"/>
    </row>
    <row r="67" customFormat="false" ht="12.75" hidden="false" customHeight="false" outlineLevel="0" collapsed="false">
      <c r="A67" s="248"/>
      <c r="B67" s="300"/>
      <c r="C67" s="156"/>
      <c r="D67" s="156"/>
      <c r="E67" s="156"/>
      <c r="F67" s="156"/>
      <c r="G67" s="156"/>
      <c r="H67" s="156"/>
      <c r="I67" s="156"/>
      <c r="J67" s="156"/>
      <c r="K67" s="156"/>
      <c r="L67" s="156"/>
      <c r="M67" s="156"/>
      <c r="N67" s="156"/>
      <c r="O67" s="156"/>
      <c r="P67" s="156"/>
      <c r="Q67" s="156"/>
      <c r="R67" s="156"/>
      <c r="S67" s="156"/>
      <c r="T67" s="156"/>
      <c r="U67" s="156"/>
    </row>
    <row r="68" customFormat="false" ht="12.75" hidden="false" customHeight="false" outlineLevel="0" collapsed="false">
      <c r="A68" s="301" t="s">
        <v>204</v>
      </c>
      <c r="B68" s="300"/>
      <c r="C68" s="156"/>
      <c r="D68" s="156"/>
      <c r="E68" s="156"/>
      <c r="F68" s="156"/>
      <c r="G68" s="156"/>
      <c r="H68" s="156"/>
      <c r="I68" s="156"/>
      <c r="J68" s="156"/>
      <c r="K68" s="156"/>
      <c r="L68" s="156"/>
      <c r="M68" s="156"/>
      <c r="N68" s="156"/>
      <c r="O68" s="156"/>
      <c r="P68" s="156"/>
      <c r="Q68" s="156"/>
      <c r="R68" s="156"/>
      <c r="S68" s="156"/>
      <c r="T68" s="156"/>
      <c r="U68" s="156"/>
    </row>
    <row r="69" customFormat="false" ht="12.75" hidden="false" customHeight="false" outlineLevel="0" collapsed="false">
      <c r="A69" s="248"/>
      <c r="B69" s="300"/>
      <c r="C69" s="156"/>
      <c r="D69" s="156"/>
      <c r="E69" s="156"/>
      <c r="F69" s="156"/>
      <c r="G69" s="156"/>
      <c r="H69" s="156"/>
      <c r="I69" s="156"/>
      <c r="J69" s="156"/>
      <c r="K69" s="156"/>
      <c r="L69" s="156"/>
      <c r="M69" s="156"/>
      <c r="N69" s="156"/>
      <c r="O69" s="156"/>
      <c r="P69" s="156"/>
      <c r="Q69" s="156"/>
      <c r="R69" s="156"/>
      <c r="S69" s="156"/>
      <c r="T69" s="156"/>
      <c r="U69" s="156"/>
    </row>
    <row r="70" customFormat="false" ht="12.75" hidden="false" customHeight="false" outlineLevel="0" collapsed="false">
      <c r="A70" s="293" t="s">
        <v>205</v>
      </c>
      <c r="B70" s="270" t="n">
        <f aca="false">Depreciation!C14</f>
        <v>229707.952665439</v>
      </c>
      <c r="C70" s="270" t="n">
        <f aca="false">Depreciation!D14</f>
        <v>222603.582995374</v>
      </c>
      <c r="D70" s="270" t="n">
        <f aca="false">Depreciation!E14</f>
        <v>215499.213325309</v>
      </c>
      <c r="E70" s="270" t="n">
        <f aca="false">Depreciation!F14</f>
        <v>208394.843655244</v>
      </c>
      <c r="F70" s="270" t="n">
        <f aca="false">Depreciation!G14</f>
        <v>201290.473985179</v>
      </c>
      <c r="G70" s="270" t="n">
        <f aca="false">Depreciation!H14</f>
        <v>194186.104315113</v>
      </c>
      <c r="H70" s="270" t="n">
        <f aca="false">Depreciation!I14</f>
        <v>187081.734645048</v>
      </c>
      <c r="I70" s="270" t="n">
        <f aca="false">Depreciation!J14</f>
        <v>179977.364974983</v>
      </c>
      <c r="J70" s="270" t="n">
        <f aca="false">Depreciation!K14</f>
        <v>172872.995304918</v>
      </c>
      <c r="K70" s="270" t="n">
        <f aca="false">Depreciation!L14</f>
        <v>165768.625634853</v>
      </c>
      <c r="L70" s="270" t="n">
        <f aca="false">Depreciation!M14</f>
        <v>158664.255964788</v>
      </c>
      <c r="M70" s="270" t="n">
        <f aca="false">Depreciation!N14</f>
        <v>151559.886294723</v>
      </c>
      <c r="N70" s="270" t="n">
        <f aca="false">Depreciation!O14</f>
        <v>144455.516624658</v>
      </c>
      <c r="O70" s="270" t="n">
        <f aca="false">Depreciation!P14</f>
        <v>137351.146954592</v>
      </c>
      <c r="P70" s="270" t="n">
        <f aca="false">Depreciation!Q14</f>
        <v>130246.777284527</v>
      </c>
      <c r="Q70" s="270" t="n">
        <f aca="false">Depreciation!R14</f>
        <v>123142.407614462</v>
      </c>
      <c r="R70" s="270" t="n">
        <f aca="false">Depreciation!S14</f>
        <v>116038.037944397</v>
      </c>
      <c r="S70" s="270" t="n">
        <f aca="false">Depreciation!T14</f>
        <v>108933.668274332</v>
      </c>
      <c r="T70" s="270" t="n">
        <f aca="false">Depreciation!U14</f>
        <v>101829.298604267</v>
      </c>
      <c r="U70" s="270" t="n">
        <f aca="false">Depreciation!V14</f>
        <v>94724.9289342017</v>
      </c>
      <c r="W70" s="335" t="n">
        <f aca="false">SUM(B70:U70)</f>
        <v>3244328.81599641</v>
      </c>
    </row>
    <row r="71" customFormat="false" ht="12.75" hidden="false" customHeight="false" outlineLevel="0" collapsed="false">
      <c r="A71" s="93" t="s">
        <v>206</v>
      </c>
      <c r="B71" s="270" t="n">
        <f aca="false">Allocation!$C$6*'Summary Output'!$C$7</f>
        <v>133195.390603589</v>
      </c>
      <c r="C71" s="270" t="n">
        <f aca="false">Allocation!$C$6*'Summary Output'!$C$7</f>
        <v>133195.390603589</v>
      </c>
      <c r="D71" s="270" t="n">
        <f aca="false">Allocation!$C$6*'Summary Output'!$C$7</f>
        <v>133195.390603589</v>
      </c>
      <c r="E71" s="270" t="n">
        <f aca="false">Allocation!$C$6*'Summary Output'!$C$7</f>
        <v>133195.390603589</v>
      </c>
      <c r="F71" s="270" t="n">
        <f aca="false">Allocation!$C$6*'Summary Output'!$C$7</f>
        <v>133195.390603589</v>
      </c>
      <c r="G71" s="270" t="n">
        <f aca="false">Allocation!$C$6*'Summary Output'!$C$7</f>
        <v>133195.390603589</v>
      </c>
      <c r="H71" s="270" t="n">
        <f aca="false">Allocation!$C$6*'Summary Output'!$C$7</f>
        <v>133195.390603589</v>
      </c>
      <c r="I71" s="270" t="n">
        <f aca="false">Allocation!$C$6*'Summary Output'!$C$7</f>
        <v>133195.390603589</v>
      </c>
      <c r="J71" s="270" t="n">
        <f aca="false">Allocation!$C$6*'Summary Output'!$C$7</f>
        <v>133195.390603589</v>
      </c>
      <c r="K71" s="270" t="n">
        <f aca="false">Allocation!$C$6*'Summary Output'!$C$7</f>
        <v>133195.390603589</v>
      </c>
      <c r="L71" s="270" t="n">
        <f aca="false">Allocation!$C$6*'Summary Output'!$C$7</f>
        <v>133195.390603589</v>
      </c>
      <c r="M71" s="270" t="n">
        <f aca="false">Allocation!$C$6*'Summary Output'!$C$7</f>
        <v>133195.390603589</v>
      </c>
      <c r="N71" s="270" t="n">
        <f aca="false">Allocation!$C$6*'Summary Output'!$C$7</f>
        <v>133195.390603589</v>
      </c>
      <c r="O71" s="270" t="n">
        <f aca="false">Allocation!$C$6*'Summary Output'!$C$7</f>
        <v>133195.390603589</v>
      </c>
      <c r="P71" s="270" t="n">
        <f aca="false">Allocation!$C$6*'Summary Output'!$C$7</f>
        <v>133195.390603589</v>
      </c>
      <c r="Q71" s="270" t="n">
        <f aca="false">Allocation!$C$6*'Summary Output'!$C$7</f>
        <v>133195.390603589</v>
      </c>
      <c r="R71" s="270" t="n">
        <f aca="false">Allocation!$C$6*'Summary Output'!$C$7</f>
        <v>133195.390603589</v>
      </c>
      <c r="S71" s="270" t="n">
        <f aca="false">Allocation!$C$6*'Summary Output'!$C$7</f>
        <v>133195.390603589</v>
      </c>
      <c r="T71" s="270" t="n">
        <f aca="false">Allocation!$C$6*'Summary Output'!$C$7</f>
        <v>133195.390603589</v>
      </c>
      <c r="U71" s="270" t="n">
        <f aca="false">Allocation!$C$6*'Summary Output'!$C$7</f>
        <v>133195.390603589</v>
      </c>
      <c r="W71" s="335" t="n">
        <f aca="false">SUM(B71:U71)</f>
        <v>2663907.81207178</v>
      </c>
    </row>
    <row r="72" customFormat="false" ht="12.75" hidden="false" customHeight="false" outlineLevel="0" collapsed="false">
      <c r="A72" s="336" t="s">
        <v>207</v>
      </c>
      <c r="B72" s="337" t="n">
        <f aca="false">B38-B58</f>
        <v>-9310.49647266507</v>
      </c>
      <c r="C72" s="337" t="n">
        <f aca="false">C38-C58+B72</f>
        <v>-22074.6477952186</v>
      </c>
      <c r="D72" s="337" t="n">
        <f aca="false">D38-D58+C72</f>
        <v>-35318.9299121082</v>
      </c>
      <c r="E72" s="337" t="n">
        <f aca="false">E38-E58+D72</f>
        <v>-46073.9093737023</v>
      </c>
      <c r="F72" s="337" t="n">
        <f aca="false">F38-F58+E72</f>
        <v>-55181.0572470266</v>
      </c>
      <c r="G72" s="337" t="n">
        <f aca="false">G38-G58+F72</f>
        <v>-63403.7432389847</v>
      </c>
      <c r="H72" s="337" t="n">
        <f aca="false">H38-H58+G72</f>
        <v>-70979.7513497231</v>
      </c>
      <c r="I72" s="337" t="n">
        <f aca="false">I38-I58+H72</f>
        <v>-78176.4814863803</v>
      </c>
      <c r="J72" s="337" t="n">
        <f aca="false">J38-J58+I72</f>
        <v>-85030.4981039662</v>
      </c>
      <c r="K72" s="337" t="n">
        <f aca="false">K38-K58+J72</f>
        <v>-90575.6461905218</v>
      </c>
      <c r="L72" s="337" t="n">
        <f aca="false">L38-L58+K72</f>
        <v>-91369.0690665612</v>
      </c>
      <c r="M72" s="337" t="n">
        <f aca="false">M38-M58+L72</f>
        <v>-92204.2515958331</v>
      </c>
      <c r="N72" s="337" t="n">
        <f aca="false">N38-N58+M72</f>
        <v>-93331.4683076179</v>
      </c>
      <c r="O72" s="337" t="n">
        <f aca="false">O38-O58+N72</f>
        <v>-94153.1152738211</v>
      </c>
      <c r="P72" s="337" t="n">
        <f aca="false">P38-P58+O72</f>
        <v>-94880.8525550729</v>
      </c>
      <c r="Q72" s="337" t="n">
        <f aca="false">Q38-Q58+P72</f>
        <v>-91475.9195967805</v>
      </c>
      <c r="R72" s="337" t="n">
        <f aca="false">R38-R58+Q72</f>
        <v>-85839.1476615922</v>
      </c>
      <c r="S72" s="337" t="n">
        <f aca="false">S38-S58+R72</f>
        <v>-82016.5017534814</v>
      </c>
      <c r="T72" s="337" t="n">
        <f aca="false">T38-T58+S72</f>
        <v>-78188.9631767357</v>
      </c>
      <c r="U72" s="337" t="n">
        <f aca="false">U38-U58+T72</f>
        <v>-75265.2309427546</v>
      </c>
      <c r="W72" s="335" t="n">
        <f aca="false">SUM(B72:U72)</f>
        <v>-1434849.68110055</v>
      </c>
    </row>
    <row r="73" customFormat="false" ht="12.75" hidden="false" customHeight="false" outlineLevel="0" collapsed="false">
      <c r="A73" s="336" t="s">
        <v>208</v>
      </c>
      <c r="B73" s="338" t="n">
        <f aca="false">Debt!B73*Allocation!$E$6</f>
        <v>107797.39774332</v>
      </c>
      <c r="C73" s="338" t="n">
        <f aca="false">Debt!C73*Allocation!$E$6</f>
        <v>107797.39774332</v>
      </c>
      <c r="D73" s="338" t="n">
        <f aca="false">Debt!D73*Allocation!$E$6</f>
        <v>107797.39774332</v>
      </c>
      <c r="E73" s="338" t="n">
        <f aca="false">Debt!E73*Allocation!$E$6</f>
        <v>106361.634682209</v>
      </c>
      <c r="F73" s="338" t="n">
        <f aca="false">Debt!F73*Allocation!$E$6</f>
        <v>104385.349056914</v>
      </c>
      <c r="G73" s="338" t="n">
        <f aca="false">Debt!G73*Allocation!$E$6</f>
        <v>102138.802149529</v>
      </c>
      <c r="H73" s="338" t="n">
        <f aca="false">Debt!H73*Allocation!$E$6</f>
        <v>99689.5592805744</v>
      </c>
      <c r="I73" s="338" t="n">
        <f aca="false">Debt!I73*Allocation!$E$6</f>
        <v>96902.4898090056</v>
      </c>
      <c r="J73" s="338" t="n">
        <f aca="false">Debt!J73*Allocation!$E$6</f>
        <v>93845.1590553454</v>
      </c>
      <c r="K73" s="338" t="n">
        <f aca="false">Debt!K73*Allocation!$E$6</f>
        <v>89542.4765984111</v>
      </c>
      <c r="L73" s="338" t="n">
        <f aca="false">Debt!L73*Allocation!$E$6</f>
        <v>80451.8698371511</v>
      </c>
      <c r="M73" s="338" t="n">
        <f aca="false">Debt!M73*Allocation!$E$6</f>
        <v>71361.2630758911</v>
      </c>
      <c r="N73" s="338" t="n">
        <f aca="false">Debt!N73*Allocation!$E$6</f>
        <v>62270.6563146311</v>
      </c>
      <c r="O73" s="338" t="n">
        <f aca="false">Debt!O73*Allocation!$E$6</f>
        <v>53180.0495533711</v>
      </c>
      <c r="P73" s="338" t="n">
        <f aca="false">Debt!P73*Allocation!$E$6</f>
        <v>43634.9124540481</v>
      </c>
      <c r="Q73" s="338" t="n">
        <f aca="false">Debt!Q73*Allocation!$E$6</f>
        <v>33635.2450166621</v>
      </c>
      <c r="R73" s="338" t="n">
        <f aca="false">Debt!R73*Allocation!$E$6</f>
        <v>23635.577579276</v>
      </c>
      <c r="S73" s="338" t="n">
        <f aca="false">Debt!S73*Allocation!$E$6</f>
        <v>15454.031494142</v>
      </c>
      <c r="T73" s="338" t="n">
        <f aca="false">Debt!T73*Allocation!$E$6</f>
        <v>7272.48540900801</v>
      </c>
      <c r="U73" s="338" t="n">
        <f aca="false">Debt!U73*Allocation!$E$6</f>
        <v>0</v>
      </c>
      <c r="W73" s="335" t="n">
        <f aca="false">SUM(B73:U73)</f>
        <v>1407153.75459613</v>
      </c>
    </row>
    <row r="74" customFormat="false" ht="12.75" hidden="false" customHeight="false" outlineLevel="0" collapsed="false">
      <c r="A74" s="293" t="s">
        <v>209</v>
      </c>
      <c r="B74" s="339" t="n">
        <f aca="false">SUM(B71:B73)</f>
        <v>231682.291874244</v>
      </c>
      <c r="C74" s="339" t="n">
        <f aca="false">SUM(C71:C73)</f>
        <v>218918.14055169</v>
      </c>
      <c r="D74" s="339" t="n">
        <f aca="false">SUM(D71:D73)</f>
        <v>205673.8584348</v>
      </c>
      <c r="E74" s="339" t="n">
        <f aca="false">SUM(E71:E73)</f>
        <v>193483.115912095</v>
      </c>
      <c r="F74" s="339" t="n">
        <f aca="false">SUM(F71:F73)</f>
        <v>182399.682413477</v>
      </c>
      <c r="G74" s="339" t="n">
        <f aca="false">SUM(G71:G73)</f>
        <v>171930.449514133</v>
      </c>
      <c r="H74" s="339" t="n">
        <f aca="false">SUM(H71:H73)</f>
        <v>161905.19853444</v>
      </c>
      <c r="I74" s="339" t="n">
        <f aca="false">SUM(I71:I73)</f>
        <v>151921.398926214</v>
      </c>
      <c r="J74" s="339" t="n">
        <f aca="false">SUM(J71:J73)</f>
        <v>142010.051554968</v>
      </c>
      <c r="K74" s="339" t="n">
        <f aca="false">SUM(K71:K73)</f>
        <v>132162.221011478</v>
      </c>
      <c r="L74" s="339" t="n">
        <f aca="false">SUM(L71:L73)</f>
        <v>122278.191374179</v>
      </c>
      <c r="M74" s="339" t="n">
        <f aca="false">SUM(M71:M73)</f>
        <v>112352.402083647</v>
      </c>
      <c r="N74" s="339" t="n">
        <f aca="false">SUM(N71:N73)</f>
        <v>102134.578610602</v>
      </c>
      <c r="O74" s="339" t="n">
        <f aca="false">SUM(O71:O73)</f>
        <v>92222.3248831388</v>
      </c>
      <c r="P74" s="339" t="n">
        <f aca="false">SUM(P71:P73)</f>
        <v>81949.450502564</v>
      </c>
      <c r="Q74" s="339" t="n">
        <f aca="false">SUM(Q71:Q73)</f>
        <v>75354.7160234704</v>
      </c>
      <c r="R74" s="339" t="n">
        <f aca="false">SUM(R71:R73)</f>
        <v>70991.8205212726</v>
      </c>
      <c r="S74" s="339" t="n">
        <f aca="false">SUM(S71:S73)</f>
        <v>66632.9203442495</v>
      </c>
      <c r="T74" s="339" t="n">
        <f aca="false">SUM(T71:T73)</f>
        <v>62278.9128358612</v>
      </c>
      <c r="U74" s="339" t="n">
        <f aca="false">SUM(U71:U73)</f>
        <v>57930.1596608342</v>
      </c>
      <c r="W74" s="335" t="n">
        <f aca="false">SUM(B74:U74)</f>
        <v>2636211.88556736</v>
      </c>
    </row>
    <row r="75" customFormat="false" ht="12.75" hidden="false" customHeight="false" outlineLevel="0" collapsed="false">
      <c r="A75" s="248"/>
      <c r="B75" s="339"/>
      <c r="C75" s="339"/>
      <c r="D75" s="339"/>
      <c r="E75" s="339"/>
      <c r="F75" s="339"/>
      <c r="G75" s="339"/>
      <c r="H75" s="339"/>
      <c r="I75" s="339"/>
      <c r="J75" s="339"/>
      <c r="K75" s="339"/>
      <c r="L75" s="339"/>
      <c r="M75" s="339"/>
      <c r="N75" s="339"/>
      <c r="O75" s="339"/>
      <c r="P75" s="339"/>
      <c r="Q75" s="339"/>
      <c r="R75" s="339"/>
      <c r="S75" s="339"/>
      <c r="T75" s="339"/>
      <c r="U75" s="339"/>
      <c r="W75" s="335"/>
    </row>
    <row r="76" customFormat="false" ht="12.75" hidden="false" customHeight="false" outlineLevel="0" collapsed="false">
      <c r="A76" s="293" t="s">
        <v>210</v>
      </c>
      <c r="B76" s="339" t="n">
        <f aca="false">MAX(B74,B70)</f>
        <v>231682.291874244</v>
      </c>
      <c r="C76" s="339" t="n">
        <f aca="false">MAX(C74,C70)</f>
        <v>222603.582995374</v>
      </c>
      <c r="D76" s="339" t="n">
        <f aca="false">MAX(D74,D70)</f>
        <v>215499.213325309</v>
      </c>
      <c r="E76" s="339" t="n">
        <f aca="false">MAX(E74,E70)</f>
        <v>208394.843655244</v>
      </c>
      <c r="F76" s="339" t="n">
        <f aca="false">MAX(F74,F70)</f>
        <v>201290.473985179</v>
      </c>
      <c r="G76" s="339" t="n">
        <f aca="false">MAX(G74,G70)</f>
        <v>194186.104315113</v>
      </c>
      <c r="H76" s="339" t="n">
        <f aca="false">MAX(H74,H70)</f>
        <v>187081.734645048</v>
      </c>
      <c r="I76" s="339" t="n">
        <f aca="false">MAX(I74,I70)</f>
        <v>179977.364974983</v>
      </c>
      <c r="J76" s="339" t="n">
        <f aca="false">MAX(J74,J70)</f>
        <v>172872.995304918</v>
      </c>
      <c r="K76" s="339" t="n">
        <f aca="false">MAX(K74,K70)</f>
        <v>165768.625634853</v>
      </c>
      <c r="L76" s="339" t="n">
        <f aca="false">MAX(L74,L70)</f>
        <v>158664.255964788</v>
      </c>
      <c r="M76" s="339" t="n">
        <f aca="false">MAX(M74,M70)</f>
        <v>151559.886294723</v>
      </c>
      <c r="N76" s="339" t="n">
        <f aca="false">MAX(N74,N70)</f>
        <v>144455.516624658</v>
      </c>
      <c r="O76" s="339" t="n">
        <f aca="false">MAX(O74,O70)</f>
        <v>137351.146954592</v>
      </c>
      <c r="P76" s="339" t="n">
        <f aca="false">MAX(P74,P70)</f>
        <v>130246.777284527</v>
      </c>
      <c r="Q76" s="339" t="n">
        <f aca="false">MAX(Q74,Q70)</f>
        <v>123142.407614462</v>
      </c>
      <c r="R76" s="339" t="n">
        <f aca="false">MAX(R74,R70)</f>
        <v>116038.037944397</v>
      </c>
      <c r="S76" s="339" t="n">
        <f aca="false">MAX(S74,S70)</f>
        <v>108933.668274332</v>
      </c>
      <c r="T76" s="339" t="n">
        <f aca="false">MAX(T74,T70)</f>
        <v>101829.298604267</v>
      </c>
      <c r="U76" s="339" t="n">
        <f aca="false">MAX(U74,U70)</f>
        <v>94724.9289342017</v>
      </c>
      <c r="W76" s="335" t="n">
        <f aca="false">SUM(B76:U76)</f>
        <v>3246303.15520521</v>
      </c>
    </row>
    <row r="77" customFormat="false" ht="12.75" hidden="false" customHeight="false" outlineLevel="0" collapsed="false">
      <c r="A77" s="336" t="s">
        <v>211</v>
      </c>
      <c r="B77" s="340" t="n">
        <f aca="false">Assumptions!$C$41</f>
        <v>0.0025</v>
      </c>
      <c r="C77" s="340" t="n">
        <f aca="false">Assumptions!$C$42</f>
        <v>0.0025</v>
      </c>
      <c r="D77" s="340" t="n">
        <f aca="false">Assumptions!$C$42</f>
        <v>0.0025</v>
      </c>
      <c r="E77" s="340" t="n">
        <f aca="false">Assumptions!$C$42</f>
        <v>0.0025</v>
      </c>
      <c r="F77" s="340" t="n">
        <f aca="false">Assumptions!$C$42</f>
        <v>0.0025</v>
      </c>
      <c r="G77" s="340" t="n">
        <f aca="false">Assumptions!$C$42</f>
        <v>0.0025</v>
      </c>
      <c r="H77" s="340" t="n">
        <f aca="false">Assumptions!$C$42</f>
        <v>0.0025</v>
      </c>
      <c r="I77" s="340" t="n">
        <f aca="false">Assumptions!$C$42</f>
        <v>0.0025</v>
      </c>
      <c r="J77" s="340" t="n">
        <f aca="false">Assumptions!$C$42</f>
        <v>0.0025</v>
      </c>
      <c r="K77" s="340" t="n">
        <f aca="false">Assumptions!$C$42</f>
        <v>0.0025</v>
      </c>
      <c r="L77" s="340" t="n">
        <f aca="false">Assumptions!$C$42</f>
        <v>0.0025</v>
      </c>
      <c r="M77" s="340" t="n">
        <f aca="false">Assumptions!$C$42</f>
        <v>0.0025</v>
      </c>
      <c r="N77" s="340" t="n">
        <f aca="false">Assumptions!$C$42</f>
        <v>0.0025</v>
      </c>
      <c r="O77" s="340" t="n">
        <f aca="false">Assumptions!$C$42</f>
        <v>0.0025</v>
      </c>
      <c r="P77" s="340" t="n">
        <f aca="false">Assumptions!$C$42</f>
        <v>0.0025</v>
      </c>
      <c r="Q77" s="340" t="n">
        <f aca="false">Assumptions!$C$42</f>
        <v>0.0025</v>
      </c>
      <c r="R77" s="340" t="n">
        <f aca="false">Assumptions!$C$42</f>
        <v>0.0025</v>
      </c>
      <c r="S77" s="340" t="n">
        <f aca="false">Assumptions!$C$42</f>
        <v>0.0025</v>
      </c>
      <c r="T77" s="340" t="n">
        <f aca="false">Assumptions!$C$42</f>
        <v>0.0025</v>
      </c>
      <c r="U77" s="340" t="n">
        <f aca="false">Assumptions!$C$42</f>
        <v>0.0025</v>
      </c>
      <c r="W77" s="335"/>
    </row>
    <row r="78" customFormat="false" ht="12.75" hidden="false" customHeight="false" outlineLevel="0" collapsed="false">
      <c r="A78" s="248" t="s">
        <v>212</v>
      </c>
      <c r="B78" s="341" t="n">
        <v>608.988290258954</v>
      </c>
      <c r="C78" s="341" t="n">
        <v>590.153600869502</v>
      </c>
      <c r="D78" s="341" t="n">
        <v>571.31891148005</v>
      </c>
      <c r="E78" s="341" t="n">
        <v>552.484222090598</v>
      </c>
      <c r="F78" s="341" t="n">
        <v>533.649532701145</v>
      </c>
      <c r="G78" s="341" t="n">
        <v>514.814843311693</v>
      </c>
      <c r="H78" s="341" t="n">
        <v>495.980153922241</v>
      </c>
      <c r="I78" s="341" t="n">
        <v>477.145464532789</v>
      </c>
      <c r="J78" s="341" t="n">
        <v>458.310775143337</v>
      </c>
      <c r="K78" s="341" t="n">
        <v>439.476085753885</v>
      </c>
      <c r="L78" s="341" t="n">
        <v>420.641396364432</v>
      </c>
      <c r="M78" s="341" t="n">
        <v>401.80670697498</v>
      </c>
      <c r="N78" s="341" t="n">
        <v>382.972017585528</v>
      </c>
      <c r="O78" s="341" t="n">
        <v>364.137328196076</v>
      </c>
      <c r="P78" s="341" t="n">
        <v>345.302638806624</v>
      </c>
      <c r="Q78" s="341" t="n">
        <v>326.467949417172</v>
      </c>
      <c r="R78" s="341" t="n">
        <v>307.633260027719</v>
      </c>
      <c r="S78" s="341" t="n">
        <v>288.798570638267</v>
      </c>
      <c r="T78" s="341" t="n">
        <v>269.963881248815</v>
      </c>
      <c r="U78" s="341" t="n">
        <v>251.129191859363</v>
      </c>
      <c r="W78" s="335" t="n">
        <f aca="false">SUM(B78:U78)</f>
        <v>8601.17482118317</v>
      </c>
    </row>
    <row r="79" customFormat="false" ht="12.75" hidden="false" customHeight="false" outlineLevel="0" collapsed="false">
      <c r="A79" s="336"/>
      <c r="B79" s="342"/>
      <c r="C79" s="342"/>
      <c r="D79" s="342"/>
      <c r="E79" s="342"/>
      <c r="F79" s="342"/>
      <c r="G79" s="342"/>
      <c r="H79" s="342"/>
      <c r="I79" s="342"/>
      <c r="J79" s="342"/>
      <c r="K79" s="342"/>
      <c r="L79" s="342"/>
      <c r="M79" s="342"/>
      <c r="N79" s="342"/>
      <c r="O79" s="342"/>
      <c r="P79" s="342"/>
      <c r="Q79" s="342"/>
      <c r="R79" s="342"/>
      <c r="S79" s="342"/>
      <c r="T79" s="342"/>
      <c r="U79" s="342"/>
    </row>
    <row r="80" customFormat="false" ht="12.75" hidden="false" customHeight="false" outlineLevel="0" collapsed="false">
      <c r="A80" s="248"/>
      <c r="B80" s="300"/>
      <c r="C80" s="156"/>
      <c r="D80" s="156"/>
      <c r="E80" s="156"/>
      <c r="F80" s="156"/>
      <c r="G80" s="156"/>
      <c r="H80" s="156"/>
      <c r="I80" s="156"/>
      <c r="J80" s="156"/>
      <c r="K80" s="156"/>
      <c r="L80" s="156"/>
      <c r="M80" s="156"/>
      <c r="N80" s="156"/>
      <c r="O80" s="156"/>
      <c r="P80" s="156"/>
      <c r="Q80" s="156"/>
      <c r="R80" s="156"/>
      <c r="S80" s="156"/>
      <c r="T80" s="156"/>
      <c r="U80" s="156"/>
    </row>
    <row r="81" customFormat="false" ht="12.75" hidden="false" customHeight="false" outlineLevel="0" collapsed="false">
      <c r="A81" s="301" t="s">
        <v>180</v>
      </c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</row>
    <row r="82" customFormat="false" ht="12.75" hidden="false" customHeight="false" outlineLevel="0" collapsed="false">
      <c r="A82" s="301"/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</row>
    <row r="83" customFormat="false" ht="12.75" hidden="false" customHeight="false" outlineLevel="0" collapsed="false">
      <c r="A83" s="24" t="s">
        <v>183</v>
      </c>
      <c r="B83" s="172" t="n">
        <f aca="false">B33</f>
        <v>12641.6392244028</v>
      </c>
      <c r="C83" s="172" t="n">
        <f aca="false">C33</f>
        <v>14101.0839395589</v>
      </c>
      <c r="D83" s="172" t="n">
        <f aca="false">D33</f>
        <v>15764.7245979097</v>
      </c>
      <c r="E83" s="172" t="n">
        <f aca="false">E33</f>
        <v>17610.5613715835</v>
      </c>
      <c r="F83" s="172" t="n">
        <f aca="false">F33</f>
        <v>19746.7525168465</v>
      </c>
      <c r="G83" s="172" t="n">
        <f aca="false">G33</f>
        <v>20374.6326986896</v>
      </c>
      <c r="H83" s="172" t="n">
        <f aca="false">H33</f>
        <v>21123.6450467333</v>
      </c>
      <c r="I83" s="172" t="n">
        <f aca="false">I33</f>
        <v>21873.1688842838</v>
      </c>
      <c r="J83" s="172" t="n">
        <f aca="false">J33</f>
        <v>22724.0349763737</v>
      </c>
      <c r="K83" s="172" t="n">
        <f aca="false">K33</f>
        <v>23599.2808728323</v>
      </c>
      <c r="L83" s="172" t="n">
        <f aca="false">L33</f>
        <v>25007.138578815</v>
      </c>
      <c r="M83" s="172" t="n">
        <f aca="false">M33</f>
        <v>26801.6909785522</v>
      </c>
      <c r="N83" s="172" t="n">
        <f aca="false">N33</f>
        <v>28306.2780523812</v>
      </c>
      <c r="O83" s="172" t="n">
        <f aca="false">O33</f>
        <v>30153.693149877</v>
      </c>
      <c r="P83" s="172" t="n">
        <f aca="false">P33</f>
        <v>31586.7885139377</v>
      </c>
      <c r="Q83" s="172" t="n">
        <f aca="false">Q33</f>
        <v>33857.775571202</v>
      </c>
      <c r="R83" s="172" t="n">
        <f aca="false">R33</f>
        <v>35614.3402031115</v>
      </c>
      <c r="S83" s="172" t="n">
        <f aca="false">S33</f>
        <v>37313.4057704663</v>
      </c>
      <c r="T83" s="172" t="n">
        <f aca="false">T33</f>
        <v>38867.5030276196</v>
      </c>
      <c r="U83" s="172" t="n">
        <f aca="false">U33</f>
        <v>40426.6604752285</v>
      </c>
      <c r="W83" s="335" t="n">
        <f aca="false">SUM(B83:U83)</f>
        <v>517494.798450405</v>
      </c>
    </row>
    <row r="84" customFormat="false" ht="12.75" hidden="false" customHeight="false" outlineLevel="0" collapsed="false">
      <c r="A84" s="24" t="s">
        <v>184</v>
      </c>
      <c r="B84" s="172" t="n">
        <f aca="false">B27</f>
        <v>7104.36967006512</v>
      </c>
      <c r="C84" s="172" t="n">
        <f aca="false">C27</f>
        <v>7104.36967006512</v>
      </c>
      <c r="D84" s="172" t="n">
        <f aca="false">D27</f>
        <v>7104.36967006512</v>
      </c>
      <c r="E84" s="172" t="n">
        <f aca="false">E27</f>
        <v>7104.36967006512</v>
      </c>
      <c r="F84" s="172" t="n">
        <f aca="false">F27</f>
        <v>7104.36967006512</v>
      </c>
      <c r="G84" s="172" t="n">
        <f aca="false">G27</f>
        <v>7104.36967006512</v>
      </c>
      <c r="H84" s="172" t="n">
        <f aca="false">H27</f>
        <v>7104.36967006512</v>
      </c>
      <c r="I84" s="172" t="n">
        <f aca="false">I27</f>
        <v>7104.36967006512</v>
      </c>
      <c r="J84" s="172" t="n">
        <f aca="false">J27</f>
        <v>7104.36967006512</v>
      </c>
      <c r="K84" s="172" t="n">
        <f aca="false">K27</f>
        <v>7104.36967006512</v>
      </c>
      <c r="L84" s="172" t="n">
        <f aca="false">L27</f>
        <v>7104.36967006512</v>
      </c>
      <c r="M84" s="172" t="n">
        <f aca="false">M27</f>
        <v>7104.36967006512</v>
      </c>
      <c r="N84" s="172" t="n">
        <f aca="false">N27</f>
        <v>7104.36967006512</v>
      </c>
      <c r="O84" s="172" t="n">
        <f aca="false">O27</f>
        <v>7104.36967006512</v>
      </c>
      <c r="P84" s="172" t="n">
        <f aca="false">P27</f>
        <v>7104.36967006512</v>
      </c>
      <c r="Q84" s="172" t="n">
        <f aca="false">Q27</f>
        <v>7104.36967006512</v>
      </c>
      <c r="R84" s="172" t="n">
        <f aca="false">R27</f>
        <v>7104.36967006512</v>
      </c>
      <c r="S84" s="172" t="n">
        <f aca="false">S27</f>
        <v>7104.36967006512</v>
      </c>
      <c r="T84" s="172" t="n">
        <f aca="false">T27</f>
        <v>7104.36967006512</v>
      </c>
      <c r="U84" s="172" t="n">
        <f aca="false">U27</f>
        <v>7104.36967006512</v>
      </c>
      <c r="W84" s="335" t="n">
        <f aca="false">SUM(B84:U84)</f>
        <v>142087.393401302</v>
      </c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</row>
    <row r="85" customFormat="false" ht="15" hidden="false" customHeight="false" outlineLevel="0" collapsed="false">
      <c r="A85" s="24" t="s">
        <v>213</v>
      </c>
      <c r="B85" s="197" t="n">
        <f aca="false">-Depreciation!C45</f>
        <v>-11840.6161167752</v>
      </c>
      <c r="C85" s="197" t="n">
        <f aca="false">-Depreciation!D45</f>
        <v>-22497.1706218729</v>
      </c>
      <c r="D85" s="197" t="n">
        <f aca="false">-Depreciation!E45</f>
        <v>-20247.4535596856</v>
      </c>
      <c r="E85" s="197" t="n">
        <f aca="false">-Depreciation!F45</f>
        <v>-18234.5488198338</v>
      </c>
      <c r="F85" s="197" t="n">
        <f aca="false">-Depreciation!G45</f>
        <v>-16411.0939378504</v>
      </c>
      <c r="G85" s="197" t="n">
        <f aca="false">-Depreciation!H45</f>
        <v>-14753.4076815019</v>
      </c>
      <c r="H85" s="197" t="n">
        <f aca="false">-Depreciation!I45</f>
        <v>-13971.9270177947</v>
      </c>
      <c r="I85" s="197" t="n">
        <f aca="false">-Depreciation!J45</f>
        <v>-13995.6082500283</v>
      </c>
      <c r="J85" s="197" t="n">
        <f aca="false">-Depreciation!K45</f>
        <v>-13971.9270177947</v>
      </c>
      <c r="K85" s="197" t="n">
        <f aca="false">-Depreciation!L45</f>
        <v>-13995.6082500283</v>
      </c>
      <c r="L85" s="197" t="n">
        <f aca="false">-Depreciation!M45</f>
        <v>-13971.9270177947</v>
      </c>
      <c r="M85" s="197" t="n">
        <f aca="false">-Depreciation!N45</f>
        <v>-13995.6082500283</v>
      </c>
      <c r="N85" s="197" t="n">
        <f aca="false">-Depreciation!O45</f>
        <v>-13971.9270177947</v>
      </c>
      <c r="O85" s="197" t="n">
        <f aca="false">-Depreciation!P45</f>
        <v>-13995.6082500283</v>
      </c>
      <c r="P85" s="197" t="n">
        <f aca="false">-Depreciation!Q45</f>
        <v>-13971.9270177947</v>
      </c>
      <c r="Q85" s="197" t="n">
        <f aca="false">-Depreciation!R45</f>
        <v>-6985.96350889737</v>
      </c>
      <c r="R85" s="197" t="n">
        <f aca="false">-Depreciation!S45</f>
        <v>-0</v>
      </c>
      <c r="S85" s="197" t="n">
        <f aca="false">-Depreciation!T45</f>
        <v>-0</v>
      </c>
      <c r="T85" s="197" t="n">
        <f aca="false">-Depreciation!U45</f>
        <v>-0</v>
      </c>
      <c r="U85" s="197" t="n">
        <f aca="false">-Depreciation!V45</f>
        <v>-0</v>
      </c>
      <c r="W85" s="343" t="n">
        <f aca="false">SUM(B85:U85)</f>
        <v>-236812.322335504</v>
      </c>
    </row>
    <row r="86" customFormat="false" ht="12.75" hidden="false" customHeight="false" outlineLevel="0" collapsed="false">
      <c r="A86" s="307" t="s">
        <v>214</v>
      </c>
      <c r="B86" s="172" t="n">
        <f aca="false">SUM(B83:B85)</f>
        <v>7905.39277769269</v>
      </c>
      <c r="C86" s="172" t="n">
        <f aca="false">SUM(C83:C85)</f>
        <v>-1291.71701224883</v>
      </c>
      <c r="D86" s="172" t="n">
        <f aca="false">SUM(D83:D85)</f>
        <v>2621.6407082892</v>
      </c>
      <c r="E86" s="172" t="n">
        <f aca="false">SUM(E83:E85)</f>
        <v>6480.3822218148</v>
      </c>
      <c r="F86" s="172" t="n">
        <f aca="false">SUM(F83:F85)</f>
        <v>10440.0282490612</v>
      </c>
      <c r="G86" s="172" t="n">
        <f aca="false">SUM(G83:G85)</f>
        <v>12725.5946872528</v>
      </c>
      <c r="H86" s="172" t="n">
        <f aca="false">SUM(H83:H85)</f>
        <v>14256.0876990037</v>
      </c>
      <c r="I86" s="172" t="n">
        <f aca="false">SUM(I83:I85)</f>
        <v>14981.9303043206</v>
      </c>
      <c r="J86" s="172" t="n">
        <f aca="false">SUM(J83:J85)</f>
        <v>15856.4776286441</v>
      </c>
      <c r="K86" s="172" t="n">
        <f aca="false">SUM(K83:K85)</f>
        <v>16708.0422928692</v>
      </c>
      <c r="L86" s="172" t="n">
        <f aca="false">SUM(L83:L85)</f>
        <v>18139.5812310853</v>
      </c>
      <c r="M86" s="172" t="n">
        <f aca="false">SUM(M83:M85)</f>
        <v>19910.452398589</v>
      </c>
      <c r="N86" s="172" t="n">
        <f aca="false">SUM(N83:N85)</f>
        <v>21438.7207046516</v>
      </c>
      <c r="O86" s="172" t="n">
        <f aca="false">SUM(O83:O85)</f>
        <v>23262.4545699139</v>
      </c>
      <c r="P86" s="172" t="n">
        <f aca="false">SUM(P83:P85)</f>
        <v>24719.2311662081</v>
      </c>
      <c r="Q86" s="172" t="n">
        <f aca="false">SUM(Q83:Q85)</f>
        <v>33976.1817323697</v>
      </c>
      <c r="R86" s="172" t="n">
        <f aca="false">SUM(R83:R85)</f>
        <v>42718.7098731766</v>
      </c>
      <c r="S86" s="172" t="n">
        <f aca="false">SUM(S83:S85)</f>
        <v>44417.7754405315</v>
      </c>
      <c r="T86" s="172" t="n">
        <f aca="false">SUM(T83:T85)</f>
        <v>45971.8726976847</v>
      </c>
      <c r="U86" s="172" t="n">
        <f aca="false">SUM(U83:U85)</f>
        <v>47531.0301452936</v>
      </c>
      <c r="W86" s="335" t="n">
        <f aca="false">SUM(B86:U86)</f>
        <v>422769.869516203</v>
      </c>
    </row>
    <row r="87" customFormat="false" ht="12.75" hidden="false" customHeight="false" outlineLevel="0" collapsed="false">
      <c r="A87" s="24"/>
      <c r="B87" s="172"/>
      <c r="C87" s="172"/>
      <c r="D87" s="172"/>
      <c r="E87" s="172"/>
      <c r="F87" s="172"/>
      <c r="G87" s="172"/>
      <c r="H87" s="172"/>
      <c r="I87" s="172"/>
      <c r="J87" s="172"/>
      <c r="K87" s="172"/>
      <c r="L87" s="172"/>
      <c r="M87" s="172"/>
      <c r="N87" s="172"/>
      <c r="O87" s="172"/>
      <c r="P87" s="172"/>
      <c r="Q87" s="172"/>
      <c r="R87" s="172"/>
      <c r="S87" s="172"/>
      <c r="T87" s="172"/>
      <c r="U87" s="172"/>
    </row>
    <row r="88" customFormat="false" ht="12.75" hidden="false" customHeight="false" outlineLevel="0" collapsed="false">
      <c r="A88" s="24" t="s">
        <v>80</v>
      </c>
      <c r="B88" s="344" t="n">
        <f aca="false">Assumptions!$C$38</f>
        <v>0.06</v>
      </c>
      <c r="C88" s="344" t="n">
        <f aca="false">Assumptions!$C$38</f>
        <v>0.06</v>
      </c>
      <c r="D88" s="344" t="n">
        <f aca="false">Assumptions!$C$38</f>
        <v>0.06</v>
      </c>
      <c r="E88" s="344" t="n">
        <f aca="false">Assumptions!$C$38</f>
        <v>0.06</v>
      </c>
      <c r="F88" s="344" t="n">
        <f aca="false">Assumptions!$C$38</f>
        <v>0.06</v>
      </c>
      <c r="G88" s="344" t="n">
        <f aca="false">Assumptions!$C$38</f>
        <v>0.06</v>
      </c>
      <c r="H88" s="344" t="n">
        <f aca="false">Assumptions!$C$38</f>
        <v>0.06</v>
      </c>
      <c r="I88" s="344" t="n">
        <f aca="false">Assumptions!$C$38</f>
        <v>0.06</v>
      </c>
      <c r="J88" s="344" t="n">
        <f aca="false">Assumptions!$C$38</f>
        <v>0.06</v>
      </c>
      <c r="K88" s="344" t="n">
        <f aca="false">Assumptions!$C$38</f>
        <v>0.06</v>
      </c>
      <c r="L88" s="344" t="n">
        <f aca="false">Assumptions!$C$38</f>
        <v>0.06</v>
      </c>
      <c r="M88" s="344" t="n">
        <f aca="false">Assumptions!$C$38</f>
        <v>0.06</v>
      </c>
      <c r="N88" s="344" t="n">
        <f aca="false">Assumptions!$C$38</f>
        <v>0.06</v>
      </c>
      <c r="O88" s="344" t="n">
        <f aca="false">Assumptions!$C$38</f>
        <v>0.06</v>
      </c>
      <c r="P88" s="344" t="n">
        <f aca="false">Assumptions!$C$38</f>
        <v>0.06</v>
      </c>
      <c r="Q88" s="344" t="n">
        <f aca="false">Assumptions!$C$38</f>
        <v>0.06</v>
      </c>
      <c r="R88" s="344" t="n">
        <f aca="false">Assumptions!$C$38</f>
        <v>0.06</v>
      </c>
      <c r="S88" s="344" t="n">
        <f aca="false">Assumptions!$C$38</f>
        <v>0.06</v>
      </c>
      <c r="T88" s="344" t="n">
        <f aca="false">Assumptions!$C$38</f>
        <v>0.06</v>
      </c>
      <c r="U88" s="344" t="n">
        <f aca="false">Assumptions!$C$38</f>
        <v>0.06</v>
      </c>
    </row>
    <row r="89" customFormat="false" ht="12.75" hidden="false" customHeight="false" outlineLevel="0" collapsed="false">
      <c r="A89" s="24" t="s">
        <v>215</v>
      </c>
      <c r="B89" s="172" t="n">
        <f aca="false">B86*B88</f>
        <v>474.323566661561</v>
      </c>
      <c r="C89" s="172" t="n">
        <f aca="false">C86*C88</f>
        <v>-77.5030207349299</v>
      </c>
      <c r="D89" s="172" t="n">
        <f aca="false">D86*D88</f>
        <v>157.298442497352</v>
      </c>
      <c r="E89" s="172" t="n">
        <f aca="false">E86*E88</f>
        <v>388.822933308888</v>
      </c>
      <c r="F89" s="172" t="n">
        <f aca="false">F86*F88</f>
        <v>626.401694943671</v>
      </c>
      <c r="G89" s="172" t="n">
        <f aca="false">G86*G88</f>
        <v>763.535681235166</v>
      </c>
      <c r="H89" s="172" t="n">
        <f aca="false">H86*H88</f>
        <v>855.36526194022</v>
      </c>
      <c r="I89" s="172" t="n">
        <f aca="false">I86*I88</f>
        <v>898.915818259238</v>
      </c>
      <c r="J89" s="172" t="n">
        <f aca="false">J86*J88</f>
        <v>951.388657718647</v>
      </c>
      <c r="K89" s="172" t="n">
        <f aca="false">K86*K88</f>
        <v>1002.48253757215</v>
      </c>
      <c r="L89" s="172" t="n">
        <f aca="false">L86*L88</f>
        <v>1088.37487386512</v>
      </c>
      <c r="M89" s="172" t="n">
        <f aca="false">M86*M88</f>
        <v>1194.62714391534</v>
      </c>
      <c r="N89" s="172" t="n">
        <f aca="false">N86*N88</f>
        <v>1286.3232422791</v>
      </c>
      <c r="O89" s="172" t="n">
        <f aca="false">O86*O88</f>
        <v>1395.74727419483</v>
      </c>
      <c r="P89" s="172" t="n">
        <f aca="false">P86*P88</f>
        <v>1483.15386997249</v>
      </c>
      <c r="Q89" s="172" t="n">
        <f aca="false">Q86*Q88</f>
        <v>2038.57090394218</v>
      </c>
      <c r="R89" s="172" t="n">
        <f aca="false">R86*R88</f>
        <v>2563.1225923906</v>
      </c>
      <c r="S89" s="172" t="n">
        <f aca="false">S86*S88</f>
        <v>2665.06652643189</v>
      </c>
      <c r="T89" s="172" t="n">
        <f aca="false">T86*T88</f>
        <v>2758.31236186108</v>
      </c>
      <c r="U89" s="172" t="n">
        <f aca="false">U86*U88</f>
        <v>2851.86180871762</v>
      </c>
    </row>
    <row r="90" customFormat="false" ht="12.75" hidden="false" customHeight="false" outlineLevel="0" collapsed="false">
      <c r="A90" s="24"/>
      <c r="B90" s="172"/>
      <c r="C90" s="172"/>
      <c r="D90" s="172"/>
      <c r="E90" s="172"/>
      <c r="F90" s="172"/>
      <c r="G90" s="172"/>
      <c r="H90" s="172"/>
      <c r="I90" s="172"/>
      <c r="J90" s="172"/>
      <c r="K90" s="172"/>
      <c r="L90" s="172"/>
      <c r="M90" s="172"/>
      <c r="N90" s="172"/>
      <c r="O90" s="172"/>
      <c r="P90" s="172"/>
      <c r="Q90" s="172"/>
      <c r="R90" s="172"/>
      <c r="S90" s="172"/>
      <c r="T90" s="172"/>
      <c r="U90" s="172"/>
    </row>
    <row r="91" customFormat="false" ht="12.75" hidden="false" customHeight="false" outlineLevel="0" collapsed="false">
      <c r="A91" s="24" t="s">
        <v>216</v>
      </c>
      <c r="B91" s="172" t="n">
        <v>0</v>
      </c>
      <c r="C91" s="172" t="n">
        <f aca="false">B95</f>
        <v>0</v>
      </c>
      <c r="D91" s="172" t="n">
        <f aca="false">C95</f>
        <v>77.5030207349299</v>
      </c>
      <c r="E91" s="172" t="n">
        <f aca="false">D95</f>
        <v>0</v>
      </c>
      <c r="F91" s="172" t="n">
        <f aca="false">E95</f>
        <v>0</v>
      </c>
      <c r="G91" s="172" t="n">
        <f aca="false">F95</f>
        <v>0</v>
      </c>
      <c r="H91" s="172" t="n">
        <f aca="false">G95</f>
        <v>0</v>
      </c>
      <c r="I91" s="172" t="n">
        <f aca="false">H95</f>
        <v>0</v>
      </c>
      <c r="J91" s="172" t="n">
        <f aca="false">I95</f>
        <v>0</v>
      </c>
      <c r="K91" s="172" t="n">
        <f aca="false">J95</f>
        <v>0</v>
      </c>
      <c r="L91" s="172" t="n">
        <f aca="false">K95</f>
        <v>0</v>
      </c>
      <c r="M91" s="172" t="n">
        <f aca="false">L95</f>
        <v>0</v>
      </c>
      <c r="N91" s="172" t="n">
        <f aca="false">M95</f>
        <v>0</v>
      </c>
      <c r="O91" s="172" t="n">
        <f aca="false">N95</f>
        <v>0</v>
      </c>
      <c r="P91" s="172" t="n">
        <f aca="false">O95</f>
        <v>0</v>
      </c>
      <c r="Q91" s="172" t="n">
        <f aca="false">P95</f>
        <v>0</v>
      </c>
      <c r="R91" s="172" t="n">
        <v>0</v>
      </c>
      <c r="S91" s="172" t="n">
        <f aca="false">R95</f>
        <v>0</v>
      </c>
      <c r="T91" s="172" t="n">
        <f aca="false">S95</f>
        <v>0</v>
      </c>
      <c r="U91" s="172" t="n">
        <f aca="false">T95</f>
        <v>0</v>
      </c>
    </row>
    <row r="92" customFormat="false" ht="12.75" hidden="false" customHeight="false" outlineLevel="0" collapsed="false">
      <c r="A92" s="24" t="s">
        <v>217</v>
      </c>
      <c r="B92" s="172" t="n">
        <f aca="false">IF(B62&gt;2020,0,IF(B89&lt;0,-B89,0))</f>
        <v>0</v>
      </c>
      <c r="C92" s="172" t="n">
        <f aca="false">IF(C62&gt;2020,0,IF(C89&lt;0,-C89,0))</f>
        <v>77.5030207349299</v>
      </c>
      <c r="D92" s="172" t="n">
        <f aca="false">IF(D62&gt;2020,0,IF(D89&lt;0,-D89,0))</f>
        <v>0</v>
      </c>
      <c r="E92" s="172" t="n">
        <f aca="false">IF(E62&gt;2020,0,IF(E89&lt;0,-E89,0))</f>
        <v>0</v>
      </c>
      <c r="F92" s="172" t="n">
        <f aca="false">IF(F62&gt;2020,0,IF(F89&lt;0,-F89,0))</f>
        <v>0</v>
      </c>
      <c r="G92" s="172" t="n">
        <f aca="false">IF(G62&gt;2020,0,IF(G89&lt;0,-G89,0))</f>
        <v>0</v>
      </c>
      <c r="H92" s="172" t="n">
        <f aca="false">IF(H62&gt;2020,0,IF(H89&lt;0,-H89,0))</f>
        <v>0</v>
      </c>
      <c r="I92" s="172" t="n">
        <f aca="false">IF(I62&gt;2020,0,IF(I89&lt;0,-I89,0))</f>
        <v>0</v>
      </c>
      <c r="J92" s="172" t="n">
        <f aca="false">IF(J62&gt;2020,0,IF(J89&lt;0,-J89,0))</f>
        <v>0</v>
      </c>
      <c r="K92" s="172" t="n">
        <f aca="false">IF(K62&gt;2020,0,IF(K89&lt;0,-K89,0))</f>
        <v>0</v>
      </c>
      <c r="L92" s="172" t="n">
        <f aca="false">IF(L62&gt;2020,0,IF(L89&lt;0,-L89,0))</f>
        <v>0</v>
      </c>
      <c r="M92" s="172" t="n">
        <f aca="false">IF(M62&gt;2020,0,IF(M89&lt;0,-M89,0))</f>
        <v>0</v>
      </c>
      <c r="N92" s="172" t="n">
        <f aca="false">IF(N62&gt;2020,0,IF(N89&lt;0,-N89,0))</f>
        <v>0</v>
      </c>
      <c r="O92" s="172" t="n">
        <f aca="false">IF(O62&gt;2020,0,IF(O89&lt;0,-O89,0))</f>
        <v>0</v>
      </c>
      <c r="P92" s="172" t="n">
        <f aca="false">IF(P62&gt;2020,0,IF(P89&lt;0,-P89,0))</f>
        <v>0</v>
      </c>
      <c r="Q92" s="172" t="n">
        <f aca="false">IF(Q62&gt;2020,0,IF(Q89&lt;0,-Q89,0))</f>
        <v>0</v>
      </c>
      <c r="R92" s="172" t="n">
        <f aca="false">IF(R62&gt;2020,0,IF(R89&lt;0,-R89,0))</f>
        <v>0</v>
      </c>
      <c r="S92" s="172" t="n">
        <f aca="false">IF(S62&gt;2020,0,IF(S89&lt;0,-S89,0))</f>
        <v>0</v>
      </c>
      <c r="T92" s="172" t="n">
        <f aca="false">IF(T62&gt;2020,0,IF(T89&lt;0,-T89,0))</f>
        <v>0</v>
      </c>
      <c r="U92" s="172" t="n">
        <f aca="false">IF(U62&gt;2020,0,IF(U89&lt;0,-U89,0))</f>
        <v>0</v>
      </c>
    </row>
    <row r="93" customFormat="false" ht="12.75" hidden="false" customHeight="false" outlineLevel="0" collapsed="false">
      <c r="A93" s="24" t="s">
        <v>218</v>
      </c>
      <c r="B93" s="345" t="n">
        <v>0</v>
      </c>
      <c r="C93" s="345" t="n">
        <v>0</v>
      </c>
      <c r="D93" s="345" t="n">
        <v>0</v>
      </c>
      <c r="E93" s="345" t="n">
        <v>0</v>
      </c>
      <c r="F93" s="345" t="n">
        <v>0</v>
      </c>
      <c r="G93" s="345" t="n">
        <v>0</v>
      </c>
      <c r="H93" s="345" t="n">
        <v>0</v>
      </c>
      <c r="I93" s="345" t="n">
        <v>0</v>
      </c>
      <c r="J93" s="345" t="n">
        <v>0</v>
      </c>
      <c r="K93" s="345" t="n">
        <v>0</v>
      </c>
      <c r="L93" s="345" t="n">
        <v>0</v>
      </c>
      <c r="M93" s="345" t="n">
        <v>0</v>
      </c>
      <c r="N93" s="345" t="n">
        <v>0</v>
      </c>
      <c r="O93" s="345" t="n">
        <v>0</v>
      </c>
      <c r="P93" s="345" t="n">
        <v>0</v>
      </c>
      <c r="Q93" s="345" t="n">
        <v>0</v>
      </c>
      <c r="R93" s="345" t="n">
        <v>0</v>
      </c>
      <c r="S93" s="345" t="n">
        <v>0</v>
      </c>
      <c r="T93" s="172" t="n">
        <f aca="false">IF(L92&gt;(SUM(M94:S94)+SUM(L93:S93))*-1,L92-(SUM(L94:S94)+SUM(L93:S93))*-1,0)</f>
        <v>0</v>
      </c>
      <c r="U93" s="172" t="n">
        <f aca="false">IF(M92&gt;(SUM(N94:T94)+SUM(M93:T93))*-1,M92-(SUM(M94:T94)+SUM(M93:T93))*-1,0)</f>
        <v>0</v>
      </c>
    </row>
    <row r="94" customFormat="false" ht="12.75" hidden="false" customHeight="false" outlineLevel="0" collapsed="false">
      <c r="A94" s="12" t="s">
        <v>191</v>
      </c>
      <c r="B94" s="197" t="n">
        <f aca="false">IF(B89&lt;0,0,IF(B91&gt;B89,-B89,-B91))</f>
        <v>-0</v>
      </c>
      <c r="C94" s="197" t="n">
        <f aca="false">IF(C89&lt;0,0,IF(C91&gt;C89,-C89,-C91))</f>
        <v>0</v>
      </c>
      <c r="D94" s="197" t="n">
        <f aca="false">IF(D89&lt;0,0,IF(D91&gt;D89,-D89,-D91))</f>
        <v>-77.5030207349299</v>
      </c>
      <c r="E94" s="197" t="n">
        <f aca="false">IF(E89&lt;0,0,IF(E91&gt;E89,-E89,-E91))</f>
        <v>-0</v>
      </c>
      <c r="F94" s="197" t="n">
        <f aca="false">IF(F89&lt;0,0,IF(F91&gt;F89,-F89,-F91))</f>
        <v>-0</v>
      </c>
      <c r="G94" s="197" t="n">
        <f aca="false">IF(G89&lt;0,0,IF(G91&gt;G89,-G89,-G91))</f>
        <v>-0</v>
      </c>
      <c r="H94" s="197" t="n">
        <f aca="false">IF(H89&lt;0,0,IF(H91&gt;H89,-H89,-H91))</f>
        <v>-0</v>
      </c>
      <c r="I94" s="197" t="n">
        <f aca="false">IF(I89&lt;0,0,IF(I91&gt;I89,-I89,-I91))</f>
        <v>-0</v>
      </c>
      <c r="J94" s="197" t="n">
        <f aca="false">IF(J89&lt;0,0,IF(J91&gt;J89,-J89,-J91))</f>
        <v>-0</v>
      </c>
      <c r="K94" s="197" t="n">
        <f aca="false">IF(K89&lt;0,0,IF(K91&gt;K89,-K89,-K91))</f>
        <v>-0</v>
      </c>
      <c r="L94" s="197" t="n">
        <f aca="false">IF(L89&lt;0,0,IF(L91&gt;L89,-L89,-L91))</f>
        <v>-0</v>
      </c>
      <c r="M94" s="197" t="n">
        <f aca="false">IF(M89&lt;0,0,IF(M91&gt;M89,-M89,-M91))</f>
        <v>-0</v>
      </c>
      <c r="N94" s="197" t="n">
        <f aca="false">IF(N89&lt;0,0,IF(N91&gt;N89,-N89,-N91))</f>
        <v>-0</v>
      </c>
      <c r="O94" s="197" t="n">
        <f aca="false">IF(O89&lt;0,0,IF(O91&gt;O89,-O89,-O91))</f>
        <v>-0</v>
      </c>
      <c r="P94" s="197" t="n">
        <f aca="false">IF(P89&lt;0,0,IF(P91&gt;P89,-P89,-P91))</f>
        <v>-0</v>
      </c>
      <c r="Q94" s="197" t="n">
        <f aca="false">IF(Q89&lt;0,0,IF(Q91&gt;Q89,-Q89,-Q91))</f>
        <v>-0</v>
      </c>
      <c r="R94" s="197" t="n">
        <f aca="false">IF(R89&lt;0,0,IF(R91&gt;R89,-R89,-R91))</f>
        <v>-0</v>
      </c>
      <c r="S94" s="197" t="n">
        <f aca="false">IF(S89&lt;0,0,IF(S91&gt;S89,-S89,-S91))</f>
        <v>-0</v>
      </c>
      <c r="T94" s="197" t="n">
        <f aca="false">IF(T89&lt;0,0,IF(T91&gt;T89,-T89,-T91))</f>
        <v>-0</v>
      </c>
      <c r="U94" s="197" t="n">
        <f aca="false">IF(U89&lt;0,0,IF(U91&gt;U89,-U89,-U91))</f>
        <v>-0</v>
      </c>
    </row>
    <row r="95" customFormat="false" ht="12.75" hidden="false" customHeight="false" outlineLevel="0" collapsed="false">
      <c r="A95" s="12" t="s">
        <v>219</v>
      </c>
      <c r="B95" s="197" t="n">
        <f aca="false">SUM(B91:B94)</f>
        <v>0</v>
      </c>
      <c r="C95" s="197" t="n">
        <f aca="false">SUM(C91:C94)</f>
        <v>77.5030207349299</v>
      </c>
      <c r="D95" s="197" t="n">
        <f aca="false">SUM(D91:D94)</f>
        <v>0</v>
      </c>
      <c r="E95" s="197" t="n">
        <f aca="false">SUM(E91:E94)</f>
        <v>0</v>
      </c>
      <c r="F95" s="197" t="n">
        <f aca="false">SUM(F91:F94)</f>
        <v>0</v>
      </c>
      <c r="G95" s="197" t="n">
        <f aca="false">SUM(G91:G94)</f>
        <v>0</v>
      </c>
      <c r="H95" s="197" t="n">
        <f aca="false">SUM(H91:H94)</f>
        <v>0</v>
      </c>
      <c r="I95" s="197" t="n">
        <f aca="false">SUM(I91:I94)</f>
        <v>0</v>
      </c>
      <c r="J95" s="197" t="n">
        <f aca="false">SUM(J91:J94)</f>
        <v>0</v>
      </c>
      <c r="K95" s="197" t="n">
        <f aca="false">SUM(K91:K94)</f>
        <v>0</v>
      </c>
      <c r="L95" s="197" t="n">
        <f aca="false">SUM(L91:L94)</f>
        <v>0</v>
      </c>
      <c r="M95" s="197" t="n">
        <f aca="false">SUM(M91:M94)</f>
        <v>0</v>
      </c>
      <c r="N95" s="197" t="n">
        <f aca="false">SUM(N91:N94)</f>
        <v>0</v>
      </c>
      <c r="O95" s="197" t="n">
        <f aca="false">SUM(O91:O94)</f>
        <v>0</v>
      </c>
      <c r="P95" s="197" t="n">
        <f aca="false">SUM(P91:P94)</f>
        <v>0</v>
      </c>
      <c r="Q95" s="197" t="n">
        <f aca="false">SUM(Q91:Q94)</f>
        <v>0</v>
      </c>
      <c r="R95" s="197" t="n">
        <f aca="false">SUM(R91:R94)</f>
        <v>0</v>
      </c>
      <c r="S95" s="197" t="n">
        <f aca="false">SUM(S91:S94)</f>
        <v>0</v>
      </c>
      <c r="T95" s="197" t="n">
        <f aca="false">SUM(T91:T94)</f>
        <v>0</v>
      </c>
      <c r="U95" s="197" t="n">
        <f aca="false">SUM(U91:U94)</f>
        <v>0</v>
      </c>
    </row>
    <row r="96" customFormat="false" ht="12.75" hidden="false" customHeight="false" outlineLevel="0" collapsed="false">
      <c r="A96" s="12"/>
      <c r="B96" s="172"/>
      <c r="C96" s="172"/>
      <c r="D96" s="172"/>
      <c r="E96" s="172"/>
      <c r="F96" s="172"/>
      <c r="G96" s="172"/>
      <c r="H96" s="172"/>
      <c r="I96" s="172"/>
      <c r="J96" s="172"/>
      <c r="K96" s="172"/>
      <c r="L96" s="172"/>
      <c r="M96" s="172"/>
      <c r="N96" s="172"/>
      <c r="O96" s="172"/>
      <c r="P96" s="172"/>
      <c r="Q96" s="172"/>
      <c r="R96" s="172"/>
      <c r="S96" s="172"/>
      <c r="T96" s="172"/>
      <c r="U96" s="172"/>
    </row>
    <row r="97" customFormat="false" ht="13.5" hidden="false" customHeight="false" outlineLevel="0" collapsed="false">
      <c r="A97" s="40" t="s">
        <v>181</v>
      </c>
      <c r="B97" s="303" t="n">
        <f aca="false">IF(B89&lt;0,0,B89+B94)</f>
        <v>474.323566661561</v>
      </c>
      <c r="C97" s="303" t="n">
        <f aca="false">IF(C89&lt;0,0,C89+C94)</f>
        <v>0</v>
      </c>
      <c r="D97" s="303" t="n">
        <f aca="false">IF(D89&lt;0,0,D89+D94)</f>
        <v>79.7954217624221</v>
      </c>
      <c r="E97" s="303" t="n">
        <f aca="false">IF(E89&lt;0,0,E89+E94)</f>
        <v>388.822933308888</v>
      </c>
      <c r="F97" s="303" t="n">
        <f aca="false">IF(F89&lt;0,0,F89+F94)</f>
        <v>626.401694943671</v>
      </c>
      <c r="G97" s="303" t="n">
        <f aca="false">IF(G89&lt;0,0,G89+G94)</f>
        <v>763.535681235166</v>
      </c>
      <c r="H97" s="303" t="n">
        <f aca="false">IF(H89&lt;0,0,H89+H94)</f>
        <v>855.36526194022</v>
      </c>
      <c r="I97" s="303" t="n">
        <f aca="false">IF(I89&lt;0,0,I89+I94)</f>
        <v>898.915818259238</v>
      </c>
      <c r="J97" s="303" t="n">
        <f aca="false">IF(J89&lt;0,0,J89+J94)</f>
        <v>951.388657718647</v>
      </c>
      <c r="K97" s="303" t="n">
        <f aca="false">IF(K89&lt;0,0,K89+K94)</f>
        <v>1002.48253757215</v>
      </c>
      <c r="L97" s="303" t="n">
        <f aca="false">IF(L89&lt;0,0,L89+L94)</f>
        <v>1088.37487386512</v>
      </c>
      <c r="M97" s="303" t="n">
        <f aca="false">IF(M89&lt;0,0,M89+M94)</f>
        <v>1194.62714391534</v>
      </c>
      <c r="N97" s="303" t="n">
        <f aca="false">IF(N89&lt;0,0,N89+N94)</f>
        <v>1286.3232422791</v>
      </c>
      <c r="O97" s="303" t="n">
        <f aca="false">IF(O89&lt;0,0,O89+O94)</f>
        <v>1395.74727419483</v>
      </c>
      <c r="P97" s="303" t="n">
        <f aca="false">IF(P89&lt;0,0,P89+P94)</f>
        <v>1483.15386997249</v>
      </c>
      <c r="Q97" s="303" t="n">
        <f aca="false">IF(Q89&lt;0,0,Q89+Q94)</f>
        <v>2038.57090394218</v>
      </c>
      <c r="R97" s="303" t="n">
        <f aca="false">IF(R89&lt;0,0,R89+R94)</f>
        <v>2563.1225923906</v>
      </c>
      <c r="S97" s="303" t="n">
        <f aca="false">IF(S89&lt;0,0,S89+S94)</f>
        <v>2665.06652643189</v>
      </c>
      <c r="T97" s="303" t="n">
        <f aca="false">IF(T89&lt;0,0,T89+T94)</f>
        <v>2758.31236186108</v>
      </c>
      <c r="U97" s="303" t="n">
        <f aca="false">IF(U89&lt;0,0,U89+U94)</f>
        <v>2851.86180871762</v>
      </c>
      <c r="W97" s="335" t="n">
        <f aca="false">SUM(B97:U97)</f>
        <v>25366.1921709722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&amp;L&amp;12Enron's Generation&amp;RCONFIDENTIAL</oddHeader>
    <oddFooter>&amp;L&amp;D&amp;C&amp;F&amp;RPage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1999-04-01T23:08:38Z</dcterms:created>
  <dc:creator>Jon Hoff</dc:creator>
  <dc:description/>
  <dc:language>en-US</dc:language>
  <cp:lastModifiedBy>Jon Hoff</cp:lastModifiedBy>
  <cp:lastPrinted>2000-08-14T15:16:47Z</cp:lastPrinted>
  <cp:revision>0</cp:revision>
  <dc:subject/>
  <dc:title/>
</cp:coreProperties>
</file>