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<sst xmlns="http://schemas.openxmlformats.org/spreadsheetml/2006/main" count="458" uniqueCount="81">
  <si>
    <t xml:space="preserve">Point</t>
  </si>
  <si>
    <t xml:space="preserve">$</t>
  </si>
  <si>
    <t xml:space="preserve">Contract</t>
  </si>
  <si>
    <t xml:space="preserve">Trade</t>
  </si>
  <si>
    <t xml:space="preserve">Broker</t>
  </si>
  <si>
    <t xml:space="preserve">Current</t>
  </si>
  <si>
    <t xml:space="preserve">Gain /</t>
  </si>
  <si>
    <t xml:space="preserve">Symbol</t>
  </si>
  <si>
    <t xml:space="preserve">Date</t>
  </si>
  <si>
    <t xml:space="preserve">Volume</t>
  </si>
  <si>
    <t xml:space="preserve">Price</t>
  </si>
  <si>
    <t xml:space="preserve">Fee</t>
  </si>
  <si>
    <t xml:space="preserve">Loss</t>
  </si>
  <si>
    <t xml:space="preserve">SK9</t>
  </si>
  <si>
    <t xml:space="preserve">SN9</t>
  </si>
  <si>
    <t xml:space="preserve">Total Bean P/L</t>
  </si>
  <si>
    <t xml:space="preserve">Net Position</t>
  </si>
  <si>
    <t xml:space="preserve">WK9</t>
  </si>
  <si>
    <t xml:space="preserve">Total Wheat P/L</t>
  </si>
  <si>
    <t xml:space="preserve">CK9</t>
  </si>
  <si>
    <t xml:space="preserve">CN9</t>
  </si>
  <si>
    <t xml:space="preserve">Total Corn P/L</t>
  </si>
  <si>
    <t xml:space="preserve">Corn Options</t>
  </si>
  <si>
    <t xml:space="preserve">sold 4 Jul 210 puts</t>
  </si>
  <si>
    <t xml:space="preserve">bot 8 Jul 230 calls</t>
  </si>
  <si>
    <t xml:space="preserve">bot 4 Jul 210 puts</t>
  </si>
  <si>
    <t xml:space="preserve">Total Corn Options P/L</t>
  </si>
  <si>
    <t xml:space="preserve">SBK9</t>
  </si>
  <si>
    <t xml:space="preserve">Total Sugar P/L</t>
  </si>
  <si>
    <t xml:space="preserve">CTK9</t>
  </si>
  <si>
    <t xml:space="preserve">Average</t>
  </si>
  <si>
    <t xml:space="preserve">Total Cotton P/L</t>
  </si>
  <si>
    <t xml:space="preserve">FCK9</t>
  </si>
  <si>
    <t xml:space="preserve">Total Feeder P/L</t>
  </si>
  <si>
    <t xml:space="preserve">LCM9</t>
  </si>
  <si>
    <t xml:space="preserve">Total Live Cattle P/L</t>
  </si>
  <si>
    <t xml:space="preserve">SIK9</t>
  </si>
  <si>
    <t xml:space="preserve">Total Silver P/L</t>
  </si>
  <si>
    <t xml:space="preserve">DMM9</t>
  </si>
  <si>
    <t xml:space="preserve">Total DMark P/L</t>
  </si>
  <si>
    <t xml:space="preserve">USH9</t>
  </si>
  <si>
    <t xml:space="preserve">USM9</t>
  </si>
  <si>
    <t xml:space="preserve">Total Bond P/L</t>
  </si>
  <si>
    <t xml:space="preserve">SPH9</t>
  </si>
  <si>
    <t xml:space="preserve">SPM9</t>
  </si>
  <si>
    <t xml:space="preserve">Total S&amp;P P/L</t>
  </si>
  <si>
    <t xml:space="preserve">Total P/L</t>
  </si>
  <si>
    <t xml:space="preserve">Total Acct. Value</t>
  </si>
  <si>
    <t xml:space="preserve">Break</t>
  </si>
  <si>
    <t xml:space="preserve">Rally</t>
  </si>
  <si>
    <t xml:space="preserve">ES 1</t>
  </si>
  <si>
    <t xml:space="preserve">SFM9</t>
  </si>
  <si>
    <t xml:space="preserve">NGM9</t>
  </si>
  <si>
    <t xml:space="preserve">NGN9</t>
  </si>
  <si>
    <t xml:space="preserve">NGQ9</t>
  </si>
  <si>
    <t xml:space="preserve">High</t>
  </si>
  <si>
    <t xml:space="preserve">Prev</t>
  </si>
  <si>
    <t xml:space="preserve">Low</t>
  </si>
  <si>
    <t xml:space="preserve">Open</t>
  </si>
  <si>
    <t xml:space="preserve">diff.</t>
  </si>
  <si>
    <t xml:space="preserve">Last</t>
  </si>
  <si>
    <t xml:space="preserve">Change</t>
  </si>
  <si>
    <t xml:space="preserve">AFCI</t>
  </si>
  <si>
    <t xml:space="preserve">AIG</t>
  </si>
  <si>
    <t xml:space="preserve">AOL</t>
  </si>
  <si>
    <t xml:space="preserve">BAMM</t>
  </si>
  <si>
    <t xml:space="preserve">CPQ</t>
  </si>
  <si>
    <t xml:space="preserve">DELL</t>
  </si>
  <si>
    <t xml:space="preserve">DIMD</t>
  </si>
  <si>
    <t xml:space="preserve">EDS</t>
  </si>
  <si>
    <t xml:space="preserve">EGHT</t>
  </si>
  <si>
    <t xml:space="preserve">ENMD</t>
  </si>
  <si>
    <t xml:space="preserve">IOM</t>
  </si>
  <si>
    <t xml:space="preserve">LU</t>
  </si>
  <si>
    <t xml:space="preserve">MER</t>
  </si>
  <si>
    <t xml:space="preserve">ONSL</t>
  </si>
  <si>
    <t xml:space="preserve">SFE</t>
  </si>
  <si>
    <t xml:space="preserve">COMS</t>
  </si>
  <si>
    <t xml:space="preserve">WAVO</t>
  </si>
  <si>
    <t xml:space="preserve">YHOO</t>
  </si>
  <si>
    <t xml:space="preserve">QTHDG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</si>
</sst>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/dd/yy"/>
    <numFmt numFmtId="166" formatCode="[$-409]#,##0_);[RED]\(#,##0\)"/>
    <numFmt numFmtId="167" formatCode="[$-409]#,##0.00_);[RED]\(#,##0.00\)"/>
    <numFmt numFmtId="168" formatCode="0.00_);[RED]\(0.00\)"/>
    <numFmt numFmtId="169" formatCode="#,##0.000_);[RED]\(#,##0.000\)"/>
    <numFmt numFmtId="170" formatCode="0.000_);[RED]\(0.000\)"/>
    <numFmt numFmtId="171" formatCode="#,##0.0000_);[RED]\(#,##0.0000\)"/>
    <numFmt numFmtId="172" formatCode="0.0000_);[RED]\(0.0000\)"/>
    <numFmt numFmtId="173" formatCode="# ?/32"/>
    <numFmt numFmtId="174" formatCode="# ?/32;[RED]\(#?/32\)"/>
    <numFmt numFmtId="175" formatCode="[$-409]#,##0.00_);\(#,##0.00\)"/>
    <numFmt numFmtId="176" formatCode="_(* #,##0.00_);_(* \(#,##0.00\);_(* \-??_);_(@_)"/>
    <numFmt numFmtId="177" formatCode="0.000"/>
    <numFmt numFmtId="178" formatCode="0.00"/>
    <numFmt numFmtId="179" formatCode="0%"/>
    <numFmt numFmtId="180" formatCode="0.0%"/>
    <numFmt numFmtId="181" formatCode="# ?/32;[RED]\(# ?/32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8000"/>
      <name val="Arial"/>
      <family val="0"/>
    </font>
    <font>
      <b val="true"/>
      <sz val="10"/>
      <name val="Arial"/>
      <family val="0"/>
    </font>
    <font>
      <sz val="10"/>
      <color rgb="FF3366FF"/>
      <name val="Arial"/>
      <family val="0"/>
    </font>
    <font>
      <b val="true"/>
      <sz val="10"/>
      <color rgb="FF3366FF"/>
      <name val="Arial"/>
      <family val="0"/>
    </font>
    <font>
      <sz val="10"/>
      <name val="CG Times"/>
      <family val="1"/>
    </font>
    <font>
      <b val="true"/>
      <sz val="10"/>
      <name val="CG Times"/>
      <family val="1"/>
    </font>
    <font>
      <b val="true"/>
      <sz val="10"/>
      <color rgb="FF0000FF"/>
      <name val="CG Times"/>
      <family val="1"/>
    </font>
    <font>
      <b val="true"/>
      <sz val="10"/>
      <color rgb="FFFF0000"/>
      <name val="CG Times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2" fillId="5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4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true" hidden="false" outlineLevel="0" max="3" min="3" style="3" width="9.41"/>
    <col collapsed="false" customWidth="true" hidden="false" outlineLevel="0" max="4" min="4" style="2" width="9.99"/>
    <col collapsed="false" customWidth="false" hidden="false" outlineLevel="0" max="7" min="5" style="2" width="9.14"/>
    <col collapsed="false" customWidth="true" hidden="false" outlineLevel="0" max="8" min="8" style="4" width="11.7"/>
    <col collapsed="false" customWidth="false" hidden="false" outlineLevel="0" max="9" min="9" style="2" width="9.14"/>
    <col collapsed="false" customWidth="true" hidden="false" outlineLevel="0" max="10" min="10" style="2" width="11.7"/>
    <col collapsed="false" customWidth="false" hidden="false" outlineLevel="0" max="257" min="11" style="2" width="9.14"/>
  </cols>
  <sheetData>
    <row r="3" customFormat="false" ht="12.75" hidden="false" customHeight="false" outlineLevel="0" collapsed="false">
      <c r="A3" s="5"/>
      <c r="B3" s="6"/>
      <c r="C3" s="7"/>
      <c r="D3" s="6"/>
      <c r="E3" s="6"/>
      <c r="F3" s="6"/>
      <c r="G3" s="8" t="s">
        <v>0</v>
      </c>
      <c r="H3" s="9" t="s">
        <v>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10" t="s">
        <v>2</v>
      </c>
      <c r="B4" s="11" t="s">
        <v>3</v>
      </c>
      <c r="C4" s="12" t="s">
        <v>3</v>
      </c>
      <c r="D4" s="8"/>
      <c r="E4" s="8" t="s">
        <v>4</v>
      </c>
      <c r="F4" s="8" t="s">
        <v>5</v>
      </c>
      <c r="G4" s="8" t="s">
        <v>6</v>
      </c>
      <c r="H4" s="9" t="s">
        <v>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3.5" hidden="false" customHeight="false" outlineLevel="0" collapsed="false">
      <c r="A5" s="13" t="s">
        <v>7</v>
      </c>
      <c r="B5" s="14" t="s">
        <v>8</v>
      </c>
      <c r="C5" s="15" t="s">
        <v>9</v>
      </c>
      <c r="D5" s="14" t="s">
        <v>10</v>
      </c>
      <c r="E5" s="14" t="s">
        <v>11</v>
      </c>
      <c r="F5" s="14" t="s">
        <v>10</v>
      </c>
      <c r="G5" s="14" t="s">
        <v>12</v>
      </c>
      <c r="H5" s="16" t="s">
        <v>12</v>
      </c>
      <c r="I5" s="14"/>
      <c r="J5" s="14"/>
      <c r="K5" s="14"/>
      <c r="L5" s="14"/>
      <c r="M5" s="14"/>
      <c r="N5" s="14"/>
      <c r="O5" s="14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17"/>
      <c r="B6" s="18"/>
      <c r="C6" s="19"/>
      <c r="D6" s="18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21" t="s">
        <v>13</v>
      </c>
      <c r="B7" s="22" t="n">
        <v>36164</v>
      </c>
      <c r="C7" s="23" t="n">
        <v>10000</v>
      </c>
      <c r="D7" s="24" t="n">
        <v>547.5</v>
      </c>
      <c r="E7" s="25" t="n">
        <f aca="false">IF(C7&gt;0,-C7/5000*12.5,C7/5000*12.5)</f>
        <v>-25</v>
      </c>
      <c r="F7" s="25" t="n">
        <f aca="false">+Sheet2!$B$9</f>
        <v>470.75</v>
      </c>
      <c r="G7" s="24" t="n">
        <f aca="false">IF(C7&gt;0,F7-D7,D7-F7)</f>
        <v>-76.75</v>
      </c>
      <c r="H7" s="24" t="n">
        <f aca="false">IF(C7&gt;0,C7*G7/100,G7*C7/100)</f>
        <v>-7675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false" outlineLevel="0" collapsed="false">
      <c r="A8" s="21" t="s">
        <v>13</v>
      </c>
      <c r="B8" s="22" t="n">
        <v>36165</v>
      </c>
      <c r="C8" s="23" t="n">
        <v>-10000</v>
      </c>
      <c r="D8" s="24" t="n">
        <v>546</v>
      </c>
      <c r="E8" s="25" t="n">
        <f aca="false">IF(C8&gt;0,-C8/5000*12.5,C8/5000*12.5)</f>
        <v>-25</v>
      </c>
      <c r="F8" s="25" t="n">
        <f aca="false">+Sheet2!$B$9</f>
        <v>470.75</v>
      </c>
      <c r="G8" s="24" t="n">
        <f aca="false">IF(C8&gt;0,F8-D8,D8-F8)</f>
        <v>75.25</v>
      </c>
      <c r="H8" s="24" t="n">
        <f aca="false">IF(C8&gt;0,C8*G8/100,-G8*C8/100)</f>
        <v>7525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2.75" hidden="false" customHeight="false" outlineLevel="0" collapsed="false">
      <c r="A9" s="21" t="s">
        <v>13</v>
      </c>
      <c r="B9" s="22" t="n">
        <v>36167</v>
      </c>
      <c r="C9" s="23" t="n">
        <v>10000</v>
      </c>
      <c r="D9" s="24" t="n">
        <v>549.75</v>
      </c>
      <c r="E9" s="25" t="n">
        <f aca="false">IF(C9&gt;0,-C9/5000*12.5,C9/5000*12.5)</f>
        <v>-25</v>
      </c>
      <c r="F9" s="25" t="n">
        <f aca="false">+Sheet2!$B$9</f>
        <v>470.75</v>
      </c>
      <c r="G9" s="24" t="n">
        <f aca="false">IF(C9&gt;0,F9-D9,D9-F9)</f>
        <v>-79</v>
      </c>
      <c r="H9" s="24" t="n">
        <f aca="false">IF(C9&gt;0,C9*G9/100,-G9*C9/100)</f>
        <v>-7900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2.75" hidden="false" customHeight="false" outlineLevel="0" collapsed="false">
      <c r="A10" s="21" t="s">
        <v>13</v>
      </c>
      <c r="B10" s="22" t="n">
        <v>36168</v>
      </c>
      <c r="C10" s="23" t="n">
        <v>10000</v>
      </c>
      <c r="D10" s="24" t="n">
        <v>555.25</v>
      </c>
      <c r="E10" s="25" t="n">
        <f aca="false">IF(C10&gt;0,-C10/5000*12.5,C10/5000*12.5)</f>
        <v>-25</v>
      </c>
      <c r="F10" s="25" t="n">
        <f aca="false">+Sheet2!$B$9</f>
        <v>470.75</v>
      </c>
      <c r="G10" s="24" t="n">
        <f aca="false">IF(C10&gt;0,F10-D10,D10-F10)</f>
        <v>-84.5</v>
      </c>
      <c r="H10" s="24" t="n">
        <f aca="false">IF(C10&gt;0,C10*G10/100,-G10*C10/100)</f>
        <v>-8450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2.75" hidden="false" customHeight="false" outlineLevel="0" collapsed="false">
      <c r="A11" s="21" t="s">
        <v>13</v>
      </c>
      <c r="B11" s="22" t="n">
        <v>36171</v>
      </c>
      <c r="C11" s="23" t="n">
        <v>-20000</v>
      </c>
      <c r="D11" s="24" t="n">
        <v>550</v>
      </c>
      <c r="E11" s="25" t="n">
        <f aca="false">IF(C11&gt;0,-C11/5000*12.5,C11/5000*12.5)</f>
        <v>-50</v>
      </c>
      <c r="F11" s="25" t="n">
        <f aca="false">+Sheet2!$B$9</f>
        <v>470.75</v>
      </c>
      <c r="G11" s="24" t="n">
        <f aca="false">IF(C11&gt;0,F11-D11,D11-F11)</f>
        <v>79.25</v>
      </c>
      <c r="H11" s="24" t="n">
        <f aca="false">IF(C11&gt;0,C11*G11/100,-G11*C11/100)</f>
        <v>15850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2.75" hidden="false" customHeight="false" outlineLevel="0" collapsed="false">
      <c r="A12" s="21" t="s">
        <v>13</v>
      </c>
      <c r="B12" s="22" t="n">
        <v>36259</v>
      </c>
      <c r="C12" s="23" t="n">
        <v>10000</v>
      </c>
      <c r="D12" s="24" t="n">
        <v>478.5</v>
      </c>
      <c r="E12" s="25" t="n">
        <f aca="false">IF(C12&gt;0,-C12/5000*12.5,C12/5000*12.5)</f>
        <v>-25</v>
      </c>
      <c r="F12" s="25" t="n">
        <f aca="false">+Sheet2!$B$9</f>
        <v>470.75</v>
      </c>
      <c r="G12" s="24" t="n">
        <f aca="false">IF(C12&gt;0,F12-D12,D12-F12)</f>
        <v>-7.75</v>
      </c>
      <c r="H12" s="24" t="n">
        <f aca="false">IF(C12&gt;0,C12*G12/100,-G12*C12/100)</f>
        <v>-775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2.75" hidden="false" customHeight="false" outlineLevel="0" collapsed="false">
      <c r="A13" s="21" t="s">
        <v>13</v>
      </c>
      <c r="B13" s="22" t="n">
        <v>36262</v>
      </c>
      <c r="C13" s="23" t="n">
        <v>10000</v>
      </c>
      <c r="D13" s="24" t="n">
        <v>482.25</v>
      </c>
      <c r="E13" s="25" t="n">
        <f aca="false">IF(C13&gt;0,-C13/5000*12.5,C13/5000*12.5)</f>
        <v>-25</v>
      </c>
      <c r="F13" s="25" t="n">
        <f aca="false">+Sheet2!$B$9</f>
        <v>470.75</v>
      </c>
      <c r="G13" s="24" t="n">
        <f aca="false">IF(C13&gt;0,F13-D13,D13-F13)</f>
        <v>-11.5</v>
      </c>
      <c r="H13" s="24" t="n">
        <f aca="false">IF(C13&gt;0,C13*G13/100,-G13*C13/100)</f>
        <v>-1150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12.75" hidden="false" customHeight="false" outlineLevel="0" collapsed="false">
      <c r="A14" s="21" t="s">
        <v>13</v>
      </c>
      <c r="B14" s="22" t="n">
        <v>36262</v>
      </c>
      <c r="C14" s="23" t="n">
        <v>-10000</v>
      </c>
      <c r="D14" s="24" t="n">
        <v>478.5</v>
      </c>
      <c r="E14" s="25" t="n">
        <f aca="false">IF(C14&gt;0,-C14/5000*12.5,C14/5000*12.5)</f>
        <v>-25</v>
      </c>
      <c r="F14" s="25" t="n">
        <f aca="false">+Sheet2!$B$9</f>
        <v>470.75</v>
      </c>
      <c r="G14" s="24" t="n">
        <f aca="false">IF(C14&gt;0,F14-D14,D14-F14)</f>
        <v>7.75</v>
      </c>
      <c r="H14" s="24" t="n">
        <f aca="false">IF(C14&gt;0,C14*G14/100,-G14*C14/100)</f>
        <v>775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</row>
    <row r="15" customFormat="false" ht="12.75" hidden="false" customHeight="false" outlineLevel="0" collapsed="false">
      <c r="A15" s="21" t="s">
        <v>13</v>
      </c>
      <c r="B15" s="22" t="n">
        <v>36265</v>
      </c>
      <c r="C15" s="23" t="n">
        <v>-5000</v>
      </c>
      <c r="D15" s="24" t="n">
        <v>489</v>
      </c>
      <c r="E15" s="25" t="n">
        <f aca="false">IF(C15&gt;0,-C15/5000*12.5,C15/5000*12.5)</f>
        <v>-12.5</v>
      </c>
      <c r="F15" s="25" t="n">
        <f aca="false">+Sheet2!$B$9</f>
        <v>470.75</v>
      </c>
      <c r="G15" s="24" t="n">
        <f aca="false">IF(C15&gt;0,F15-D15,D15-F15)</f>
        <v>18.25</v>
      </c>
      <c r="H15" s="24" t="n">
        <f aca="false">IF(C15&gt;0,C15*G15/100,-G15*C15/100)</f>
        <v>912.5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2.75" hidden="false" customHeight="false" outlineLevel="0" collapsed="false">
      <c r="A16" s="21" t="s">
        <v>13</v>
      </c>
      <c r="B16" s="22" t="n">
        <v>36265</v>
      </c>
      <c r="C16" s="23" t="n">
        <v>-5000</v>
      </c>
      <c r="D16" s="24" t="n">
        <v>491</v>
      </c>
      <c r="E16" s="25" t="n">
        <f aca="false">IF(C16&gt;0,-C16/5000*12.5,C16/5000*12.5)</f>
        <v>-12.5</v>
      </c>
      <c r="F16" s="25" t="n">
        <f aca="false">+Sheet2!$B$9</f>
        <v>470.75</v>
      </c>
      <c r="G16" s="24" t="n">
        <f aca="false">IF(C16&gt;0,F16-D16,D16-F16)</f>
        <v>20.25</v>
      </c>
      <c r="H16" s="24" t="n">
        <f aca="false">IF(C16&gt;0,C16*G16/100,-G16*C16/100)</f>
        <v>1012.5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2.75" hidden="false" customHeight="false" outlineLevel="0" collapsed="false">
      <c r="A17" s="21" t="s">
        <v>13</v>
      </c>
      <c r="B17" s="22" t="n">
        <v>36266</v>
      </c>
      <c r="C17" s="23" t="n">
        <v>10000</v>
      </c>
      <c r="D17" s="24" t="n">
        <v>490</v>
      </c>
      <c r="E17" s="25" t="n">
        <f aca="false">IF(C17&gt;0,-C17/5000*12.5,C17/5000*12.5)</f>
        <v>-25</v>
      </c>
      <c r="F17" s="25" t="n">
        <f aca="false">+Sheet2!$B$9</f>
        <v>470.75</v>
      </c>
      <c r="G17" s="24" t="n">
        <f aca="false">IF(C17&gt;0,F17-D17,D17-F17)</f>
        <v>-19.25</v>
      </c>
      <c r="H17" s="24" t="n">
        <f aca="false">IF(C17&gt;0,C17*G17/100,-G17*C17/100)</f>
        <v>-1925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2.75" hidden="false" customHeight="false" outlineLevel="0" collapsed="false">
      <c r="A18" s="21" t="s">
        <v>13</v>
      </c>
      <c r="B18" s="22" t="n">
        <v>36269</v>
      </c>
      <c r="C18" s="23" t="n">
        <v>10000</v>
      </c>
      <c r="D18" s="24" t="n">
        <v>486.5</v>
      </c>
      <c r="E18" s="25" t="n">
        <f aca="false">IF(C18&gt;0,-C18/5000*12.5,C18/5000*12.5)</f>
        <v>-25</v>
      </c>
      <c r="F18" s="25" t="n">
        <f aca="false">+Sheet2!$B$9</f>
        <v>470.75</v>
      </c>
      <c r="G18" s="24" t="n">
        <f aca="false">IF(C18&gt;0,F18-D18,D18-F18)</f>
        <v>-15.75</v>
      </c>
      <c r="H18" s="24" t="n">
        <f aca="false">IF(C18&gt;0,C18*G18/100,-G18*C18/100)</f>
        <v>-1575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2.75" hidden="false" customHeight="false" outlineLevel="0" collapsed="false">
      <c r="A19" s="21" t="s">
        <v>13</v>
      </c>
      <c r="B19" s="22" t="n">
        <v>36271</v>
      </c>
      <c r="C19" s="23" t="n">
        <v>-10000</v>
      </c>
      <c r="D19" s="24" t="n">
        <v>493.5</v>
      </c>
      <c r="E19" s="25" t="n">
        <f aca="false">IF(C19&gt;0,-C19/5000*12.5,C19/5000*12.5)</f>
        <v>-25</v>
      </c>
      <c r="F19" s="25" t="n">
        <f aca="false">+Sheet2!$B$9</f>
        <v>470.75</v>
      </c>
      <c r="G19" s="24" t="n">
        <f aca="false">IF(C19&gt;0,F19-D19,D19-F19)</f>
        <v>22.75</v>
      </c>
      <c r="H19" s="24" t="n">
        <f aca="false">IF(C19&gt;0,C19*G19/100,-G19*C19/100)</f>
        <v>2275</v>
      </c>
      <c r="I19" s="26"/>
      <c r="J19" s="26"/>
      <c r="K19" s="26"/>
      <c r="L19" s="26"/>
      <c r="M19" s="26" t="n">
        <f aca="false">IF(A19="SN9",C19/5000,0)</f>
        <v>0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2.75" hidden="false" customHeight="false" outlineLevel="0" collapsed="false">
      <c r="A20" s="27" t="s">
        <v>14</v>
      </c>
      <c r="B20" s="22" t="n">
        <v>36271</v>
      </c>
      <c r="C20" s="23" t="n">
        <v>10000</v>
      </c>
      <c r="D20" s="24" t="n">
        <v>503</v>
      </c>
      <c r="E20" s="25" t="n">
        <f aca="false">IF(C20&gt;0,-C20/5000*12.5,C20/5000*12.5)</f>
        <v>-25</v>
      </c>
      <c r="F20" s="25" t="n">
        <f aca="false">+Sheet2!$B$9</f>
        <v>470.75</v>
      </c>
      <c r="G20" s="24" t="n">
        <f aca="false">IF(C20&gt;0,F20-D20,D20-F20)</f>
        <v>-32.25</v>
      </c>
      <c r="H20" s="24" t="n">
        <f aca="false">IF(C20&gt;0,C20*G20/100,-G20*C20/100)</f>
        <v>-3225</v>
      </c>
      <c r="I20" s="26"/>
      <c r="J20" s="26"/>
      <c r="K20" s="26"/>
      <c r="L20" s="26"/>
      <c r="M20" s="26" t="n">
        <f aca="false">IF(A20="SN9",C20/5000,0)</f>
        <v>2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2.75" hidden="false" customHeight="false" outlineLevel="0" collapsed="false">
      <c r="A21" s="21" t="s">
        <v>13</v>
      </c>
      <c r="B21" s="22" t="n">
        <v>36272</v>
      </c>
      <c r="C21" s="23" t="n">
        <v>-10000</v>
      </c>
      <c r="D21" s="24" t="n">
        <v>495</v>
      </c>
      <c r="E21" s="25" t="n">
        <f aca="false">IF(C21&gt;0,-C21/5000*12.5,C21/5000*12.5)</f>
        <v>-25</v>
      </c>
      <c r="F21" s="25" t="n">
        <f aca="false">+Sheet2!$B$9</f>
        <v>470.75</v>
      </c>
      <c r="G21" s="24" t="n">
        <f aca="false">IF(C21&gt;0,F21-D21,D21-F21)</f>
        <v>24.25</v>
      </c>
      <c r="H21" s="24" t="n">
        <f aca="false">IF(C21&gt;0,C21*G21/100,-G21*C21/100)</f>
        <v>2425</v>
      </c>
      <c r="I21" s="26"/>
      <c r="J21" s="26"/>
      <c r="K21" s="26"/>
      <c r="L21" s="26"/>
      <c r="M21" s="26" t="n">
        <f aca="false">IF(A21="SN9",C21/5000,0)</f>
        <v>0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2.75" hidden="false" customHeight="false" outlineLevel="0" collapsed="false">
      <c r="A22" s="27" t="s">
        <v>14</v>
      </c>
      <c r="B22" s="22" t="n">
        <v>36272</v>
      </c>
      <c r="C22" s="23" t="n">
        <v>10000</v>
      </c>
      <c r="D22" s="24" t="n">
        <v>504.5</v>
      </c>
      <c r="E22" s="25" t="n">
        <f aca="false">IF(C22&gt;0,-C22/5000*12.5,C22/5000*12.5)</f>
        <v>-25</v>
      </c>
      <c r="F22" s="25" t="n">
        <f aca="false">+Sheet2!$B$9</f>
        <v>470.75</v>
      </c>
      <c r="G22" s="24" t="n">
        <f aca="false">IF(C22&gt;0,F22-D22,D22-F22)</f>
        <v>-33.75</v>
      </c>
      <c r="H22" s="24" t="n">
        <f aca="false">IF(C22&gt;0,C22*G22/100,-G22*C22/100)</f>
        <v>-3375</v>
      </c>
      <c r="I22" s="26"/>
      <c r="J22" s="26"/>
      <c r="K22" s="26"/>
      <c r="L22" s="26"/>
      <c r="M22" s="26" t="n">
        <f aca="false">IF(A22="SN9",C22/5000,0)</f>
        <v>2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2.75" hidden="false" customHeight="false" outlineLevel="0" collapsed="false">
      <c r="A23" s="21" t="s">
        <v>13</v>
      </c>
      <c r="B23" s="22" t="n">
        <v>36272</v>
      </c>
      <c r="C23" s="23" t="n">
        <v>-10000</v>
      </c>
      <c r="D23" s="24" t="n">
        <v>487.5</v>
      </c>
      <c r="E23" s="25" t="n">
        <f aca="false">IF(C23&gt;0,-C23/5000*12.5,C23/5000*12.5)</f>
        <v>-25</v>
      </c>
      <c r="F23" s="25" t="n">
        <f aca="false">+Sheet2!$B$9</f>
        <v>470.75</v>
      </c>
      <c r="G23" s="24" t="n">
        <f aca="false">IF(C23&gt;0,F23-D23,D23-F23)</f>
        <v>16.75</v>
      </c>
      <c r="H23" s="24" t="n">
        <f aca="false">IF(C23&gt;0,C23*G23/100,-G23*C23/100)</f>
        <v>1675</v>
      </c>
      <c r="I23" s="26"/>
      <c r="J23" s="26"/>
      <c r="K23" s="26"/>
      <c r="L23" s="26"/>
      <c r="M23" s="26" t="n">
        <f aca="false">IF(A23="SN9",C23/5000,0)</f>
        <v>0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</row>
    <row r="24" customFormat="false" ht="12.75" hidden="false" customHeight="false" outlineLevel="0" collapsed="false">
      <c r="A24" s="27" t="s">
        <v>14</v>
      </c>
      <c r="B24" s="22" t="n">
        <v>36272</v>
      </c>
      <c r="C24" s="23" t="n">
        <v>-10000</v>
      </c>
      <c r="D24" s="24" t="n">
        <v>493</v>
      </c>
      <c r="E24" s="25" t="n">
        <f aca="false">IF(C24&gt;0,-C24/5000*12.5,C24/5000*12.5)</f>
        <v>-25</v>
      </c>
      <c r="F24" s="25" t="n">
        <f aca="false">+Sheet2!$B$9</f>
        <v>470.75</v>
      </c>
      <c r="G24" s="24" t="n">
        <f aca="false">IF(C24&gt;0,F24-D24,D24-F24)</f>
        <v>22.25</v>
      </c>
      <c r="H24" s="24" t="n">
        <f aca="false">IF(C24&gt;0,C24*G24/100,-G24*C24/100)</f>
        <v>2225</v>
      </c>
      <c r="I24" s="26"/>
      <c r="J24" s="26"/>
      <c r="K24" s="26"/>
      <c r="L24" s="26"/>
      <c r="M24" s="26" t="n">
        <f aca="false">IF(A24="SN9",C24/5000,0)</f>
        <v>-2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</row>
    <row r="25" customFormat="false" ht="12.75" hidden="false" customHeight="false" outlineLevel="0" collapsed="false">
      <c r="A25" s="27" t="s">
        <v>14</v>
      </c>
      <c r="B25" s="22" t="n">
        <v>36273</v>
      </c>
      <c r="C25" s="23" t="n">
        <v>-10000</v>
      </c>
      <c r="D25" s="24" t="n">
        <v>493.5</v>
      </c>
      <c r="E25" s="25" t="n">
        <f aca="false">IF(C25&gt;0,-C25/5000*12.5,C25/5000*12.5)</f>
        <v>-25</v>
      </c>
      <c r="F25" s="25" t="n">
        <f aca="false">+Sheet2!$B$9</f>
        <v>470.75</v>
      </c>
      <c r="G25" s="24" t="n">
        <f aca="false">IF(C25&gt;0,F25-D25,D25-F25)</f>
        <v>22.75</v>
      </c>
      <c r="H25" s="24" t="n">
        <f aca="false">IF(C25&gt;0,C25*G25/100,-G25*C25/100)</f>
        <v>2275</v>
      </c>
      <c r="I25" s="26"/>
      <c r="J25" s="26"/>
      <c r="K25" s="26"/>
      <c r="L25" s="26"/>
      <c r="M25" s="26" t="n">
        <f aca="false">IF(A25="SN9",C25/5000,0)</f>
        <v>-2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2.75" hidden="false" customHeight="false" outlineLevel="0" collapsed="false">
      <c r="A26" s="21" t="s">
        <v>13</v>
      </c>
      <c r="B26" s="22" t="n">
        <v>36273</v>
      </c>
      <c r="C26" s="23" t="n">
        <v>10000</v>
      </c>
      <c r="D26" s="24" t="n">
        <v>485</v>
      </c>
      <c r="E26" s="25" t="n">
        <f aca="false">IF(C26&gt;0,-C26/5000*12.5,C26/5000*12.5)</f>
        <v>-25</v>
      </c>
      <c r="F26" s="25" t="n">
        <f aca="false">+Sheet2!$B$9</f>
        <v>470.75</v>
      </c>
      <c r="G26" s="24" t="n">
        <f aca="false">IF(C26&gt;0,F26-D26,D26-F26)</f>
        <v>-14.25</v>
      </c>
      <c r="H26" s="24" t="n">
        <f aca="false">IF(C26&gt;0,C26*G26/100,-G26*C26/100)</f>
        <v>-1425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2.75" hidden="false" customHeight="false" outlineLevel="0" collapsed="false">
      <c r="A27" s="28"/>
      <c r="B27" s="22"/>
      <c r="C27" s="23"/>
      <c r="D27" s="24"/>
      <c r="E27" s="25"/>
      <c r="F27" s="25"/>
      <c r="G27" s="24"/>
      <c r="H27" s="24"/>
      <c r="I27" s="26"/>
      <c r="J27" s="29" t="n">
        <f aca="false">SUM(H7:H27)</f>
        <v>-525</v>
      </c>
      <c r="K27" s="30" t="s">
        <v>15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2.75" hidden="false" customHeight="false" outlineLevel="0" collapsed="false">
      <c r="A28" s="28"/>
      <c r="B28" s="22"/>
      <c r="C28" s="23"/>
      <c r="D28" s="24"/>
      <c r="E28" s="25"/>
      <c r="F28" s="25"/>
      <c r="G28" s="24"/>
      <c r="H28" s="24"/>
      <c r="I28" s="26"/>
      <c r="J28" s="31" t="n">
        <f aca="false">SUM(C7:C27)/5000</f>
        <v>0</v>
      </c>
      <c r="K28" s="30" t="s">
        <v>16</v>
      </c>
      <c r="L28" s="26"/>
      <c r="M28" s="26" t="n">
        <f aca="false">SUM(M19:M27)</f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2.75" hidden="false" customHeight="false" outlineLevel="0" collapsed="false">
      <c r="A29" s="28"/>
      <c r="B29" s="22"/>
      <c r="C29" s="23"/>
      <c r="D29" s="24"/>
      <c r="E29" s="25"/>
      <c r="F29" s="25"/>
      <c r="G29" s="24"/>
      <c r="H29" s="24"/>
      <c r="I29" s="26"/>
      <c r="J29" s="32"/>
      <c r="K29" s="30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2.75" hidden="false" customHeight="false" outlineLevel="0" collapsed="false">
      <c r="A30" s="21" t="s">
        <v>17</v>
      </c>
      <c r="B30" s="22" t="n">
        <v>36256</v>
      </c>
      <c r="C30" s="23" t="n">
        <v>-5000</v>
      </c>
      <c r="D30" s="24" t="n">
        <v>273.5</v>
      </c>
      <c r="E30" s="25" t="n">
        <f aca="false">IF(C30&gt;0,-C30/5000*12.5,C30/5000*12.5)</f>
        <v>-12.5</v>
      </c>
      <c r="F30" s="25" t="n">
        <f aca="false">+Sheet2!$H$9</f>
        <v>265</v>
      </c>
      <c r="G30" s="24" t="n">
        <f aca="false">IF(C30&gt;0,F30-D30,D30-F30)</f>
        <v>8.5</v>
      </c>
      <c r="H30" s="24" t="n">
        <f aca="false">+G30*-C30*0.01+E30</f>
        <v>412.5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2.75" hidden="false" customHeight="false" outlineLevel="0" collapsed="false">
      <c r="A31" s="21" t="s">
        <v>17</v>
      </c>
      <c r="B31" s="22" t="n">
        <v>36257</v>
      </c>
      <c r="C31" s="23" t="n">
        <v>5000</v>
      </c>
      <c r="D31" s="24" t="n">
        <v>275.5</v>
      </c>
      <c r="E31" s="25" t="n">
        <f aca="false">IF(C31&gt;0,-C31/5000*12.5,C31/5000*12.5)</f>
        <v>-12.5</v>
      </c>
      <c r="F31" s="25" t="n">
        <f aca="false">+Sheet2!$H$9</f>
        <v>265</v>
      </c>
      <c r="G31" s="24" t="n">
        <f aca="false">IF(C31&gt;0,F31-D31,D31-F31)</f>
        <v>-10.5</v>
      </c>
      <c r="H31" s="24" t="n">
        <f aca="false">+G31*C31*0.01+E31</f>
        <v>-537.5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2.75" hidden="false" customHeight="false" outlineLevel="0" collapsed="false">
      <c r="A32" s="28"/>
      <c r="B32" s="22"/>
      <c r="C32" s="23"/>
      <c r="D32" s="24"/>
      <c r="E32" s="25"/>
      <c r="F32" s="25"/>
      <c r="G32" s="24"/>
      <c r="H32" s="24"/>
      <c r="I32" s="26"/>
      <c r="J32" s="29" t="n">
        <f aca="false">SUM(H30:H32)</f>
        <v>-125</v>
      </c>
      <c r="K32" s="30" t="s">
        <v>18</v>
      </c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2.75" hidden="false" customHeight="false" outlineLevel="0" collapsed="false">
      <c r="A33" s="28"/>
      <c r="B33" s="22"/>
      <c r="C33" s="23"/>
      <c r="D33" s="24"/>
      <c r="E33" s="25"/>
      <c r="F33" s="25"/>
      <c r="G33" s="24"/>
      <c r="H33" s="24"/>
      <c r="I33" s="26"/>
      <c r="J33" s="31" t="n">
        <f aca="false">SUM(C30:C32)/5000</f>
        <v>0</v>
      </c>
      <c r="K33" s="30" t="s">
        <v>16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2.75" hidden="false" customHeight="false" outlineLevel="0" collapsed="false">
      <c r="A34" s="28"/>
      <c r="B34" s="22"/>
      <c r="C34" s="23"/>
      <c r="D34" s="24"/>
      <c r="E34" s="25"/>
      <c r="F34" s="25"/>
      <c r="G34" s="24"/>
      <c r="H34" s="24"/>
      <c r="I34" s="26"/>
      <c r="J34" s="32"/>
      <c r="K34" s="30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  <c r="IW34" s="26"/>
    </row>
    <row r="35" customFormat="false" ht="12.75" hidden="false" customHeight="false" outlineLevel="0" collapsed="false">
      <c r="A35" s="21" t="s">
        <v>19</v>
      </c>
      <c r="B35" s="22" t="n">
        <v>36256</v>
      </c>
      <c r="C35" s="23" t="n">
        <v>-10000</v>
      </c>
      <c r="D35" s="24" t="n">
        <v>218</v>
      </c>
      <c r="E35" s="25" t="n">
        <f aca="false">IF(C35&gt;0,-C35/5000*12.5,C35/5000*12.5)</f>
        <v>-25</v>
      </c>
      <c r="F35" s="25" t="n">
        <f aca="false">+Sheet2!$G$9</f>
        <v>223.75</v>
      </c>
      <c r="G35" s="24" t="n">
        <f aca="false">IF(C35&gt;0,F35-D35,D35-F35)</f>
        <v>-5.75</v>
      </c>
      <c r="H35" s="24" t="n">
        <f aca="false">+G35*-C35*0.01+E35</f>
        <v>-600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</row>
    <row r="36" customFormat="false" ht="12.75" hidden="false" customHeight="false" outlineLevel="0" collapsed="false">
      <c r="A36" s="21" t="s">
        <v>19</v>
      </c>
      <c r="B36" s="22" t="n">
        <v>36257</v>
      </c>
      <c r="C36" s="23" t="n">
        <v>5000</v>
      </c>
      <c r="D36" s="24" t="n">
        <v>216.75</v>
      </c>
      <c r="E36" s="25" t="n">
        <f aca="false">IF(C36&gt;0,-C36/5000*12.5,C36/5000*12.5)</f>
        <v>-12.5</v>
      </c>
      <c r="F36" s="25" t="n">
        <f aca="false">+Sheet2!$G$9</f>
        <v>223.75</v>
      </c>
      <c r="G36" s="24" t="n">
        <f aca="false">IF(C36&gt;0,F36-D36,D36-F36)</f>
        <v>7</v>
      </c>
      <c r="H36" s="24" t="n">
        <f aca="false">+G36*C36*0.01+E36</f>
        <v>337.5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2.75" hidden="false" customHeight="false" outlineLevel="0" collapsed="false">
      <c r="A37" s="21" t="s">
        <v>19</v>
      </c>
      <c r="B37" s="22" t="n">
        <v>36257</v>
      </c>
      <c r="C37" s="23" t="n">
        <v>5000</v>
      </c>
      <c r="D37" s="24" t="n">
        <v>217.75</v>
      </c>
      <c r="E37" s="25" t="n">
        <f aca="false">IF(C37&gt;0,-C37/5000*12.5,C37/5000*12.5)</f>
        <v>-12.5</v>
      </c>
      <c r="F37" s="25" t="n">
        <f aca="false">+Sheet2!$G$9</f>
        <v>223.75</v>
      </c>
      <c r="G37" s="24" t="n">
        <f aca="false">IF(C37&gt;0,F37-D37,D37-F37)</f>
        <v>6</v>
      </c>
      <c r="H37" s="24" t="n">
        <f aca="false">+G37*C37*0.01+E37</f>
        <v>287.5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2.75" hidden="false" customHeight="false" outlineLevel="0" collapsed="false">
      <c r="A38" s="21" t="s">
        <v>19</v>
      </c>
      <c r="B38" s="22" t="n">
        <v>36272</v>
      </c>
      <c r="C38" s="23" t="n">
        <v>-10000</v>
      </c>
      <c r="D38" s="24" t="n">
        <v>223.75</v>
      </c>
      <c r="E38" s="25" t="n">
        <f aca="false">IF(C38&gt;0,-C38/5000*12.5,C38/5000*12.5)</f>
        <v>-25</v>
      </c>
      <c r="F38" s="25" t="n">
        <f aca="false">+Sheet2!$G$9</f>
        <v>223.75</v>
      </c>
      <c r="G38" s="24" t="n">
        <f aca="false">IF(C38&gt;0,F38-D38,D38-F38)</f>
        <v>0</v>
      </c>
      <c r="H38" s="24" t="n">
        <f aca="false">+G38*-C38*0.01+E38</f>
        <v>-25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2.75" hidden="false" customHeight="false" outlineLevel="0" collapsed="false">
      <c r="A39" s="21" t="s">
        <v>19</v>
      </c>
      <c r="B39" s="22" t="n">
        <v>36272</v>
      </c>
      <c r="C39" s="23" t="n">
        <v>-20000</v>
      </c>
      <c r="D39" s="24" t="n">
        <v>221</v>
      </c>
      <c r="E39" s="25" t="n">
        <f aca="false">IF(C39&gt;0,-C39/5000*12.5,C39/5000*12.5)</f>
        <v>-50</v>
      </c>
      <c r="F39" s="25" t="n">
        <f aca="false">+Sheet2!$G$9</f>
        <v>223.75</v>
      </c>
      <c r="G39" s="24" t="n">
        <f aca="false">IF(C39&gt;0,F39-D39,D39-F39)</f>
        <v>-2.75</v>
      </c>
      <c r="H39" s="24" t="n">
        <f aca="false">+G39*-C39*0.01+E39</f>
        <v>-600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2.75" hidden="false" customHeight="false" outlineLevel="0" collapsed="false">
      <c r="A40" s="21" t="s">
        <v>19</v>
      </c>
      <c r="B40" s="22" t="n">
        <v>36276</v>
      </c>
      <c r="C40" s="23" t="n">
        <v>30000</v>
      </c>
      <c r="D40" s="24" t="n">
        <v>218</v>
      </c>
      <c r="E40" s="25" t="n">
        <f aca="false">IF(C40&gt;0,-C40/5000*12.5,C40/5000*12.5)</f>
        <v>-75</v>
      </c>
      <c r="F40" s="25" t="n">
        <f aca="false">+Sheet2!$G$9</f>
        <v>223.75</v>
      </c>
      <c r="G40" s="24" t="n">
        <f aca="false">IF(C40&gt;0,F40-D40,D40-F40)</f>
        <v>5.75</v>
      </c>
      <c r="H40" s="24" t="n">
        <f aca="false">+G40*C40*0.01+E40</f>
        <v>1650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2.75" hidden="false" customHeight="false" outlineLevel="0" collapsed="false">
      <c r="A41" s="27" t="s">
        <v>20</v>
      </c>
      <c r="B41" s="22" t="n">
        <v>36276</v>
      </c>
      <c r="C41" s="23" t="n">
        <v>-30000</v>
      </c>
      <c r="D41" s="24" t="n">
        <v>224</v>
      </c>
      <c r="E41" s="25" t="n">
        <f aca="false">IF(C41&gt;0,-C41/5000*12.5,C41/5000*12.5)</f>
        <v>-75</v>
      </c>
      <c r="F41" s="25" t="n">
        <f aca="false">+Sheet2!$G$9</f>
        <v>223.75</v>
      </c>
      <c r="G41" s="24" t="n">
        <f aca="false">IF(C41&gt;0,F41-D41,D41-F41)</f>
        <v>0.25</v>
      </c>
      <c r="H41" s="24" t="n">
        <f aca="false">+G41*-C41*0.01+E41</f>
        <v>0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2.75" hidden="false" customHeight="false" outlineLevel="0" collapsed="false">
      <c r="A42" s="27" t="s">
        <v>20</v>
      </c>
      <c r="B42" s="22" t="n">
        <v>36277</v>
      </c>
      <c r="C42" s="23" t="n">
        <v>-10000</v>
      </c>
      <c r="D42" s="24" t="n">
        <v>222.25</v>
      </c>
      <c r="E42" s="25" t="n">
        <f aca="false">IF(C42&gt;0,-C42/5000*12.5,C42/5000*12.5)</f>
        <v>-25</v>
      </c>
      <c r="F42" s="25" t="n">
        <f aca="false">+Sheet2!$G$9</f>
        <v>223.75</v>
      </c>
      <c r="G42" s="24" t="n">
        <f aca="false">IF(C42&gt;0,F42-D42,D42-F42)</f>
        <v>-1.5</v>
      </c>
      <c r="H42" s="24" t="n">
        <f aca="false">+G42*-C42*0.01+E42</f>
        <v>-175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2.75" hidden="false" customHeight="false" outlineLevel="0" collapsed="false">
      <c r="A43" s="27" t="s">
        <v>20</v>
      </c>
      <c r="B43" s="22" t="n">
        <v>36278</v>
      </c>
      <c r="C43" s="23" t="n">
        <v>20000</v>
      </c>
      <c r="D43" s="24" t="n">
        <v>221.75</v>
      </c>
      <c r="E43" s="25" t="n">
        <f aca="false">IF(C43&gt;0,-C43/5000*12.5,C43/5000*12.5)</f>
        <v>-50</v>
      </c>
      <c r="F43" s="25" t="n">
        <f aca="false">+Sheet2!$G$9</f>
        <v>223.75</v>
      </c>
      <c r="G43" s="24" t="n">
        <f aca="false">IF(C43&gt;0,F43-D43,D43-F43)</f>
        <v>2</v>
      </c>
      <c r="H43" s="24" t="n">
        <f aca="false">+G43*C43*0.01+E43</f>
        <v>350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2.75" hidden="false" customHeight="false" outlineLevel="0" collapsed="false">
      <c r="A44" s="27" t="s">
        <v>20</v>
      </c>
      <c r="B44" s="22" t="n">
        <v>36278</v>
      </c>
      <c r="C44" s="23" t="n">
        <v>20000</v>
      </c>
      <c r="D44" s="24" t="n">
        <v>219.5</v>
      </c>
      <c r="E44" s="25" t="n">
        <f aca="false">IF(C44&gt;0,-C44/5000*12.5,C44/5000*12.5)</f>
        <v>-50</v>
      </c>
      <c r="F44" s="25" t="n">
        <f aca="false">+Sheet2!$G$9</f>
        <v>223.75</v>
      </c>
      <c r="G44" s="24" t="n">
        <f aca="false">IF(C44&gt;0,F44-D44,D44-F44)</f>
        <v>4.25</v>
      </c>
      <c r="H44" s="24" t="n">
        <f aca="false">+G44*C44*0.01+E44</f>
        <v>800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2.75" hidden="false" customHeight="false" outlineLevel="0" collapsed="false">
      <c r="A45" s="27" t="s">
        <v>20</v>
      </c>
      <c r="B45" s="22" t="n">
        <v>36283</v>
      </c>
      <c r="C45" s="23" t="n">
        <v>-10000</v>
      </c>
      <c r="D45" s="24" t="n">
        <v>218</v>
      </c>
      <c r="E45" s="25" t="n">
        <f aca="false">IF(C45&gt;0,-C45/5000*12.5,C45/5000*12.5)</f>
        <v>-25</v>
      </c>
      <c r="F45" s="25" t="n">
        <f aca="false">+Sheet2!$G$9</f>
        <v>223.75</v>
      </c>
      <c r="G45" s="24" t="n">
        <f aca="false">IF(C45&gt;0,F45-D45,D45-F45)</f>
        <v>-5.75</v>
      </c>
      <c r="H45" s="24" t="n">
        <f aca="false">+G45*-C45*0.01+E45</f>
        <v>-600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2.75" hidden="false" customHeight="false" outlineLevel="0" collapsed="false">
      <c r="A46" s="27" t="s">
        <v>20</v>
      </c>
      <c r="B46" s="22" t="n">
        <v>36283</v>
      </c>
      <c r="C46" s="23" t="n">
        <v>30000</v>
      </c>
      <c r="D46" s="24" t="n">
        <v>218.5</v>
      </c>
      <c r="E46" s="25" t="n">
        <f aca="false">IF(C46&gt;0,-C46/5000*12.5,C46/5000*12.5)</f>
        <v>-75</v>
      </c>
      <c r="F46" s="25" t="n">
        <f aca="false">+Sheet2!$G$9</f>
        <v>223.75</v>
      </c>
      <c r="G46" s="24" t="n">
        <f aca="false">IF(C46&gt;0,F46-D46,D46-F46)</f>
        <v>5.25</v>
      </c>
      <c r="H46" s="24" t="n">
        <f aca="false">+G46*C46*0.01+E46</f>
        <v>1500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2.75" hidden="false" customHeight="false" outlineLevel="0" collapsed="false">
      <c r="A47" s="27" t="s">
        <v>20</v>
      </c>
      <c r="B47" s="22" t="n">
        <v>36284</v>
      </c>
      <c r="C47" s="23" t="n">
        <v>10000</v>
      </c>
      <c r="D47" s="24" t="n">
        <v>220.25</v>
      </c>
      <c r="E47" s="25" t="n">
        <f aca="false">IF(C47&gt;0,-C47/5000*12.5,C47/5000*12.5)</f>
        <v>-25</v>
      </c>
      <c r="F47" s="25" t="n">
        <f aca="false">+Sheet2!$G$9</f>
        <v>223.75</v>
      </c>
      <c r="G47" s="24" t="n">
        <f aca="false">IF(C47&gt;0,F47-D47,D47-F47)</f>
        <v>3.5</v>
      </c>
      <c r="H47" s="24" t="n">
        <f aca="false">+G47*C47*0.01+E47</f>
        <v>325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2.75" hidden="false" customHeight="false" outlineLevel="0" collapsed="false">
      <c r="A48" s="27" t="s">
        <v>20</v>
      </c>
      <c r="B48" s="22" t="n">
        <v>36284</v>
      </c>
      <c r="C48" s="23" t="n">
        <v>10000</v>
      </c>
      <c r="D48" s="24" t="n">
        <v>223.75</v>
      </c>
      <c r="E48" s="25" t="n">
        <f aca="false">IF(C48&gt;0,-C48/5000*12.5,C48/5000*12.5)</f>
        <v>-25</v>
      </c>
      <c r="F48" s="25" t="n">
        <f aca="false">+Sheet2!$G$9</f>
        <v>223.75</v>
      </c>
      <c r="G48" s="24" t="n">
        <f aca="false">IF(C48&gt;0,F48-D48,D48-F48)</f>
        <v>0</v>
      </c>
      <c r="H48" s="24" t="n">
        <f aca="false">+G48*C48*0.01+E48</f>
        <v>-25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2.75" hidden="false" customHeight="false" outlineLevel="0" collapsed="false">
      <c r="A49" s="27" t="s">
        <v>20</v>
      </c>
      <c r="B49" s="22" t="n">
        <v>36284</v>
      </c>
      <c r="C49" s="23" t="n">
        <v>10000</v>
      </c>
      <c r="D49" s="24" t="n">
        <v>222.5</v>
      </c>
      <c r="E49" s="25" t="n">
        <f aca="false">IF(C49&gt;0,-C49/5000*12.5,C49/5000*12.5)</f>
        <v>-25</v>
      </c>
      <c r="F49" s="25" t="n">
        <f aca="false">+Sheet2!$G$9</f>
        <v>223.75</v>
      </c>
      <c r="G49" s="24" t="n">
        <f aca="false">IF(C49&gt;0,F49-D49,D49-F49)</f>
        <v>1.25</v>
      </c>
      <c r="H49" s="24" t="n">
        <f aca="false">+G49*C49*0.01+E49</f>
        <v>100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2.75" hidden="false" customHeight="false" outlineLevel="0" collapsed="false">
      <c r="A50" s="27" t="s">
        <v>20</v>
      </c>
      <c r="B50" s="22" t="n">
        <v>36284</v>
      </c>
      <c r="C50" s="23" t="n">
        <v>-20000</v>
      </c>
      <c r="D50" s="24" t="n">
        <v>223</v>
      </c>
      <c r="E50" s="25" t="n">
        <f aca="false">IF(C50&gt;0,-C50/5000*12.5,C50/5000*12.5)</f>
        <v>-50</v>
      </c>
      <c r="F50" s="25" t="n">
        <f aca="false">+Sheet2!$G$9</f>
        <v>223.75</v>
      </c>
      <c r="G50" s="24" t="n">
        <f aca="false">IF(C50&gt;0,F50-D50,D50-F50)</f>
        <v>-0.75</v>
      </c>
      <c r="H50" s="24" t="n">
        <f aca="false">+G50*-C50*0.01+E50</f>
        <v>-200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2.75" hidden="false" customHeight="false" outlineLevel="0" collapsed="false">
      <c r="A51" s="27" t="s">
        <v>20</v>
      </c>
      <c r="B51" s="22" t="n">
        <v>36286</v>
      </c>
      <c r="C51" s="23" t="n">
        <v>-20000</v>
      </c>
      <c r="D51" s="24" t="n">
        <v>219.5</v>
      </c>
      <c r="E51" s="25" t="n">
        <f aca="false">IF(C51&gt;0,-C51/5000*12.5,C51/5000*12.5)</f>
        <v>-50</v>
      </c>
      <c r="F51" s="25" t="n">
        <f aca="false">+Sheet2!$G$9</f>
        <v>223.75</v>
      </c>
      <c r="G51" s="24" t="n">
        <f aca="false">IF(C51&gt;0,F51-D51,D51-F51)</f>
        <v>-4.25</v>
      </c>
      <c r="H51" s="24" t="n">
        <f aca="false">+G51*-C51*0.01+E51</f>
        <v>-900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2.75" hidden="false" customHeight="false" outlineLevel="0" collapsed="false">
      <c r="A52" s="27" t="s">
        <v>20</v>
      </c>
      <c r="B52" s="22" t="n">
        <v>36287</v>
      </c>
      <c r="C52" s="23" t="n">
        <v>-20000</v>
      </c>
      <c r="D52" s="24" t="n">
        <v>218.25</v>
      </c>
      <c r="E52" s="25" t="n">
        <f aca="false">IF(C52&gt;0,-C52/5000*12.5,C52/5000*12.5)</f>
        <v>-50</v>
      </c>
      <c r="F52" s="25" t="n">
        <f aca="false">+Sheet2!$G$9</f>
        <v>223.75</v>
      </c>
      <c r="G52" s="24" t="n">
        <f aca="false">IF(C52&gt;0,F52-D52,D52-F52)</f>
        <v>-5.5</v>
      </c>
      <c r="H52" s="24" t="n">
        <f aca="false">+G52*-C52*0.01+E52</f>
        <v>-1150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2.75" hidden="false" customHeight="false" outlineLevel="0" collapsed="false">
      <c r="A53" s="27" t="s">
        <v>20</v>
      </c>
      <c r="B53" s="22" t="n">
        <v>36287</v>
      </c>
      <c r="C53" s="23" t="n">
        <v>-10000</v>
      </c>
      <c r="D53" s="24" t="n">
        <v>218</v>
      </c>
      <c r="E53" s="25" t="n">
        <f aca="false">IF(C53&gt;0,-C53/5000*12.5,C53/5000*12.5)</f>
        <v>-25</v>
      </c>
      <c r="F53" s="25" t="n">
        <f aca="false">+Sheet2!$G$9</f>
        <v>223.75</v>
      </c>
      <c r="G53" s="24" t="n">
        <f aca="false">IF(C53&gt;0,F53-D53,D53-F53)</f>
        <v>-5.75</v>
      </c>
      <c r="H53" s="24" t="n">
        <f aca="false">+G53*-C53*0.01+E53</f>
        <v>-600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  <c r="IW53" s="26"/>
    </row>
    <row r="54" customFormat="false" ht="12.75" hidden="false" customHeight="false" outlineLevel="0" collapsed="false">
      <c r="A54" s="27" t="s">
        <v>20</v>
      </c>
      <c r="B54" s="22" t="n">
        <v>36287</v>
      </c>
      <c r="C54" s="23" t="n">
        <v>-20000</v>
      </c>
      <c r="D54" s="24" t="n">
        <v>218.25</v>
      </c>
      <c r="E54" s="25" t="n">
        <f aca="false">IF(C54&gt;0,-C54/5000*12.5,C54/5000*12.5)</f>
        <v>-50</v>
      </c>
      <c r="F54" s="25" t="n">
        <f aca="false">+Sheet2!$G$9</f>
        <v>223.75</v>
      </c>
      <c r="G54" s="24" t="n">
        <f aca="false">IF(C54&gt;0,F54-D54,D54-F54)</f>
        <v>-5.5</v>
      </c>
      <c r="H54" s="24" t="n">
        <f aca="false">+G54*-C54*0.01+E54</f>
        <v>-1150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</row>
    <row r="55" customFormat="false" ht="12.75" hidden="false" customHeight="false" outlineLevel="0" collapsed="false">
      <c r="A55" s="27" t="s">
        <v>20</v>
      </c>
      <c r="B55" s="22" t="n">
        <v>36290</v>
      </c>
      <c r="C55" s="23" t="n">
        <v>20000</v>
      </c>
      <c r="D55" s="24" t="n">
        <v>220.25</v>
      </c>
      <c r="E55" s="25" t="n">
        <f aca="false">IF(C55&gt;0,-C55/5000*12.5,C55/5000*12.5)</f>
        <v>-50</v>
      </c>
      <c r="F55" s="25" t="n">
        <f aca="false">+Sheet2!$G$9</f>
        <v>223.75</v>
      </c>
      <c r="G55" s="24" t="n">
        <f aca="false">IF(C55&gt;0,F55-D55,D55-F55)</f>
        <v>3.5</v>
      </c>
      <c r="H55" s="24" t="n">
        <f aca="false">+G55*C55*0.01+E55</f>
        <v>650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2.75" hidden="false" customHeight="false" outlineLevel="0" collapsed="false">
      <c r="A56" s="27" t="s">
        <v>20</v>
      </c>
      <c r="B56" s="22" t="n">
        <v>36290</v>
      </c>
      <c r="C56" s="23" t="n">
        <v>20000</v>
      </c>
      <c r="D56" s="24" t="n">
        <v>221</v>
      </c>
      <c r="E56" s="25" t="n">
        <f aca="false">IF(C56&gt;0,-C56/5000*12.5,C56/5000*12.5)</f>
        <v>-50</v>
      </c>
      <c r="F56" s="25" t="n">
        <f aca="false">+Sheet2!$G$9</f>
        <v>223.75</v>
      </c>
      <c r="G56" s="24" t="n">
        <f aca="false">IF(C56&gt;0,F56-D56,D56-F56)</f>
        <v>2.75</v>
      </c>
      <c r="H56" s="24" t="n">
        <f aca="false">+G56*C56*0.01+E56</f>
        <v>500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2.75" hidden="false" customHeight="false" outlineLevel="0" collapsed="false">
      <c r="A57" s="27" t="s">
        <v>20</v>
      </c>
      <c r="B57" s="22" t="n">
        <v>36291</v>
      </c>
      <c r="C57" s="23" t="n">
        <v>10000</v>
      </c>
      <c r="D57" s="24" t="n">
        <v>221.5</v>
      </c>
      <c r="E57" s="25" t="n">
        <f aca="false">IF(C57&gt;0,-C57/5000*12.5,C57/5000*12.5)</f>
        <v>-25</v>
      </c>
      <c r="F57" s="25" t="n">
        <f aca="false">+Sheet2!$G$9</f>
        <v>223.75</v>
      </c>
      <c r="G57" s="24" t="n">
        <f aca="false">IF(C57&gt;0,F57-D57,D57-F57)</f>
        <v>2.25</v>
      </c>
      <c r="H57" s="24" t="n">
        <f aca="false">+G57*C57*0.01+E57</f>
        <v>200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2.75" hidden="false" customHeight="false" outlineLevel="0" collapsed="false">
      <c r="A58" s="27" t="s">
        <v>20</v>
      </c>
      <c r="B58" s="22" t="n">
        <v>36291</v>
      </c>
      <c r="C58" s="23" t="n">
        <v>10000</v>
      </c>
      <c r="D58" s="24" t="n">
        <v>222.5</v>
      </c>
      <c r="E58" s="25" t="n">
        <f aca="false">IF(C58&gt;0,-C58/5000*12.5,C58/5000*12.5)</f>
        <v>-25</v>
      </c>
      <c r="F58" s="25" t="n">
        <f aca="false">+Sheet2!$G$9</f>
        <v>223.75</v>
      </c>
      <c r="G58" s="24" t="n">
        <f aca="false">IF(C58&gt;0,F58-D58,D58-F58)</f>
        <v>1.25</v>
      </c>
      <c r="H58" s="24" t="n">
        <f aca="false">+G58*C58*0.01+E58</f>
        <v>100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2.75" hidden="false" customHeight="false" outlineLevel="0" collapsed="false">
      <c r="A59" s="27" t="s">
        <v>20</v>
      </c>
      <c r="B59" s="22" t="n">
        <v>36292</v>
      </c>
      <c r="C59" s="23" t="n">
        <v>10000</v>
      </c>
      <c r="D59" s="24" t="n">
        <v>224.25</v>
      </c>
      <c r="E59" s="25" t="n">
        <f aca="false">IF(C59&gt;0,-C59/5000*12.5,C59/5000*12.5)</f>
        <v>-25</v>
      </c>
      <c r="F59" s="25" t="n">
        <f aca="false">+Sheet2!$G$9</f>
        <v>223.75</v>
      </c>
      <c r="G59" s="24" t="n">
        <f aca="false">IF(C59&gt;0,F59-D59,D59-F59)</f>
        <v>-0.5</v>
      </c>
      <c r="H59" s="24" t="n">
        <f aca="false">+G59*C59*0.01+E59</f>
        <v>-75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2.75" hidden="false" customHeight="false" outlineLevel="0" collapsed="false">
      <c r="A60" s="27" t="s">
        <v>20</v>
      </c>
      <c r="B60" s="22" t="n">
        <v>36287</v>
      </c>
      <c r="C60" s="23" t="n">
        <v>-20000</v>
      </c>
      <c r="D60" s="24" t="n">
        <v>223.25</v>
      </c>
      <c r="E60" s="25" t="n">
        <f aca="false">IF(C60&gt;0,-C60/5000*12.5,C60/5000*12.5)</f>
        <v>-50</v>
      </c>
      <c r="F60" s="25" t="n">
        <f aca="false">+Sheet2!$G$9</f>
        <v>223.75</v>
      </c>
      <c r="G60" s="24" t="n">
        <f aca="false">IF(C60&gt;0,F60-D60,D60-F60)</f>
        <v>-0.5</v>
      </c>
      <c r="H60" s="24" t="n">
        <f aca="false">+G60*-C60*0.01+E60</f>
        <v>-150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2.75" hidden="false" customHeight="false" outlineLevel="0" collapsed="false">
      <c r="A61" s="27" t="s">
        <v>20</v>
      </c>
      <c r="B61" s="22" t="n">
        <v>36293</v>
      </c>
      <c r="C61" s="23" t="n">
        <v>-10000</v>
      </c>
      <c r="D61" s="24" t="n">
        <v>224.25</v>
      </c>
      <c r="E61" s="25" t="n">
        <f aca="false">IF(C61&gt;0,-C61/5000*12.5,C61/5000*12.5)</f>
        <v>-25</v>
      </c>
      <c r="F61" s="25" t="n">
        <f aca="false">+Sheet2!$G$9</f>
        <v>223.75</v>
      </c>
      <c r="G61" s="24" t="n">
        <f aca="false">IF(C61&gt;0,F61-D61,D61-F61)</f>
        <v>0.5</v>
      </c>
      <c r="H61" s="24" t="n">
        <f aca="false">+G61*-C61*0.01+E61</f>
        <v>25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2.75" hidden="false" customHeight="false" outlineLevel="0" collapsed="false">
      <c r="A62" s="27" t="s">
        <v>20</v>
      </c>
      <c r="B62" s="22" t="n">
        <v>36293</v>
      </c>
      <c r="C62" s="23" t="n">
        <v>-20000</v>
      </c>
      <c r="D62" s="24" t="n">
        <v>223.5</v>
      </c>
      <c r="E62" s="25" t="n">
        <f aca="false">IF(C62&gt;0,-C62/5000*12.5,C62/5000*12.5)</f>
        <v>-50</v>
      </c>
      <c r="F62" s="25" t="n">
        <f aca="false">+Sheet2!$G$9</f>
        <v>223.75</v>
      </c>
      <c r="G62" s="24" t="n">
        <f aca="false">IF(C62&gt;0,F62-D62,D62-F62)</f>
        <v>-0.25</v>
      </c>
      <c r="H62" s="24" t="n">
        <f aca="false">+G62*-C62*0.01+E62</f>
        <v>-100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2.75" hidden="false" customHeight="false" outlineLevel="0" collapsed="false">
      <c r="A63" s="27" t="s">
        <v>20</v>
      </c>
      <c r="B63" s="22" t="n">
        <v>36294</v>
      </c>
      <c r="C63" s="23" t="n">
        <f aca="false">5000*6</f>
        <v>30000</v>
      </c>
      <c r="D63" s="24" t="n">
        <v>225.25</v>
      </c>
      <c r="E63" s="25" t="n">
        <f aca="false">IF(C63&gt;0,-C63/5000*12.5,C63/5000*12.5)</f>
        <v>-75</v>
      </c>
      <c r="F63" s="25" t="n">
        <f aca="false">+Sheet2!$G$9</f>
        <v>223.75</v>
      </c>
      <c r="G63" s="24" t="n">
        <f aca="false">IF(C63&gt;0,F63-D63,D63-F63)</f>
        <v>-1.5</v>
      </c>
      <c r="H63" s="24" t="n">
        <f aca="false">+G63*C63*0.01+E63</f>
        <v>-525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2.75" hidden="false" customHeight="false" outlineLevel="0" collapsed="false">
      <c r="A64" s="27" t="s">
        <v>20</v>
      </c>
      <c r="B64" s="22" t="n">
        <v>36294</v>
      </c>
      <c r="C64" s="23" t="n">
        <v>-20000</v>
      </c>
      <c r="D64" s="24" t="n">
        <v>222.75</v>
      </c>
      <c r="E64" s="25" t="n">
        <f aca="false">IF(C64&gt;0,-C64/5000*12.5,C64/5000*12.5)</f>
        <v>-50</v>
      </c>
      <c r="F64" s="25" t="n">
        <f aca="false">+Sheet2!$G$9</f>
        <v>223.75</v>
      </c>
      <c r="G64" s="24" t="n">
        <f aca="false">IF(C64&gt;0,F64-D64,D64-F64)</f>
        <v>-1</v>
      </c>
      <c r="H64" s="24" t="n">
        <f aca="false">+G64*-C64*0.01+E64</f>
        <v>-250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2.75" hidden="false" customHeight="false" outlineLevel="0" collapsed="false">
      <c r="A65" s="27" t="s">
        <v>20</v>
      </c>
      <c r="B65" s="22" t="n">
        <v>36294</v>
      </c>
      <c r="C65" s="23" t="n">
        <v>-10000</v>
      </c>
      <c r="D65" s="24" t="n">
        <v>221.5</v>
      </c>
      <c r="E65" s="25" t="n">
        <f aca="false">IF(C65&gt;0,-C65/5000*12.5,C65/5000*12.5)</f>
        <v>-25</v>
      </c>
      <c r="F65" s="25" t="n">
        <f aca="false">+Sheet2!$G$9</f>
        <v>223.75</v>
      </c>
      <c r="G65" s="24" t="n">
        <f aca="false">IF(C65&gt;0,F65-D65,D65-F65)</f>
        <v>-2.25</v>
      </c>
      <c r="H65" s="24" t="n">
        <f aca="false">+G65*-C65*0.01+E65</f>
        <v>-250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2.75" hidden="false" customHeight="false" outlineLevel="0" collapsed="false">
      <c r="A66" s="27" t="s">
        <v>20</v>
      </c>
      <c r="B66" s="22" t="n">
        <v>36297</v>
      </c>
      <c r="C66" s="23" t="n">
        <v>20000</v>
      </c>
      <c r="D66" s="24" t="n">
        <v>224.75</v>
      </c>
      <c r="E66" s="25" t="n">
        <f aca="false">IF(C66&gt;0,-C66/5000*12.5,C66/5000*12.5)</f>
        <v>-50</v>
      </c>
      <c r="F66" s="25" t="n">
        <f aca="false">+Sheet2!$G$9</f>
        <v>223.75</v>
      </c>
      <c r="G66" s="24" t="n">
        <f aca="false">IF(C66&gt;0,F66-D66,D66-F66)</f>
        <v>-1</v>
      </c>
      <c r="H66" s="24" t="n">
        <f aca="false">+G66*C66*0.01+E66</f>
        <v>-250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2.75" hidden="false" customHeight="false" outlineLevel="0" collapsed="false">
      <c r="A67" s="28"/>
      <c r="B67" s="22"/>
      <c r="C67" s="23"/>
      <c r="D67" s="24"/>
      <c r="E67" s="25"/>
      <c r="F67" s="25"/>
      <c r="G67" s="24"/>
      <c r="H67" s="24"/>
      <c r="I67" s="26"/>
      <c r="J67" s="29" t="n">
        <f aca="false">SUM(H35:H67)</f>
        <v>-800</v>
      </c>
      <c r="K67" s="30" t="s">
        <v>21</v>
      </c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2.75" hidden="false" customHeight="false" outlineLevel="0" collapsed="false">
      <c r="A68" s="28"/>
      <c r="B68" s="22"/>
      <c r="C68" s="23"/>
      <c r="D68" s="24"/>
      <c r="E68" s="25"/>
      <c r="F68" s="25"/>
      <c r="G68" s="24"/>
      <c r="H68" s="24"/>
      <c r="I68" s="26"/>
      <c r="J68" s="31" t="n">
        <f aca="false">SUM(C35:C67)/5000</f>
        <v>0</v>
      </c>
      <c r="K68" s="30" t="s">
        <v>16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2.75" hidden="false" customHeight="false" outlineLevel="0" collapsed="false">
      <c r="A69" s="33" t="s">
        <v>22</v>
      </c>
      <c r="B69" s="22"/>
      <c r="C69" s="23"/>
      <c r="D69" s="24"/>
      <c r="E69" s="25"/>
      <c r="F69" s="25"/>
      <c r="G69" s="24"/>
      <c r="H69" s="24"/>
      <c r="I69" s="26"/>
      <c r="J69" s="32"/>
      <c r="K69" s="30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2.75" hidden="false" customHeight="false" outlineLevel="0" collapsed="false">
      <c r="A70" s="27" t="s">
        <v>20</v>
      </c>
      <c r="B70" s="22" t="n">
        <v>36278</v>
      </c>
      <c r="C70" s="23" t="n">
        <v>-20000</v>
      </c>
      <c r="D70" s="34" t="n">
        <v>3</v>
      </c>
      <c r="E70" s="25" t="n">
        <f aca="false">IF(C70&gt;0,-C70/5000*12.5,C70/5000*12.5)</f>
        <v>-50</v>
      </c>
      <c r="F70" s="35" t="n">
        <v>2.625</v>
      </c>
      <c r="G70" s="34" t="n">
        <f aca="false">IF(C70&gt;0,F70-D70,D70-F70)</f>
        <v>0.375</v>
      </c>
      <c r="H70" s="24" t="n">
        <f aca="false">-G70*C70*0.01+E70</f>
        <v>25</v>
      </c>
      <c r="I70" s="26" t="s">
        <v>23</v>
      </c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2.75" hidden="false" customHeight="false" outlineLevel="0" collapsed="false">
      <c r="A71" s="27" t="s">
        <v>20</v>
      </c>
      <c r="B71" s="22" t="n">
        <v>36278</v>
      </c>
      <c r="C71" s="23" t="n">
        <v>40000</v>
      </c>
      <c r="D71" s="34" t="n">
        <v>4.5</v>
      </c>
      <c r="E71" s="25" t="n">
        <f aca="false">IF(C71&gt;0,-C71/5000*12.5,C71/5000*12.5)</f>
        <v>-100</v>
      </c>
      <c r="F71" s="35" t="n">
        <v>4</v>
      </c>
      <c r="G71" s="34" t="n">
        <f aca="false">IF(C71&gt;0,F71-D71,D71-F71)</f>
        <v>-0.5</v>
      </c>
      <c r="H71" s="24" t="n">
        <f aca="false">+G71*C71*0.01+E71</f>
        <v>-300</v>
      </c>
      <c r="I71" s="26" t="s">
        <v>24</v>
      </c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2.75" hidden="false" customHeight="false" outlineLevel="0" collapsed="false">
      <c r="A72" s="27" t="s">
        <v>20</v>
      </c>
      <c r="B72" s="22" t="n">
        <v>36286</v>
      </c>
      <c r="C72" s="23" t="n">
        <v>-40000</v>
      </c>
      <c r="D72" s="34" t="n">
        <v>4</v>
      </c>
      <c r="E72" s="25" t="n">
        <f aca="false">IF(C72&gt;0,-C72/5000*12.5,C72/5000*12.5)</f>
        <v>-100</v>
      </c>
      <c r="F72" s="35" t="n">
        <v>4</v>
      </c>
      <c r="G72" s="34" t="n">
        <f aca="false">IF(C72&gt;0,F72-D72,D72-F72)</f>
        <v>0</v>
      </c>
      <c r="H72" s="24" t="n">
        <f aca="false">-G72*C72*0.01+E72</f>
        <v>-100</v>
      </c>
      <c r="I72" s="26" t="s">
        <v>23</v>
      </c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2.75" hidden="false" customHeight="false" outlineLevel="0" collapsed="false">
      <c r="A73" s="27" t="s">
        <v>20</v>
      </c>
      <c r="B73" s="22" t="n">
        <v>36292</v>
      </c>
      <c r="C73" s="23" t="n">
        <v>20000</v>
      </c>
      <c r="D73" s="34" t="n">
        <v>1.625</v>
      </c>
      <c r="E73" s="25" t="n">
        <f aca="false">IF(C73&gt;0,-C73/5000*12.5,C73/5000*12.5)</f>
        <v>-50</v>
      </c>
      <c r="F73" s="35" t="n">
        <v>2.625</v>
      </c>
      <c r="G73" s="34" t="n">
        <f aca="false">IF(C73&gt;0,F73-D73,D73-F73)</f>
        <v>1</v>
      </c>
      <c r="H73" s="24" t="n">
        <f aca="false">G73*C73*0.01+E73</f>
        <v>150</v>
      </c>
      <c r="I73" s="26" t="s">
        <v>25</v>
      </c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  <c r="IW73" s="26"/>
    </row>
    <row r="74" customFormat="false" ht="12.75" hidden="false" customHeight="false" outlineLevel="0" collapsed="false">
      <c r="A74" s="27" t="s">
        <v>20</v>
      </c>
      <c r="B74" s="22" t="n">
        <v>36292</v>
      </c>
      <c r="C74" s="23" t="n">
        <v>25000</v>
      </c>
      <c r="D74" s="34" t="n">
        <v>5.5</v>
      </c>
      <c r="E74" s="25" t="n">
        <f aca="false">IF(C74&gt;0,-C74/5000*12.5,C74/5000*12.5)</f>
        <v>-62.5</v>
      </c>
      <c r="F74" s="35" t="n">
        <v>5.5</v>
      </c>
      <c r="G74" s="34" t="n">
        <f aca="false">IF(C74&gt;0,F74-D74,D74-F74)</f>
        <v>0</v>
      </c>
      <c r="H74" s="24" t="n">
        <f aca="false">+G74*C74*0.01+E74</f>
        <v>-62.5</v>
      </c>
      <c r="I74" s="26" t="s">
        <v>24</v>
      </c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  <c r="IW74" s="26"/>
    </row>
    <row r="75" customFormat="false" ht="12.75" hidden="false" customHeight="false" outlineLevel="0" collapsed="false">
      <c r="A75" s="28"/>
      <c r="B75" s="22"/>
      <c r="C75" s="23"/>
      <c r="D75" s="24"/>
      <c r="E75" s="25"/>
      <c r="F75" s="25"/>
      <c r="G75" s="24"/>
      <c r="H75" s="24"/>
      <c r="I75" s="26"/>
      <c r="J75" s="29" t="n">
        <f aca="false">SUM(H70:H75)</f>
        <v>-287.5</v>
      </c>
      <c r="K75" s="30" t="s">
        <v>26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2.75" hidden="false" customHeight="false" outlineLevel="0" collapsed="false">
      <c r="A76" s="28"/>
      <c r="B76" s="22"/>
      <c r="C76" s="23"/>
      <c r="D76" s="24"/>
      <c r="E76" s="25"/>
      <c r="F76" s="25"/>
      <c r="G76" s="24"/>
      <c r="H76" s="24"/>
      <c r="I76" s="26"/>
      <c r="J76" s="31"/>
      <c r="K76" s="30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2.75" hidden="false" customHeight="false" outlineLevel="0" collapsed="false">
      <c r="A77" s="28"/>
      <c r="B77" s="22"/>
      <c r="C77" s="23"/>
      <c r="D77" s="24"/>
      <c r="E77" s="25"/>
      <c r="F77" s="25"/>
      <c r="G77" s="24"/>
      <c r="H77" s="24"/>
      <c r="I77" s="26"/>
      <c r="J77" s="32"/>
      <c r="K77" s="30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2.75" hidden="false" customHeight="false" outlineLevel="0" collapsed="false">
      <c r="A78" s="21" t="s">
        <v>27</v>
      </c>
      <c r="B78" s="22" t="n">
        <v>36250</v>
      </c>
      <c r="C78" s="23" t="n">
        <f aca="false">112000*2</f>
        <v>224000</v>
      </c>
      <c r="D78" s="24" t="n">
        <v>5.88</v>
      </c>
      <c r="E78" s="25" t="n">
        <f aca="false">IF(C78&gt;0,-C78/112000*12.5,C78/112000*12.5)</f>
        <v>-25</v>
      </c>
      <c r="F78" s="25" t="n">
        <f aca="false">+Sheet2!$J$9</f>
        <v>25</v>
      </c>
      <c r="G78" s="24" t="n">
        <f aca="false">IF(C78&gt;0,F78-D78,D78-F78)</f>
        <v>19.12</v>
      </c>
      <c r="H78" s="24" t="n">
        <f aca="false">+G78*C78/100+E78</f>
        <v>42803.8</v>
      </c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2.75" hidden="false" customHeight="false" outlineLevel="0" collapsed="false">
      <c r="A79" s="21" t="s">
        <v>27</v>
      </c>
      <c r="B79" s="22" t="n">
        <v>36256</v>
      </c>
      <c r="C79" s="23" t="n">
        <v>-224000</v>
      </c>
      <c r="D79" s="24" t="n">
        <v>5.49</v>
      </c>
      <c r="E79" s="25" t="n">
        <f aca="false">IF(C79&gt;0,-C79/112000*12.5,C79/112000*12.5)</f>
        <v>-25</v>
      </c>
      <c r="F79" s="25" t="n">
        <f aca="false">+Sheet2!$J$9</f>
        <v>25</v>
      </c>
      <c r="G79" s="24" t="n">
        <f aca="false">IF(C79&gt;0,F79-D79,D79-F79)</f>
        <v>-19.51</v>
      </c>
      <c r="H79" s="24" t="n">
        <f aca="false">-G79*C79/100+E79</f>
        <v>-43727.4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2.75" hidden="false" customHeight="false" outlineLevel="0" collapsed="false">
      <c r="A80" s="21" t="s">
        <v>27</v>
      </c>
      <c r="B80" s="22" t="n">
        <v>36256</v>
      </c>
      <c r="C80" s="23" t="n">
        <f aca="false">112000*2</f>
        <v>224000</v>
      </c>
      <c r="D80" s="24" t="n">
        <v>5.57</v>
      </c>
      <c r="E80" s="25" t="n">
        <f aca="false">IF(C80&gt;0,-C80/112000*12.5,C80/112000*12.5)</f>
        <v>-25</v>
      </c>
      <c r="F80" s="25" t="n">
        <f aca="false">+Sheet2!$J$9</f>
        <v>25</v>
      </c>
      <c r="G80" s="24" t="n">
        <f aca="false">IF(C80&gt;0,F80-D80,D80-F80)</f>
        <v>19.43</v>
      </c>
      <c r="H80" s="24" t="n">
        <f aca="false">+G80*C80/100+E80</f>
        <v>43498.2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2.75" hidden="false" customHeight="false" outlineLevel="0" collapsed="false">
      <c r="A81" s="21" t="s">
        <v>27</v>
      </c>
      <c r="B81" s="22" t="n">
        <v>36256</v>
      </c>
      <c r="C81" s="23" t="n">
        <f aca="false">224000*2</f>
        <v>448000</v>
      </c>
      <c r="D81" s="24" t="n">
        <v>5.63</v>
      </c>
      <c r="E81" s="25" t="n">
        <f aca="false">IF(C81&gt;0,-C81/112000*12.5,C81/112000*12.5)</f>
        <v>-50</v>
      </c>
      <c r="F81" s="25" t="n">
        <f aca="false">+Sheet2!$J$9</f>
        <v>25</v>
      </c>
      <c r="G81" s="24" t="n">
        <f aca="false">IF(C81&gt;0,F81-D81,D81-F81)</f>
        <v>19.37</v>
      </c>
      <c r="H81" s="24" t="n">
        <f aca="false">+G81*C81/100+E81</f>
        <v>86727.6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2.75" hidden="false" customHeight="false" outlineLevel="0" collapsed="false">
      <c r="A82" s="21" t="s">
        <v>27</v>
      </c>
      <c r="B82" s="22" t="n">
        <v>36257</v>
      </c>
      <c r="C82" s="23" t="n">
        <v>-224000</v>
      </c>
      <c r="D82" s="24" t="n">
        <v>5.5</v>
      </c>
      <c r="E82" s="25" t="n">
        <f aca="false">IF(C82&gt;0,-C82/112000*12.5,C82/112000*12.5)</f>
        <v>-25</v>
      </c>
      <c r="F82" s="25" t="n">
        <f aca="false">+Sheet2!$J$9</f>
        <v>25</v>
      </c>
      <c r="G82" s="24" t="n">
        <f aca="false">IF(C82&gt;0,F82-D82,D82-F82)</f>
        <v>-19.5</v>
      </c>
      <c r="H82" s="24" t="n">
        <f aca="false">-G82*C82/100+E82</f>
        <v>-43705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2.75" hidden="false" customHeight="false" outlineLevel="0" collapsed="false">
      <c r="A83" s="21" t="s">
        <v>27</v>
      </c>
      <c r="B83" s="22" t="n">
        <v>36258</v>
      </c>
      <c r="C83" s="23" t="n">
        <v>-448000</v>
      </c>
      <c r="D83" s="24" t="n">
        <v>5.4</v>
      </c>
      <c r="E83" s="25" t="n">
        <f aca="false">IF(C83&gt;0,-C83/112000*12.5,C83/112000*12.5)</f>
        <v>-50</v>
      </c>
      <c r="F83" s="25" t="n">
        <f aca="false">+Sheet2!$J$9</f>
        <v>25</v>
      </c>
      <c r="G83" s="24" t="n">
        <f aca="false">IF(C83&gt;0,F83-D83,D83-F83)</f>
        <v>-19.6</v>
      </c>
      <c r="H83" s="24" t="n">
        <f aca="false">-G83*C83/100+E83</f>
        <v>-87858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2.75" hidden="false" customHeight="false" outlineLevel="0" collapsed="false">
      <c r="A84" s="28"/>
      <c r="B84" s="22"/>
      <c r="C84" s="23"/>
      <c r="D84" s="24"/>
      <c r="E84" s="25"/>
      <c r="F84" s="25"/>
      <c r="G84" s="24"/>
      <c r="H84" s="24"/>
      <c r="I84" s="26"/>
      <c r="J84" s="29" t="n">
        <f aca="false">SUM(H78:H84)</f>
        <v>-2260.79999999999</v>
      </c>
      <c r="K84" s="30" t="s">
        <v>28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2.75" hidden="false" customHeight="false" outlineLevel="0" collapsed="false">
      <c r="A85" s="28"/>
      <c r="B85" s="22"/>
      <c r="C85" s="23"/>
      <c r="D85" s="24"/>
      <c r="E85" s="25"/>
      <c r="F85" s="25"/>
      <c r="G85" s="24"/>
      <c r="H85" s="24"/>
      <c r="I85" s="26"/>
      <c r="J85" s="31" t="n">
        <f aca="false">SUM(C78:C84)/112500</f>
        <v>0</v>
      </c>
      <c r="K85" s="30" t="s">
        <v>16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  <c r="IJ85" s="26"/>
      <c r="IK85" s="26"/>
      <c r="IL85" s="26"/>
      <c r="IM85" s="26"/>
      <c r="IN85" s="26"/>
      <c r="IO85" s="26"/>
      <c r="IP85" s="26"/>
      <c r="IQ85" s="26"/>
      <c r="IR85" s="26"/>
      <c r="IS85" s="26"/>
      <c r="IT85" s="26"/>
      <c r="IU85" s="26"/>
      <c r="IV85" s="26"/>
      <c r="IW85" s="26"/>
    </row>
    <row r="86" customFormat="false" ht="12.75" hidden="false" customHeight="false" outlineLevel="0" collapsed="false">
      <c r="A86" s="36"/>
      <c r="B86" s="22"/>
      <c r="C86" s="23"/>
      <c r="D86" s="24"/>
      <c r="E86" s="25"/>
      <c r="F86" s="25"/>
      <c r="G86" s="24"/>
      <c r="H86" s="24"/>
      <c r="I86" s="26"/>
      <c r="J86" s="32"/>
      <c r="K86" s="30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6"/>
      <c r="IM86" s="26"/>
      <c r="IN86" s="26"/>
      <c r="IO86" s="26"/>
      <c r="IP86" s="26"/>
      <c r="IQ86" s="26"/>
      <c r="IR86" s="26"/>
      <c r="IS86" s="26"/>
      <c r="IT86" s="26"/>
      <c r="IU86" s="26"/>
      <c r="IV86" s="26"/>
      <c r="IW86" s="26"/>
    </row>
    <row r="87" customFormat="false" ht="12.75" hidden="false" customHeight="false" outlineLevel="0" collapsed="false">
      <c r="A87" s="21" t="s">
        <v>29</v>
      </c>
      <c r="B87" s="22" t="n">
        <v>36230</v>
      </c>
      <c r="C87" s="23" t="n">
        <v>50000</v>
      </c>
      <c r="D87" s="24" t="n">
        <v>61.7</v>
      </c>
      <c r="E87" s="25" t="n">
        <f aca="false">IF(C87&gt;0,-C87/50000*12.5,C87/50000*12.5)</f>
        <v>-12.5</v>
      </c>
      <c r="F87" s="25" t="n">
        <f aca="false">+Sheet2!E$9</f>
        <v>25</v>
      </c>
      <c r="G87" s="24" t="n">
        <f aca="false">IF(C87&gt;0,F87-D87,D87-F87)</f>
        <v>-36.7</v>
      </c>
      <c r="H87" s="24" t="n">
        <f aca="false">(C87/10000)*G87*100+E87</f>
        <v>-18362.5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2.75" hidden="false" customHeight="false" outlineLevel="0" collapsed="false">
      <c r="A88" s="21" t="s">
        <v>29</v>
      </c>
      <c r="B88" s="22" t="n">
        <v>36230</v>
      </c>
      <c r="C88" s="23" t="n">
        <v>50000</v>
      </c>
      <c r="D88" s="24" t="n">
        <v>62.5</v>
      </c>
      <c r="E88" s="25" t="n">
        <f aca="false">IF(C88&gt;0,-C88/50000*12.5,C88/50000*12.5)</f>
        <v>-12.5</v>
      </c>
      <c r="F88" s="25" t="n">
        <f aca="false">+Sheet2!E$9</f>
        <v>25</v>
      </c>
      <c r="G88" s="24" t="n">
        <f aca="false">IF(C88&gt;0,F88-D88,D88-F88)</f>
        <v>-37.5</v>
      </c>
      <c r="H88" s="24" t="n">
        <f aca="false">(C88/10000)*G88*100+E88</f>
        <v>-18762.5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2.75" hidden="false" customHeight="false" outlineLevel="0" collapsed="false">
      <c r="A89" s="21" t="s">
        <v>29</v>
      </c>
      <c r="B89" s="22" t="n">
        <v>36230</v>
      </c>
      <c r="C89" s="23" t="n">
        <v>-50000</v>
      </c>
      <c r="D89" s="24" t="n">
        <v>63.5</v>
      </c>
      <c r="E89" s="25" t="n">
        <f aca="false">IF(C89&gt;0,-C89/50000*12.5,C89/50000*12.5)</f>
        <v>-12.5</v>
      </c>
      <c r="F89" s="25" t="n">
        <f aca="false">+Sheet2!E$9</f>
        <v>25</v>
      </c>
      <c r="G89" s="24" t="n">
        <f aca="false">IF(C89&gt;0,F89-D89,D89-F89)</f>
        <v>38.5</v>
      </c>
      <c r="H89" s="24" t="n">
        <f aca="false">(-C89/10000)*G89*100+E89</f>
        <v>19237.5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2.75" hidden="false" customHeight="false" outlineLevel="0" collapsed="false">
      <c r="A90" s="21" t="s">
        <v>29</v>
      </c>
      <c r="B90" s="22" t="n">
        <v>36231</v>
      </c>
      <c r="C90" s="23" t="n">
        <v>50000</v>
      </c>
      <c r="D90" s="24" t="n">
        <v>61.55</v>
      </c>
      <c r="E90" s="25" t="n">
        <f aca="false">IF(C90&gt;0,-C90/50000*12.5,C90/50000*12.5)</f>
        <v>-12.5</v>
      </c>
      <c r="F90" s="25" t="n">
        <f aca="false">+Sheet2!E$9</f>
        <v>25</v>
      </c>
      <c r="G90" s="24" t="n">
        <f aca="false">IF(C90&gt;0,F90-D90,D90-F90)</f>
        <v>-36.55</v>
      </c>
      <c r="H90" s="24" t="n">
        <f aca="false">(C90/10000)*G90*100+E90</f>
        <v>-18287.5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2.75" hidden="false" customHeight="false" outlineLevel="0" collapsed="false">
      <c r="A91" s="21" t="s">
        <v>29</v>
      </c>
      <c r="B91" s="22" t="n">
        <v>36234</v>
      </c>
      <c r="C91" s="23" t="n">
        <v>-50000</v>
      </c>
      <c r="D91" s="24" t="n">
        <v>60.6</v>
      </c>
      <c r="E91" s="25" t="n">
        <f aca="false">IF(C91&gt;0,-C91/50000*12.5,C91/50000*12.5)</f>
        <v>-12.5</v>
      </c>
      <c r="F91" s="25" t="n">
        <f aca="false">+Sheet2!E$9</f>
        <v>25</v>
      </c>
      <c r="G91" s="24" t="n">
        <f aca="false">IF(C91&gt;0,F91-D91,D91-F91)</f>
        <v>35.6</v>
      </c>
      <c r="H91" s="24" t="n">
        <f aca="false">(-C91/10000)*G91*100+E91</f>
        <v>17787.5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2.75" hidden="false" customHeight="false" outlineLevel="0" collapsed="false">
      <c r="A92" s="21" t="s">
        <v>29</v>
      </c>
      <c r="B92" s="22" t="n">
        <v>36234</v>
      </c>
      <c r="C92" s="23" t="n">
        <v>-50000</v>
      </c>
      <c r="D92" s="24" t="n">
        <v>60.86</v>
      </c>
      <c r="E92" s="25" t="n">
        <f aca="false">IF(C92&gt;0,-C92/50000*12.5,C92/50000*12.5)</f>
        <v>-12.5</v>
      </c>
      <c r="F92" s="25" t="n">
        <f aca="false">+Sheet2!E$9</f>
        <v>25</v>
      </c>
      <c r="G92" s="24" t="n">
        <f aca="false">IF(C92&gt;0,F92-D92,D92-F92)</f>
        <v>35.86</v>
      </c>
      <c r="H92" s="24" t="n">
        <f aca="false">(-C92/10000)*G92*100+E92</f>
        <v>17917.5</v>
      </c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2.75" hidden="false" customHeight="false" outlineLevel="0" collapsed="false">
      <c r="A93" s="21" t="s">
        <v>29</v>
      </c>
      <c r="B93" s="22" t="n">
        <v>36235</v>
      </c>
      <c r="C93" s="23" t="n">
        <v>50000</v>
      </c>
      <c r="D93" s="24" t="n">
        <v>61.2</v>
      </c>
      <c r="E93" s="25" t="n">
        <f aca="false">IF(C93&gt;0,-C93/50000*12.5,C93/50000*12.5)</f>
        <v>-12.5</v>
      </c>
      <c r="F93" s="25" t="n">
        <f aca="false">+Sheet2!E$9</f>
        <v>25</v>
      </c>
      <c r="G93" s="24" t="n">
        <f aca="false">IF(C93&gt;0,F93-D93,D93-F93)</f>
        <v>-36.2</v>
      </c>
      <c r="H93" s="24" t="n">
        <f aca="false">(C93/10000)*G93*100+E93</f>
        <v>-18112.5</v>
      </c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2.75" hidden="false" customHeight="false" outlineLevel="0" collapsed="false">
      <c r="A94" s="21" t="s">
        <v>29</v>
      </c>
      <c r="B94" s="22" t="n">
        <v>36244</v>
      </c>
      <c r="C94" s="23" t="n">
        <v>50000</v>
      </c>
      <c r="D94" s="24" t="n">
        <v>62.65</v>
      </c>
      <c r="E94" s="25" t="n">
        <f aca="false">IF(C94&gt;0,-C94/50000*12.5,C94/50000*12.5)</f>
        <v>-12.5</v>
      </c>
      <c r="F94" s="25" t="n">
        <f aca="false">+Sheet2!E$9</f>
        <v>25</v>
      </c>
      <c r="G94" s="24" t="n">
        <f aca="false">IF(C94&gt;0,F94-D94,D94-F94)</f>
        <v>-37.65</v>
      </c>
      <c r="H94" s="24" t="n">
        <f aca="false">(C94/10000)*G94*100+E94</f>
        <v>-18837.5</v>
      </c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2.75" hidden="false" customHeight="false" outlineLevel="0" collapsed="false">
      <c r="A95" s="21" t="s">
        <v>29</v>
      </c>
      <c r="B95" s="22" t="n">
        <v>36245</v>
      </c>
      <c r="C95" s="23" t="n">
        <v>-50000</v>
      </c>
      <c r="D95" s="24" t="n">
        <v>62.1</v>
      </c>
      <c r="E95" s="25" t="n">
        <f aca="false">IF(C95&gt;0,-C95/50000*12.5,C95/50000*12.5)</f>
        <v>-12.5</v>
      </c>
      <c r="F95" s="25" t="n">
        <f aca="false">+Sheet2!E$9</f>
        <v>25</v>
      </c>
      <c r="G95" s="24" t="n">
        <f aca="false">IF(C95&gt;0,F95-D95,D95-F95)</f>
        <v>37.1</v>
      </c>
      <c r="H95" s="24" t="n">
        <f aca="false">(-C95/10000)*G95*100+E95</f>
        <v>18537.5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2.75" hidden="false" customHeight="false" outlineLevel="0" collapsed="false">
      <c r="A96" s="21" t="s">
        <v>29</v>
      </c>
      <c r="B96" s="22" t="n">
        <v>36245</v>
      </c>
      <c r="C96" s="23" t="n">
        <v>-50000</v>
      </c>
      <c r="D96" s="24" t="n">
        <v>61.3</v>
      </c>
      <c r="E96" s="25" t="n">
        <f aca="false">IF(C96&gt;0,-C96/50000*12.5,C96/50000*12.5)</f>
        <v>-12.5</v>
      </c>
      <c r="F96" s="25" t="n">
        <f aca="false">+Sheet2!E$9</f>
        <v>25</v>
      </c>
      <c r="G96" s="24" t="n">
        <f aca="false">IF(C96&gt;0,F96-D96,D96-F96)</f>
        <v>36.3</v>
      </c>
      <c r="H96" s="24" t="n">
        <f aca="false">(-C96/10000)*G96*100+E96</f>
        <v>18137.5</v>
      </c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2.75" hidden="false" customHeight="false" outlineLevel="0" collapsed="false">
      <c r="A97" s="21" t="s">
        <v>29</v>
      </c>
      <c r="B97" s="22" t="n">
        <v>36257</v>
      </c>
      <c r="C97" s="23" t="n">
        <v>100000</v>
      </c>
      <c r="D97" s="24" t="n">
        <v>61.2</v>
      </c>
      <c r="E97" s="25" t="n">
        <f aca="false">IF(C97&gt;0,-C97/50000*12.5,C97/50000*12.5)</f>
        <v>-25</v>
      </c>
      <c r="F97" s="25" t="n">
        <f aca="false">+Sheet2!E$9</f>
        <v>25</v>
      </c>
      <c r="G97" s="24" t="n">
        <f aca="false">IF(C97&gt;0,F97-D97,D97-F97)</f>
        <v>-36.2</v>
      </c>
      <c r="H97" s="24" t="n">
        <f aca="false">(C97/10000)*G97*100+E97</f>
        <v>-36225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2.75" hidden="false" customHeight="false" outlineLevel="0" collapsed="false">
      <c r="A98" s="21" t="s">
        <v>29</v>
      </c>
      <c r="B98" s="22" t="n">
        <v>36258</v>
      </c>
      <c r="C98" s="23" t="n">
        <v>50000</v>
      </c>
      <c r="D98" s="24" t="n">
        <v>61.65</v>
      </c>
      <c r="E98" s="25" t="n">
        <f aca="false">IF(C98&gt;0,-C98/50000*12.5,C98/50000*12.5)</f>
        <v>-12.5</v>
      </c>
      <c r="F98" s="25" t="n">
        <f aca="false">+Sheet2!E$9</f>
        <v>25</v>
      </c>
      <c r="G98" s="24" t="n">
        <f aca="false">IF(C98&gt;0,F98-D98,D98-F98)</f>
        <v>-36.65</v>
      </c>
      <c r="H98" s="24" t="n">
        <f aca="false">(C98/10000)*G98*100+E98</f>
        <v>-18337.5</v>
      </c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2.75" hidden="false" customHeight="false" outlineLevel="0" collapsed="false">
      <c r="A99" s="21" t="s">
        <v>29</v>
      </c>
      <c r="B99" s="22" t="n">
        <v>36258</v>
      </c>
      <c r="C99" s="23" t="n">
        <v>50000</v>
      </c>
      <c r="D99" s="24" t="n">
        <v>61.95</v>
      </c>
      <c r="E99" s="25" t="n">
        <f aca="false">IF(C99&gt;0,-C99/50000*12.5,C99/50000*12.5)</f>
        <v>-12.5</v>
      </c>
      <c r="F99" s="25" t="n">
        <f aca="false">+Sheet2!E$9</f>
        <v>25</v>
      </c>
      <c r="G99" s="24" t="n">
        <f aca="false">IF(C99&gt;0,F99-D99,D99-F99)</f>
        <v>-36.95</v>
      </c>
      <c r="H99" s="24" t="n">
        <f aca="false">(C99/10000)*G99*100+E99</f>
        <v>-18487.5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2.75" hidden="false" customHeight="false" outlineLevel="0" collapsed="false">
      <c r="A100" s="21" t="s">
        <v>29</v>
      </c>
      <c r="B100" s="22" t="n">
        <v>36258</v>
      </c>
      <c r="C100" s="23" t="n">
        <v>-100000</v>
      </c>
      <c r="D100" s="24" t="n">
        <v>61.45</v>
      </c>
      <c r="E100" s="25" t="n">
        <f aca="false">IF(C100&gt;0,-C100/50000*12.5,C100/50000*12.5)</f>
        <v>-25</v>
      </c>
      <c r="F100" s="25" t="n">
        <f aca="false">+Sheet2!E$9</f>
        <v>25</v>
      </c>
      <c r="G100" s="24" t="n">
        <f aca="false">IF(C100&gt;0,F100-D100,D100-F100)</f>
        <v>36.45</v>
      </c>
      <c r="H100" s="24" t="n">
        <f aca="false">(-C100/10000)*G100*100+E100</f>
        <v>36425</v>
      </c>
      <c r="I100" s="26" t="s">
        <v>30</v>
      </c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2.75" hidden="false" customHeight="false" outlineLevel="0" collapsed="false">
      <c r="A101" s="21" t="s">
        <v>29</v>
      </c>
      <c r="B101" s="22" t="n">
        <v>36263</v>
      </c>
      <c r="C101" s="23" t="n">
        <v>-100000</v>
      </c>
      <c r="D101" s="24" t="n">
        <v>60.15</v>
      </c>
      <c r="E101" s="25" t="n">
        <f aca="false">IF(C101&gt;0,-C101/50000*12.5,C101/50000*12.5)</f>
        <v>-25</v>
      </c>
      <c r="F101" s="25" t="n">
        <f aca="false">+Sheet2!E$9</f>
        <v>25</v>
      </c>
      <c r="G101" s="24" t="n">
        <f aca="false">IF(C101&gt;0,F101-D101,D101-F101)</f>
        <v>35.15</v>
      </c>
      <c r="H101" s="24" t="n">
        <f aca="false">(-C101/10000)*G101*100+E101</f>
        <v>35125</v>
      </c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2.75" hidden="false" customHeight="false" outlineLevel="0" collapsed="false">
      <c r="A102" s="28"/>
      <c r="B102" s="22"/>
      <c r="C102" s="23"/>
      <c r="D102" s="24"/>
      <c r="E102" s="25"/>
      <c r="F102" s="25"/>
      <c r="G102" s="24"/>
      <c r="H102" s="24"/>
      <c r="I102" s="26"/>
      <c r="J102" s="29" t="n">
        <f aca="false">SUM(H87:H102)</f>
        <v>-2245</v>
      </c>
      <c r="K102" s="30" t="s">
        <v>31</v>
      </c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</row>
    <row r="103" customFormat="false" ht="12.75" hidden="false" customHeight="false" outlineLevel="0" collapsed="false">
      <c r="A103" s="36"/>
      <c r="B103" s="22"/>
      <c r="C103" s="23"/>
      <c r="D103" s="24"/>
      <c r="E103" s="25"/>
      <c r="F103" s="25"/>
      <c r="G103" s="24"/>
      <c r="H103" s="24"/>
      <c r="I103" s="26"/>
      <c r="J103" s="31" t="n">
        <f aca="false">SUM(C87:C102)/50000</f>
        <v>0</v>
      </c>
      <c r="K103" s="30" t="s">
        <v>16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</row>
    <row r="104" customFormat="false" ht="12.75" hidden="false" customHeight="false" outlineLevel="0" collapsed="false">
      <c r="A104" s="28"/>
      <c r="B104" s="22"/>
      <c r="C104" s="23"/>
      <c r="D104" s="24"/>
      <c r="E104" s="25"/>
      <c r="F104" s="25"/>
      <c r="G104" s="24"/>
      <c r="H104" s="24"/>
      <c r="I104" s="26"/>
      <c r="J104" s="32"/>
      <c r="K104" s="30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2.75" hidden="false" customHeight="false" outlineLevel="0" collapsed="false">
      <c r="A105" s="21" t="s">
        <v>32</v>
      </c>
      <c r="B105" s="22" t="n">
        <v>36244</v>
      </c>
      <c r="C105" s="23" t="n">
        <v>50000</v>
      </c>
      <c r="D105" s="24" t="n">
        <v>71.7</v>
      </c>
      <c r="E105" s="25" t="n">
        <f aca="false">IF(C105&gt;0,-C105/50000*12.5,C105/50000*12.5)</f>
        <v>-12.5</v>
      </c>
      <c r="F105" s="25" t="n">
        <f aca="false">+Sheet2!F$9</f>
        <v>25</v>
      </c>
      <c r="G105" s="24" t="n">
        <f aca="false">IF(C105&gt;0,F105-D105,D105-F105)</f>
        <v>-46.7</v>
      </c>
      <c r="H105" s="24" t="n">
        <f aca="false">(C105/10000)*G105*100+E105</f>
        <v>-23362.5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2.75" hidden="false" customHeight="false" outlineLevel="0" collapsed="false">
      <c r="A106" s="21" t="s">
        <v>32</v>
      </c>
      <c r="B106" s="22" t="n">
        <v>36244</v>
      </c>
      <c r="C106" s="23" t="n">
        <v>-50000</v>
      </c>
      <c r="D106" s="24" t="n">
        <v>71.2</v>
      </c>
      <c r="E106" s="25" t="n">
        <f aca="false">IF(C106&gt;0,-C106/50000*12.5,C106/50000*12.5)</f>
        <v>-12.5</v>
      </c>
      <c r="F106" s="25" t="n">
        <f aca="false">+Sheet2!F$9</f>
        <v>25</v>
      </c>
      <c r="G106" s="24" t="n">
        <f aca="false">IF(C106&gt;0,F106-D106,D106-F106)</f>
        <v>46.2</v>
      </c>
      <c r="H106" s="24" t="n">
        <f aca="false">(-C106/10000)*G106*100+E106</f>
        <v>23087.5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2.75" hidden="false" customHeight="false" outlineLevel="0" collapsed="false">
      <c r="A107" s="28"/>
      <c r="B107" s="22"/>
      <c r="C107" s="23"/>
      <c r="D107" s="24"/>
      <c r="E107" s="25"/>
      <c r="F107" s="25"/>
      <c r="G107" s="24"/>
      <c r="H107" s="24"/>
      <c r="I107" s="26"/>
      <c r="J107" s="29" t="n">
        <f aca="false">SUM(H105:H107)</f>
        <v>-275</v>
      </c>
      <c r="K107" s="30" t="s">
        <v>33</v>
      </c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2.75" hidden="false" customHeight="false" outlineLevel="0" collapsed="false">
      <c r="A108" s="36"/>
      <c r="B108" s="22"/>
      <c r="C108" s="23"/>
      <c r="D108" s="24"/>
      <c r="E108" s="25"/>
      <c r="F108" s="25"/>
      <c r="G108" s="24"/>
      <c r="H108" s="24"/>
      <c r="I108" s="26"/>
      <c r="J108" s="31" t="n">
        <f aca="false">SUM(C105:C107)/50000</f>
        <v>0</v>
      </c>
      <c r="K108" s="30" t="s">
        <v>16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2.75" hidden="false" customHeight="false" outlineLevel="0" collapsed="false">
      <c r="A109" s="28"/>
      <c r="B109" s="22"/>
      <c r="C109" s="23"/>
      <c r="D109" s="24"/>
      <c r="E109" s="25"/>
      <c r="F109" s="25"/>
      <c r="G109" s="24"/>
      <c r="H109" s="24"/>
      <c r="I109" s="26"/>
      <c r="J109" s="32"/>
      <c r="K109" s="30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2.75" hidden="false" customHeight="false" outlineLevel="0" collapsed="false">
      <c r="A110" s="21" t="s">
        <v>34</v>
      </c>
      <c r="B110" s="22" t="n">
        <v>36251</v>
      </c>
      <c r="C110" s="23" t="n">
        <v>80000</v>
      </c>
      <c r="D110" s="34" t="n">
        <v>64.5</v>
      </c>
      <c r="E110" s="25" t="n">
        <f aca="false">IF(C110&gt;0,-C110/40000*12.5,C110/40000*12.5)</f>
        <v>-25</v>
      </c>
      <c r="F110" s="35" t="n">
        <f aca="false">+Sheet2!$I$9</f>
        <v>62.15</v>
      </c>
      <c r="G110" s="34" t="n">
        <f aca="false">IF(C110&gt;0,F110-D110,D110-F110)</f>
        <v>-2.35</v>
      </c>
      <c r="H110" s="24" t="n">
        <f aca="false">(C110/10000)*G110*100+E110</f>
        <v>-1905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2.75" hidden="false" customHeight="false" outlineLevel="0" collapsed="false">
      <c r="A111" s="21" t="s">
        <v>34</v>
      </c>
      <c r="B111" s="22" t="n">
        <v>36251</v>
      </c>
      <c r="C111" s="23" t="n">
        <v>80000</v>
      </c>
      <c r="D111" s="34" t="n">
        <v>64.75</v>
      </c>
      <c r="E111" s="25" t="n">
        <f aca="false">IF(C111&gt;0,-C111/40000*12.5,C111/40000*12.5)</f>
        <v>-25</v>
      </c>
      <c r="F111" s="35" t="n">
        <f aca="false">+Sheet2!$I$9</f>
        <v>62.15</v>
      </c>
      <c r="G111" s="34" t="n">
        <f aca="false">IF(C111&gt;0,F111-D111,D111-F111)</f>
        <v>-2.6</v>
      </c>
      <c r="H111" s="24" t="n">
        <f aca="false">(C111/10000)*G111*100+E111</f>
        <v>-2105</v>
      </c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2.75" hidden="false" customHeight="false" outlineLevel="0" collapsed="false">
      <c r="A112" s="21" t="s">
        <v>34</v>
      </c>
      <c r="B112" s="22" t="n">
        <v>36257</v>
      </c>
      <c r="C112" s="23" t="n">
        <v>-80000</v>
      </c>
      <c r="D112" s="34" t="n">
        <v>64.875</v>
      </c>
      <c r="E112" s="25" t="n">
        <f aca="false">IF(C112&gt;0,-C112/40000*12.5,C112/40000*12.5)</f>
        <v>-25</v>
      </c>
      <c r="F112" s="35" t="n">
        <f aca="false">+Sheet2!$I$9</f>
        <v>62.15</v>
      </c>
      <c r="G112" s="34" t="n">
        <f aca="false">IF(C112&gt;0,F112-D112,D112-F112)</f>
        <v>2.725</v>
      </c>
      <c r="H112" s="24" t="n">
        <f aca="false">(-C112/10000)*G112*100+E112</f>
        <v>2155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2.75" hidden="false" customHeight="false" outlineLevel="0" collapsed="false">
      <c r="A113" s="21" t="s">
        <v>34</v>
      </c>
      <c r="B113" s="22" t="n">
        <v>36258</v>
      </c>
      <c r="C113" s="23" t="n">
        <v>-160000</v>
      </c>
      <c r="D113" s="34" t="n">
        <v>64.5</v>
      </c>
      <c r="E113" s="25" t="n">
        <f aca="false">IF(C113&gt;0,-C113/40000*12.5,C113/40000*12.5)</f>
        <v>-50</v>
      </c>
      <c r="F113" s="35" t="n">
        <f aca="false">+Sheet2!$I$9</f>
        <v>62.15</v>
      </c>
      <c r="G113" s="34" t="n">
        <f aca="false">IF(C113&gt;0,F113-D113,D113-F113)</f>
        <v>2.35</v>
      </c>
      <c r="H113" s="24" t="n">
        <f aca="false">(-C113/10000)*G113*100+E113</f>
        <v>3710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2.75" hidden="false" customHeight="false" outlineLevel="0" collapsed="false">
      <c r="A114" s="21" t="s">
        <v>34</v>
      </c>
      <c r="B114" s="22" t="n">
        <v>36262</v>
      </c>
      <c r="C114" s="23" t="n">
        <v>-80000</v>
      </c>
      <c r="D114" s="34" t="n">
        <v>65.15</v>
      </c>
      <c r="E114" s="25" t="n">
        <f aca="false">IF(C114&gt;0,-C114/40000*12.5,C114/40000*12.5)</f>
        <v>-25</v>
      </c>
      <c r="F114" s="35" t="n">
        <f aca="false">+Sheet2!$I$9</f>
        <v>62.15</v>
      </c>
      <c r="G114" s="34" t="n">
        <f aca="false">IF(C114&gt;0,F114-D114,D114-F114)</f>
        <v>3.00000000000001</v>
      </c>
      <c r="H114" s="24" t="n">
        <f aca="false">(-C114/10000)*G114*100+E114</f>
        <v>2375.00000000001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2.75" hidden="false" customHeight="false" outlineLevel="0" collapsed="false">
      <c r="A115" s="21" t="s">
        <v>34</v>
      </c>
      <c r="B115" s="22" t="n">
        <v>36263</v>
      </c>
      <c r="C115" s="23" t="n">
        <v>-80000</v>
      </c>
      <c r="D115" s="34" t="n">
        <v>64.65</v>
      </c>
      <c r="E115" s="25" t="n">
        <f aca="false">IF(C115&gt;0,-C115/40000*12.5,C115/40000*12.5)</f>
        <v>-25</v>
      </c>
      <c r="F115" s="35" t="n">
        <f aca="false">+Sheet2!$I$9</f>
        <v>62.15</v>
      </c>
      <c r="G115" s="34" t="n">
        <f aca="false">IF(C115&gt;0,F115-D115,D115-F115)</f>
        <v>2.50000000000001</v>
      </c>
      <c r="H115" s="24" t="n">
        <f aca="false">(-C115/10000)*G115*100+E115</f>
        <v>1975.00000000001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2.75" hidden="false" customHeight="false" outlineLevel="0" collapsed="false">
      <c r="A116" s="21" t="s">
        <v>34</v>
      </c>
      <c r="B116" s="22" t="n">
        <v>36264</v>
      </c>
      <c r="C116" s="23" t="n">
        <v>40000</v>
      </c>
      <c r="D116" s="34" t="n">
        <v>63.6</v>
      </c>
      <c r="E116" s="25" t="n">
        <f aca="false">IF(C116&gt;0,-C116/40000*12.5,C116/40000*12.5)</f>
        <v>-12.5</v>
      </c>
      <c r="F116" s="35" t="n">
        <f aca="false">+Sheet2!$I$9</f>
        <v>62.15</v>
      </c>
      <c r="G116" s="34" t="n">
        <f aca="false">IF(C116&gt;0,F116-D116,D116-F116)</f>
        <v>-1.45</v>
      </c>
      <c r="H116" s="24" t="n">
        <f aca="false">(C116/10000)*G116*100+E116</f>
        <v>-592.500000000001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2.75" hidden="false" customHeight="false" outlineLevel="0" collapsed="false">
      <c r="A117" s="21" t="s">
        <v>34</v>
      </c>
      <c r="B117" s="22" t="n">
        <v>36265</v>
      </c>
      <c r="C117" s="23" t="n">
        <v>-40000</v>
      </c>
      <c r="D117" s="34" t="n">
        <v>63.75</v>
      </c>
      <c r="E117" s="25" t="n">
        <f aca="false">IF(C117&gt;0,-C117/40000*12.5,C117/40000*12.5)</f>
        <v>-12.5</v>
      </c>
      <c r="F117" s="35" t="n">
        <f aca="false">+Sheet2!$I$9</f>
        <v>62.15</v>
      </c>
      <c r="G117" s="34" t="n">
        <f aca="false">IF(C117&gt;0,F117-D117,D117-F117)</f>
        <v>1.6</v>
      </c>
      <c r="H117" s="24" t="n">
        <f aca="false">(-C117/10000)*G117*100+E117</f>
        <v>627.500000000001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2.75" hidden="false" customHeight="false" outlineLevel="0" collapsed="false">
      <c r="A118" s="21" t="s">
        <v>34</v>
      </c>
      <c r="B118" s="22" t="n">
        <v>36269</v>
      </c>
      <c r="C118" s="23" t="n">
        <v>80000</v>
      </c>
      <c r="D118" s="34" t="n">
        <v>63.125</v>
      </c>
      <c r="E118" s="25" t="n">
        <f aca="false">IF(C118&gt;0,-C118/40000*12.5,C118/40000*12.5)</f>
        <v>-25</v>
      </c>
      <c r="F118" s="35" t="n">
        <f aca="false">+Sheet2!$I$9</f>
        <v>62.15</v>
      </c>
      <c r="G118" s="34" t="n">
        <f aca="false">IF(C118&gt;0,F118-D118,D118-F118)</f>
        <v>-0.975000000000001</v>
      </c>
      <c r="H118" s="24" t="n">
        <f aca="false">(C118/10000)*G118*100+E118</f>
        <v>-805.000000000001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2.75" hidden="false" customHeight="false" outlineLevel="0" collapsed="false">
      <c r="A119" s="21" t="s">
        <v>34</v>
      </c>
      <c r="B119" s="22" t="n">
        <v>36269</v>
      </c>
      <c r="C119" s="23" t="n">
        <v>80000</v>
      </c>
      <c r="D119" s="34" t="n">
        <v>63.45</v>
      </c>
      <c r="E119" s="25" t="n">
        <f aca="false">IF(C119&gt;0,-C119/40000*12.5,C119/40000*12.5)</f>
        <v>-25</v>
      </c>
      <c r="F119" s="35" t="n">
        <f aca="false">+Sheet2!$I$9</f>
        <v>62.15</v>
      </c>
      <c r="G119" s="34" t="n">
        <f aca="false">IF(C119&gt;0,F119-D119,D119-F119)</f>
        <v>-1.3</v>
      </c>
      <c r="H119" s="24" t="n">
        <f aca="false">(C119/10000)*G119*100+E119</f>
        <v>-1065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2.75" hidden="false" customHeight="false" outlineLevel="0" collapsed="false">
      <c r="A120" s="21" t="s">
        <v>34</v>
      </c>
      <c r="B120" s="22" t="n">
        <v>36271</v>
      </c>
      <c r="C120" s="23" t="n">
        <v>-80000</v>
      </c>
      <c r="D120" s="34" t="n">
        <v>63.4</v>
      </c>
      <c r="E120" s="25" t="n">
        <f aca="false">IF(C120&gt;0,-C120/40000*12.5,C120/40000*12.5)</f>
        <v>-25</v>
      </c>
      <c r="F120" s="35" t="n">
        <f aca="false">+Sheet2!$I$9</f>
        <v>62.15</v>
      </c>
      <c r="G120" s="34" t="n">
        <f aca="false">IF(C120&gt;0,F120-D120,D120-F120)</f>
        <v>1.25</v>
      </c>
      <c r="H120" s="24" t="n">
        <f aca="false">(-C120/10000)*G120*100+E120</f>
        <v>975</v>
      </c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2.75" hidden="false" customHeight="false" outlineLevel="0" collapsed="false">
      <c r="A121" s="21" t="s">
        <v>34</v>
      </c>
      <c r="B121" s="22" t="n">
        <v>36272</v>
      </c>
      <c r="C121" s="23" t="n">
        <v>80000</v>
      </c>
      <c r="D121" s="34" t="n">
        <v>63.175</v>
      </c>
      <c r="E121" s="25" t="n">
        <f aca="false">IF(C121&gt;0,-C121/40000*12.5,C121/40000*12.5)</f>
        <v>-25</v>
      </c>
      <c r="F121" s="35" t="n">
        <f aca="false">+Sheet2!$I$9</f>
        <v>62.15</v>
      </c>
      <c r="G121" s="34" t="n">
        <f aca="false">IF(C121&gt;0,F121-D121,D121-F121)</f>
        <v>-1.025</v>
      </c>
      <c r="H121" s="24" t="n">
        <f aca="false">(C121/10000)*G121*100+E121</f>
        <v>-844.999999999999</v>
      </c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2.75" hidden="false" customHeight="false" outlineLevel="0" collapsed="false">
      <c r="A122" s="21" t="s">
        <v>34</v>
      </c>
      <c r="B122" s="22" t="n">
        <v>36272</v>
      </c>
      <c r="C122" s="23" t="n">
        <v>-160000</v>
      </c>
      <c r="D122" s="34" t="n">
        <v>63</v>
      </c>
      <c r="E122" s="25" t="n">
        <f aca="false">IF(C122&gt;0,-C122/40000*12.5,C122/40000*12.5)</f>
        <v>-50</v>
      </c>
      <c r="F122" s="35" t="n">
        <f aca="false">+Sheet2!$I$9</f>
        <v>62.15</v>
      </c>
      <c r="G122" s="34" t="n">
        <f aca="false">IF(C122&gt;0,F122-D122,D122-F122)</f>
        <v>0.850000000000001</v>
      </c>
      <c r="H122" s="24" t="n">
        <f aca="false">(-C122/10000)*G122*100+E122</f>
        <v>1310</v>
      </c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2.75" hidden="false" customHeight="false" outlineLevel="0" collapsed="false">
      <c r="A123" s="21" t="s">
        <v>34</v>
      </c>
      <c r="B123" s="22" t="n">
        <v>36273</v>
      </c>
      <c r="C123" s="23" t="n">
        <v>-80000</v>
      </c>
      <c r="D123" s="34" t="n">
        <v>62.7</v>
      </c>
      <c r="E123" s="25" t="n">
        <f aca="false">IF(C123&gt;0,-C123/40000*12.5,C123/40000*12.5)</f>
        <v>-25</v>
      </c>
      <c r="F123" s="35" t="n">
        <f aca="false">+Sheet2!$I$9</f>
        <v>62.15</v>
      </c>
      <c r="G123" s="34" t="n">
        <f aca="false">IF(C123&gt;0,F123-D123,D123-F123)</f>
        <v>0.550000000000004</v>
      </c>
      <c r="H123" s="24" t="n">
        <f aca="false">(-C123/10000)*G123*100+E123</f>
        <v>415.000000000003</v>
      </c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2.75" hidden="false" customHeight="false" outlineLevel="0" collapsed="false">
      <c r="A124" s="21" t="s">
        <v>34</v>
      </c>
      <c r="B124" s="22" t="n">
        <v>36273</v>
      </c>
      <c r="C124" s="23" t="n">
        <v>160000</v>
      </c>
      <c r="D124" s="34" t="n">
        <v>62.825</v>
      </c>
      <c r="E124" s="25" t="n">
        <f aca="false">IF(C124&gt;0,-C124/40000*12.5,C124/40000*12.5)</f>
        <v>-50</v>
      </c>
      <c r="F124" s="35" t="n">
        <f aca="false">+Sheet2!$I$9</f>
        <v>62.15</v>
      </c>
      <c r="G124" s="34" t="n">
        <f aca="false">IF(C124&gt;0,F124-D124,D124-F124)</f>
        <v>-0.675000000000004</v>
      </c>
      <c r="H124" s="24" t="n">
        <f aca="false">(C124/10000)*G124*100+E124</f>
        <v>-1130.00000000001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2.75" hidden="false" customHeight="false" outlineLevel="0" collapsed="false">
      <c r="A125" s="21" t="s">
        <v>34</v>
      </c>
      <c r="B125" s="22" t="n">
        <v>36273</v>
      </c>
      <c r="C125" s="23" t="n">
        <v>-80000</v>
      </c>
      <c r="D125" s="34" t="n">
        <v>62.95</v>
      </c>
      <c r="E125" s="25" t="n">
        <f aca="false">IF(C125&gt;0,-C125/40000*12.5,C125/40000*12.5)</f>
        <v>-25</v>
      </c>
      <c r="F125" s="35" t="n">
        <f aca="false">+Sheet2!$I$9</f>
        <v>62.15</v>
      </c>
      <c r="G125" s="34" t="n">
        <f aca="false">IF(C125&gt;0,F125-D125,D125-F125)</f>
        <v>0.800000000000004</v>
      </c>
      <c r="H125" s="24" t="n">
        <f aca="false">(-C125/10000)*G125*100+E125</f>
        <v>615.000000000003</v>
      </c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2.75" hidden="false" customHeight="false" outlineLevel="0" collapsed="false">
      <c r="A126" s="21" t="s">
        <v>34</v>
      </c>
      <c r="B126" s="22" t="n">
        <v>36276</v>
      </c>
      <c r="C126" s="23" t="n">
        <v>160000</v>
      </c>
      <c r="D126" s="34" t="n">
        <v>63.35</v>
      </c>
      <c r="E126" s="25" t="n">
        <f aca="false">IF(C126&gt;0,-C126/40000*12.5,C126/40000*12.5)</f>
        <v>-50</v>
      </c>
      <c r="F126" s="35" t="n">
        <f aca="false">+Sheet2!$I$9</f>
        <v>62.15</v>
      </c>
      <c r="G126" s="34" t="n">
        <f aca="false">IF(C126&gt;0,F126-D126,D126-F126)</f>
        <v>-1.2</v>
      </c>
      <c r="H126" s="24" t="n">
        <f aca="false">(C126/10000)*G126*100+E126</f>
        <v>-1970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2.75" hidden="false" customHeight="false" outlineLevel="0" collapsed="false">
      <c r="A127" s="21" t="s">
        <v>34</v>
      </c>
      <c r="B127" s="22" t="n">
        <v>36276</v>
      </c>
      <c r="C127" s="23" t="n">
        <v>80000</v>
      </c>
      <c r="D127" s="34" t="n">
        <v>63.6</v>
      </c>
      <c r="E127" s="25" t="n">
        <f aca="false">IF(C127&gt;0,-C127/40000*12.5,C127/40000*12.5)</f>
        <v>-25</v>
      </c>
      <c r="F127" s="35" t="n">
        <f aca="false">+Sheet2!$I$9</f>
        <v>62.15</v>
      </c>
      <c r="G127" s="34" t="n">
        <f aca="false">IF(C127&gt;0,F127-D127,D127-F127)</f>
        <v>-1.45</v>
      </c>
      <c r="H127" s="24" t="n">
        <f aca="false">(C127/10000)*G127*100+E127</f>
        <v>-1185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2.75" hidden="false" customHeight="false" outlineLevel="0" collapsed="false">
      <c r="A128" s="21" t="s">
        <v>34</v>
      </c>
      <c r="B128" s="22" t="n">
        <v>36278</v>
      </c>
      <c r="C128" s="23" t="n">
        <v>-160000</v>
      </c>
      <c r="D128" s="34" t="n">
        <v>63.475</v>
      </c>
      <c r="E128" s="25" t="n">
        <f aca="false">IF(C128&gt;0,-C128/40000*12.5,C128/40000*12.5)</f>
        <v>-50</v>
      </c>
      <c r="F128" s="35" t="n">
        <f aca="false">+Sheet2!$I$9</f>
        <v>62.15</v>
      </c>
      <c r="G128" s="34" t="n">
        <f aca="false">IF(C128&gt;0,F128-D128,D128-F128)</f>
        <v>1.325</v>
      </c>
      <c r="H128" s="24" t="n">
        <f aca="false">(-C128/10000)*G128*100+E128</f>
        <v>2070</v>
      </c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2.75" hidden="false" customHeight="false" outlineLevel="0" collapsed="false">
      <c r="A129" s="21" t="s">
        <v>34</v>
      </c>
      <c r="B129" s="22" t="n">
        <v>36278</v>
      </c>
      <c r="C129" s="23" t="n">
        <v>-80000</v>
      </c>
      <c r="D129" s="34" t="n">
        <v>63.475</v>
      </c>
      <c r="E129" s="25" t="n">
        <f aca="false">IF(C129&gt;0,-C129/40000*12.5,C129/40000*12.5)</f>
        <v>-25</v>
      </c>
      <c r="F129" s="35" t="n">
        <f aca="false">+Sheet2!$I$9</f>
        <v>62.15</v>
      </c>
      <c r="G129" s="34" t="n">
        <f aca="false">IF(C129&gt;0,F129-D129,D129-F129)</f>
        <v>1.325</v>
      </c>
      <c r="H129" s="24" t="n">
        <f aca="false">(-C129/10000)*G129*100+E129</f>
        <v>1035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2.75" hidden="false" customHeight="false" outlineLevel="0" collapsed="false">
      <c r="A130" s="21" t="s">
        <v>34</v>
      </c>
      <c r="B130" s="22" t="n">
        <v>36279</v>
      </c>
      <c r="C130" s="23" t="n">
        <v>-80000</v>
      </c>
      <c r="D130" s="34" t="n">
        <v>63.2</v>
      </c>
      <c r="E130" s="25" t="n">
        <f aca="false">IF(C130&gt;0,-C130/40000*12.5,C130/40000*12.5)</f>
        <v>-25</v>
      </c>
      <c r="F130" s="35" t="n">
        <f aca="false">+Sheet2!$I$9</f>
        <v>62.15</v>
      </c>
      <c r="G130" s="34" t="n">
        <f aca="false">IF(C130&gt;0,F130-D130,D130-F130)</f>
        <v>1.05</v>
      </c>
      <c r="H130" s="24" t="n">
        <f aca="false">(-C130/10000)*G130*100+E130</f>
        <v>815.000000000003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2.75" hidden="false" customHeight="false" outlineLevel="0" collapsed="false">
      <c r="A131" s="21" t="s">
        <v>34</v>
      </c>
      <c r="B131" s="22" t="n">
        <v>36279</v>
      </c>
      <c r="C131" s="23" t="n">
        <v>80000</v>
      </c>
      <c r="D131" s="34" t="n">
        <v>63.475</v>
      </c>
      <c r="E131" s="25" t="n">
        <f aca="false">IF(C131&gt;0,-C131/40000*12.5,C131/40000*12.5)</f>
        <v>-25</v>
      </c>
      <c r="F131" s="35" t="n">
        <f aca="false">+Sheet2!$I$9</f>
        <v>62.15</v>
      </c>
      <c r="G131" s="34" t="n">
        <f aca="false">IF(C131&gt;0,F131-D131,D131-F131)</f>
        <v>-1.325</v>
      </c>
      <c r="H131" s="24" t="n">
        <f aca="false">(C131/10000)*G131*100+E131</f>
        <v>-1085</v>
      </c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2.75" hidden="false" customHeight="false" outlineLevel="0" collapsed="false">
      <c r="A132" s="21" t="s">
        <v>34</v>
      </c>
      <c r="B132" s="22" t="n">
        <v>36279</v>
      </c>
      <c r="C132" s="23" t="n">
        <v>160000</v>
      </c>
      <c r="D132" s="34" t="n">
        <v>63.3</v>
      </c>
      <c r="E132" s="25" t="n">
        <f aca="false">IF(C132&gt;0,-C132/40000*12.5,C132/40000*12.5)</f>
        <v>-50</v>
      </c>
      <c r="F132" s="35" t="n">
        <f aca="false">+Sheet2!$I$9</f>
        <v>62.15</v>
      </c>
      <c r="G132" s="34" t="n">
        <f aca="false">IF(C132&gt;0,F132-D132,D132-F132)</f>
        <v>-1.15</v>
      </c>
      <c r="H132" s="24" t="n">
        <f aca="false">(C132/10000)*G132*100+E132</f>
        <v>-1890</v>
      </c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2.75" hidden="false" customHeight="false" outlineLevel="0" collapsed="false">
      <c r="A133" s="21" t="s">
        <v>34</v>
      </c>
      <c r="B133" s="22" t="n">
        <v>36283</v>
      </c>
      <c r="C133" s="23" t="n">
        <v>160000</v>
      </c>
      <c r="D133" s="34" t="n">
        <v>62.925</v>
      </c>
      <c r="E133" s="25" t="n">
        <f aca="false">IF(C133&gt;0,-C133/40000*12.5,C133/40000*12.5)</f>
        <v>-50</v>
      </c>
      <c r="F133" s="35" t="n">
        <f aca="false">+Sheet2!$I$9</f>
        <v>62.15</v>
      </c>
      <c r="G133" s="34" t="n">
        <f aca="false">IF(C133&gt;0,F133-D133,D133-F133)</f>
        <v>-0.774999999999999</v>
      </c>
      <c r="H133" s="24" t="n">
        <f aca="false">(C133/10000)*G133*100+E133</f>
        <v>-1290</v>
      </c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2.75" hidden="false" customHeight="false" outlineLevel="0" collapsed="false">
      <c r="A134" s="21" t="s">
        <v>34</v>
      </c>
      <c r="B134" s="22" t="n">
        <v>36283</v>
      </c>
      <c r="C134" s="23" t="n">
        <v>80000</v>
      </c>
      <c r="D134" s="34" t="n">
        <v>63.075</v>
      </c>
      <c r="E134" s="25" t="n">
        <f aca="false">IF(C134&gt;0,-C134/40000*12.5,C134/40000*12.5)</f>
        <v>-25</v>
      </c>
      <c r="F134" s="35" t="n">
        <f aca="false">+Sheet2!$I$9</f>
        <v>62.15</v>
      </c>
      <c r="G134" s="34" t="n">
        <f aca="false">IF(C134&gt;0,F134-D134,D134-F134)</f>
        <v>-0.925000000000004</v>
      </c>
      <c r="H134" s="24" t="n">
        <f aca="false">(C134/10000)*G134*100+E134</f>
        <v>-765.000000000003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2.75" hidden="false" customHeight="false" outlineLevel="0" collapsed="false">
      <c r="A135" s="21" t="s">
        <v>34</v>
      </c>
      <c r="B135" s="22" t="n">
        <v>36283</v>
      </c>
      <c r="C135" s="23" t="n">
        <v>-160000</v>
      </c>
      <c r="D135" s="34" t="n">
        <v>62.75</v>
      </c>
      <c r="E135" s="25" t="n">
        <f aca="false">IF(C135&gt;0,-C135/40000*12.5,C135/40000*12.5)</f>
        <v>-50</v>
      </c>
      <c r="F135" s="35" t="n">
        <f aca="false">+Sheet2!$I$9</f>
        <v>62.15</v>
      </c>
      <c r="G135" s="34" t="n">
        <f aca="false">IF(C135&gt;0,F135-D135,D135-F135)</f>
        <v>0.600000000000001</v>
      </c>
      <c r="H135" s="24" t="n">
        <f aca="false">(-C135/10000)*G135*100+E135</f>
        <v>910.000000000002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</row>
    <row r="136" customFormat="false" ht="12.75" hidden="false" customHeight="false" outlineLevel="0" collapsed="false">
      <c r="A136" s="21" t="s">
        <v>34</v>
      </c>
      <c r="B136" s="22" t="n">
        <v>36284</v>
      </c>
      <c r="C136" s="23" t="n">
        <v>160000</v>
      </c>
      <c r="D136" s="34" t="n">
        <v>63.15</v>
      </c>
      <c r="E136" s="25" t="n">
        <f aca="false">IF(C136&gt;0,-C136/40000*12.5,C136/40000*12.5)</f>
        <v>-50</v>
      </c>
      <c r="F136" s="35" t="n">
        <f aca="false">+Sheet2!$I$9</f>
        <v>62.15</v>
      </c>
      <c r="G136" s="34" t="n">
        <f aca="false">IF(C136&gt;0,F136-D136,D136-F136)</f>
        <v>-1</v>
      </c>
      <c r="H136" s="24" t="n">
        <f aca="false">(C136/10000)*G136*100+E136</f>
        <v>-1650</v>
      </c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</row>
    <row r="137" customFormat="false" ht="12.75" hidden="false" customHeight="false" outlineLevel="0" collapsed="false">
      <c r="A137" s="21" t="s">
        <v>34</v>
      </c>
      <c r="B137" s="22" t="n">
        <v>36284</v>
      </c>
      <c r="C137" s="23" t="n">
        <v>-160000</v>
      </c>
      <c r="D137" s="34" t="n">
        <v>62.825</v>
      </c>
      <c r="E137" s="25" t="n">
        <f aca="false">IF(C137&gt;0,-C137/40000*12.5,C137/40000*12.5)</f>
        <v>-50</v>
      </c>
      <c r="F137" s="35" t="n">
        <f aca="false">+Sheet2!$I$9</f>
        <v>62.15</v>
      </c>
      <c r="G137" s="34" t="n">
        <f aca="false">IF(C137&gt;0,F137-D137,D137-F137)</f>
        <v>0.675000000000004</v>
      </c>
      <c r="H137" s="24" t="n">
        <f aca="false">(-C137/10000)*G137*100+E137</f>
        <v>1030.00000000001</v>
      </c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2.75" hidden="false" customHeight="false" outlineLevel="0" collapsed="false">
      <c r="A138" s="21" t="s">
        <v>34</v>
      </c>
      <c r="B138" s="22" t="n">
        <v>36284</v>
      </c>
      <c r="C138" s="23" t="n">
        <v>-160000</v>
      </c>
      <c r="D138" s="34" t="n">
        <v>62.65</v>
      </c>
      <c r="E138" s="25" t="n">
        <f aca="false">IF(C138&gt;0,-C138/40000*12.5,C138/40000*12.5)</f>
        <v>-50</v>
      </c>
      <c r="F138" s="35" t="n">
        <f aca="false">+Sheet2!$I$9</f>
        <v>62.15</v>
      </c>
      <c r="G138" s="34" t="n">
        <f aca="false">IF(C138&gt;0,F138-D138,D138-F138)</f>
        <v>0.5</v>
      </c>
      <c r="H138" s="24" t="n">
        <f aca="false">(-C138/10000)*G138*100+E138</f>
        <v>750</v>
      </c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2.75" hidden="false" customHeight="false" outlineLevel="0" collapsed="false">
      <c r="A139" s="21" t="s">
        <v>34</v>
      </c>
      <c r="B139" s="22" t="n">
        <v>36284</v>
      </c>
      <c r="C139" s="23" t="n">
        <v>-80000</v>
      </c>
      <c r="D139" s="34" t="n">
        <v>62.525</v>
      </c>
      <c r="E139" s="25" t="n">
        <f aca="false">IF(C139&gt;0,-C139/40000*12.5,C139/40000*12.5)</f>
        <v>-25</v>
      </c>
      <c r="F139" s="35" t="n">
        <f aca="false">+Sheet2!$I$9</f>
        <v>62.15</v>
      </c>
      <c r="G139" s="34" t="n">
        <f aca="false">IF(C139&gt;0,F139-D139,D139-F139)</f>
        <v>0.375</v>
      </c>
      <c r="H139" s="24" t="n">
        <f aca="false">(-C139/10000)*G139*100+E139</f>
        <v>275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2.75" hidden="false" customHeight="false" outlineLevel="0" collapsed="false">
      <c r="A140" s="21" t="s">
        <v>34</v>
      </c>
      <c r="B140" s="22" t="n">
        <v>36285</v>
      </c>
      <c r="C140" s="23" t="n">
        <v>-80000</v>
      </c>
      <c r="D140" s="34" t="n">
        <v>62.35</v>
      </c>
      <c r="E140" s="25" t="n">
        <f aca="false">IF(C140&gt;0,-C140/40000*12.5,C140/40000*12.5)</f>
        <v>-25</v>
      </c>
      <c r="F140" s="35" t="n">
        <f aca="false">+Sheet2!$I$9</f>
        <v>62.15</v>
      </c>
      <c r="G140" s="34" t="n">
        <f aca="false">IF(C140&gt;0,F140-D140,D140-F140)</f>
        <v>0.200000000000003</v>
      </c>
      <c r="H140" s="24" t="n">
        <f aca="false">(-C140/10000)*G140*100+E140</f>
        <v>135.000000000002</v>
      </c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2.75" hidden="false" customHeight="false" outlineLevel="0" collapsed="false">
      <c r="A141" s="21" t="s">
        <v>34</v>
      </c>
      <c r="B141" s="22" t="n">
        <v>36285</v>
      </c>
      <c r="C141" s="23" t="n">
        <v>160000</v>
      </c>
      <c r="D141" s="34" t="n">
        <v>62.575</v>
      </c>
      <c r="E141" s="25" t="n">
        <f aca="false">IF(C141&gt;0,-C141/40000*12.5,C141/40000*12.5)</f>
        <v>-50</v>
      </c>
      <c r="F141" s="35" t="n">
        <f aca="false">+Sheet2!$I$9</f>
        <v>62.15</v>
      </c>
      <c r="G141" s="34" t="n">
        <f aca="false">IF(C141&gt;0,F141-D141,D141-F141)</f>
        <v>-0.425000000000004</v>
      </c>
      <c r="H141" s="24" t="n">
        <f aca="false">(C141/10000)*G141*100+E141</f>
        <v>-730.000000000007</v>
      </c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2.75" hidden="false" customHeight="false" outlineLevel="0" collapsed="false">
      <c r="A142" s="21" t="s">
        <v>34</v>
      </c>
      <c r="B142" s="22" t="n">
        <v>36290</v>
      </c>
      <c r="C142" s="23" t="n">
        <v>-80000</v>
      </c>
      <c r="D142" s="34" t="n">
        <v>61.225</v>
      </c>
      <c r="E142" s="25" t="n">
        <f aca="false">IF(C142&gt;0,-C142/40000*12.5,C142/40000*12.5)</f>
        <v>-25</v>
      </c>
      <c r="F142" s="35" t="n">
        <f aca="false">+Sheet2!$I$9</f>
        <v>62.15</v>
      </c>
      <c r="G142" s="34" t="n">
        <f aca="false">IF(C142&gt;0,F142-D142,D142-F142)</f>
        <v>-0.924999999999997</v>
      </c>
      <c r="H142" s="24" t="n">
        <f aca="false">(-C142/10000)*G142*100+E142</f>
        <v>-764.999999999998</v>
      </c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2.75" hidden="false" customHeight="false" outlineLevel="0" collapsed="false">
      <c r="A143" s="21" t="s">
        <v>34</v>
      </c>
      <c r="B143" s="22" t="n">
        <v>36291</v>
      </c>
      <c r="C143" s="23" t="n">
        <v>160000</v>
      </c>
      <c r="D143" s="34" t="n">
        <v>61.375</v>
      </c>
      <c r="E143" s="25" t="n">
        <f aca="false">IF(C143&gt;0,-C143/40000*12.5,C143/40000*12.5)</f>
        <v>-50</v>
      </c>
      <c r="F143" s="35" t="n">
        <f aca="false">+Sheet2!$I$9</f>
        <v>62.15</v>
      </c>
      <c r="G143" s="34" t="n">
        <f aca="false">IF(C143&gt;0,F143-D143,D143-F143)</f>
        <v>0.774999999999999</v>
      </c>
      <c r="H143" s="24" t="n">
        <f aca="false">(C143/10000)*G143*100+E143</f>
        <v>1190</v>
      </c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2.75" hidden="false" customHeight="false" outlineLevel="0" collapsed="false">
      <c r="A144" s="21" t="s">
        <v>34</v>
      </c>
      <c r="B144" s="22" t="n">
        <v>36291</v>
      </c>
      <c r="C144" s="23" t="n">
        <v>-80000</v>
      </c>
      <c r="D144" s="34" t="n">
        <v>61.475</v>
      </c>
      <c r="E144" s="25" t="n">
        <f aca="false">IF(C144&gt;0,-C144/40000*12.5,C144/40000*12.5)</f>
        <v>-25</v>
      </c>
      <c r="F144" s="35" t="n">
        <f aca="false">+Sheet2!$I$9</f>
        <v>62.15</v>
      </c>
      <c r="G144" s="34" t="n">
        <f aca="false">IF(C144&gt;0,F144-D144,D144-F144)</f>
        <v>-0.674999999999997</v>
      </c>
      <c r="H144" s="24" t="n">
        <f aca="false">(-C144/10000)*G144*100+E144</f>
        <v>-564.999999999998</v>
      </c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2.75" hidden="false" customHeight="false" outlineLevel="0" collapsed="false">
      <c r="A145" s="21" t="s">
        <v>34</v>
      </c>
      <c r="B145" s="22" t="n">
        <v>36291</v>
      </c>
      <c r="C145" s="23" t="n">
        <v>120000</v>
      </c>
      <c r="D145" s="34" t="n">
        <v>61.625</v>
      </c>
      <c r="E145" s="25" t="n">
        <f aca="false">IF(C145&gt;0,-C145/40000*12.5,C145/40000*12.5)</f>
        <v>-37.5</v>
      </c>
      <c r="F145" s="35" t="n">
        <f aca="false">+Sheet2!$I$9</f>
        <v>62.15</v>
      </c>
      <c r="G145" s="34" t="n">
        <f aca="false">IF(C145&gt;0,F145-D145,D145-F145)</f>
        <v>0.524999999999999</v>
      </c>
      <c r="H145" s="24" t="n">
        <f aca="false">(C145/10000)*G145*100+E145</f>
        <v>592.499999999998</v>
      </c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2.75" hidden="false" customHeight="false" outlineLevel="0" collapsed="false">
      <c r="A146" s="21" t="s">
        <v>34</v>
      </c>
      <c r="B146" s="22" t="n">
        <v>36291</v>
      </c>
      <c r="C146" s="23" t="n">
        <v>40000</v>
      </c>
      <c r="D146" s="34" t="n">
        <v>61.65</v>
      </c>
      <c r="E146" s="25" t="n">
        <f aca="false">IF(C146&gt;0,-C146/40000*12.5,C146/40000*12.5)</f>
        <v>-12.5</v>
      </c>
      <c r="F146" s="35" t="n">
        <f aca="false">+Sheet2!$I$9</f>
        <v>62.15</v>
      </c>
      <c r="G146" s="34" t="n">
        <f aca="false">IF(C146&gt;0,F146-D146,D146-F146)</f>
        <v>0.5</v>
      </c>
      <c r="H146" s="24" t="n">
        <f aca="false">(C146/10000)*G146*100+E146</f>
        <v>187.5</v>
      </c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2.75" hidden="false" customHeight="false" outlineLevel="0" collapsed="false">
      <c r="A147" s="21" t="s">
        <v>34</v>
      </c>
      <c r="B147" s="22" t="n">
        <v>36292</v>
      </c>
      <c r="C147" s="23" t="n">
        <v>-80000</v>
      </c>
      <c r="D147" s="34" t="n">
        <v>61.375</v>
      </c>
      <c r="E147" s="25" t="n">
        <f aca="false">IF(C147&gt;0,-C147/40000*12.5,C147/40000*12.5)</f>
        <v>-25</v>
      </c>
      <c r="F147" s="35" t="n">
        <f aca="false">+Sheet2!$I$9</f>
        <v>62.15</v>
      </c>
      <c r="G147" s="34" t="n">
        <f aca="false">IF(C147&gt;0,F147-D147,D147-F147)</f>
        <v>-0.774999999999999</v>
      </c>
      <c r="H147" s="24" t="n">
        <f aca="false">(-C147/10000)*G147*100+E147</f>
        <v>-644.999999999999</v>
      </c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2.75" hidden="false" customHeight="false" outlineLevel="0" collapsed="false">
      <c r="A148" s="21" t="s">
        <v>34</v>
      </c>
      <c r="B148" s="22" t="n">
        <v>36292</v>
      </c>
      <c r="C148" s="23" t="n">
        <v>-80000</v>
      </c>
      <c r="D148" s="34" t="n">
        <v>61.425</v>
      </c>
      <c r="E148" s="25" t="n">
        <f aca="false">IF(C148&gt;0,-C148/40000*12.5,C148/40000*12.5)</f>
        <v>-25</v>
      </c>
      <c r="F148" s="35" t="n">
        <f aca="false">+Sheet2!$I$9</f>
        <v>62.15</v>
      </c>
      <c r="G148" s="34" t="n">
        <f aca="false">IF(C148&gt;0,F148-D148,D148-F148)</f>
        <v>-0.725000000000001</v>
      </c>
      <c r="H148" s="24" t="n">
        <f aca="false">(-C148/10000)*G148*100+E148</f>
        <v>-605.000000000001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  <c r="IJ148" s="26"/>
      <c r="IK148" s="26"/>
      <c r="IL148" s="26"/>
      <c r="IM148" s="26"/>
      <c r="IN148" s="26"/>
      <c r="IO148" s="26"/>
      <c r="IP148" s="26"/>
      <c r="IQ148" s="26"/>
      <c r="IR148" s="26"/>
      <c r="IS148" s="26"/>
      <c r="IT148" s="26"/>
      <c r="IU148" s="26"/>
      <c r="IV148" s="26"/>
      <c r="IW148" s="26"/>
    </row>
    <row r="149" customFormat="false" ht="12.75" hidden="false" customHeight="false" outlineLevel="0" collapsed="false">
      <c r="A149" s="21" t="s">
        <v>34</v>
      </c>
      <c r="B149" s="22" t="n">
        <v>36292</v>
      </c>
      <c r="C149" s="23" t="n">
        <v>-80000</v>
      </c>
      <c r="D149" s="34" t="n">
        <v>61.075</v>
      </c>
      <c r="E149" s="25" t="n">
        <f aca="false">IF(C149&gt;0,-C149/40000*12.5,C149/40000*12.5)</f>
        <v>-25</v>
      </c>
      <c r="F149" s="35" t="n">
        <f aca="false">+Sheet2!$I$9</f>
        <v>62.15</v>
      </c>
      <c r="G149" s="34" t="n">
        <f aca="false">IF(C149&gt;0,F149-D149,D149-F149)</f>
        <v>-1.075</v>
      </c>
      <c r="H149" s="24" t="n">
        <f aca="false">(-C149/10000)*G149*100+E149</f>
        <v>-884.999999999997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  <c r="IJ149" s="26"/>
      <c r="IK149" s="26"/>
      <c r="IL149" s="26"/>
      <c r="IM149" s="26"/>
      <c r="IN149" s="26"/>
      <c r="IO149" s="26"/>
      <c r="IP149" s="26"/>
      <c r="IQ149" s="26"/>
      <c r="IR149" s="26"/>
      <c r="IS149" s="26"/>
      <c r="IT149" s="26"/>
      <c r="IU149" s="26"/>
      <c r="IV149" s="26"/>
      <c r="IW149" s="26"/>
    </row>
    <row r="150" customFormat="false" ht="12.75" hidden="false" customHeight="false" outlineLevel="0" collapsed="false">
      <c r="A150" s="21" t="s">
        <v>34</v>
      </c>
      <c r="B150" s="22" t="n">
        <v>36293</v>
      </c>
      <c r="C150" s="23" t="n">
        <f aca="false">40000*6</f>
        <v>240000</v>
      </c>
      <c r="D150" s="34" t="n">
        <v>61.625</v>
      </c>
      <c r="E150" s="25" t="n">
        <f aca="false">IF(C150&gt;0,-C150/40000*12.5,C150/40000*12.5)</f>
        <v>-75</v>
      </c>
      <c r="F150" s="35" t="n">
        <f aca="false">+Sheet2!$I$9</f>
        <v>62.15</v>
      </c>
      <c r="G150" s="34" t="n">
        <f aca="false">IF(C150&gt;0,F150-D150,D150-F150)</f>
        <v>0.524999999999999</v>
      </c>
      <c r="H150" s="24" t="n">
        <f aca="false">(C150/10000)*G150*100+E150</f>
        <v>1185</v>
      </c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2.75" hidden="false" customHeight="false" outlineLevel="0" collapsed="false">
      <c r="A151" s="28"/>
      <c r="B151" s="22"/>
      <c r="C151" s="23"/>
      <c r="D151" s="24"/>
      <c r="E151" s="25"/>
      <c r="F151" s="25"/>
      <c r="G151" s="24"/>
      <c r="H151" s="24"/>
      <c r="I151" s="26"/>
      <c r="J151" s="29" t="n">
        <f aca="false">SUM(H110:H151)</f>
        <v>1855.00000000002</v>
      </c>
      <c r="K151" s="30" t="s">
        <v>35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2.75" hidden="false" customHeight="false" outlineLevel="0" collapsed="false">
      <c r="A152" s="28"/>
      <c r="B152" s="22"/>
      <c r="C152" s="23"/>
      <c r="D152" s="24"/>
      <c r="E152" s="25"/>
      <c r="F152" s="25"/>
      <c r="G152" s="24"/>
      <c r="H152" s="24"/>
      <c r="I152" s="26"/>
      <c r="J152" s="31" t="n">
        <f aca="false">SUM(C110:C151)/40000</f>
        <v>0</v>
      </c>
      <c r="K152" s="30" t="s">
        <v>16</v>
      </c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2.75" hidden="false" customHeight="false" outlineLevel="0" collapsed="false">
      <c r="A153" s="28"/>
      <c r="B153" s="22"/>
      <c r="C153" s="23"/>
      <c r="D153" s="24"/>
      <c r="E153" s="25"/>
      <c r="F153" s="25"/>
      <c r="G153" s="24"/>
      <c r="H153" s="24"/>
      <c r="I153" s="26"/>
      <c r="J153" s="37"/>
      <c r="K153" s="30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2.75" hidden="false" customHeight="false" outlineLevel="0" collapsed="false">
      <c r="A154" s="21" t="s">
        <v>36</v>
      </c>
      <c r="B154" s="22" t="n">
        <v>36255</v>
      </c>
      <c r="C154" s="23" t="n">
        <v>-5000</v>
      </c>
      <c r="D154" s="34" t="n">
        <v>4.935</v>
      </c>
      <c r="E154" s="25" t="n">
        <f aca="false">IF(C154&gt;0,-C154/5000*12.5,C154/5000*12.5)</f>
        <v>-12.5</v>
      </c>
      <c r="F154" s="35" t="n">
        <f aca="false">+Sheet2!$M$9</f>
        <v>25</v>
      </c>
      <c r="G154" s="34" t="n">
        <f aca="false">IF(C154&gt;0,F154-D154,D154-F154)</f>
        <v>-20.065</v>
      </c>
      <c r="H154" s="24" t="n">
        <f aca="false">-G154*C154+E154</f>
        <v>-100337.5</v>
      </c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2.75" hidden="false" customHeight="false" outlineLevel="0" collapsed="false">
      <c r="A155" s="21" t="s">
        <v>36</v>
      </c>
      <c r="B155" s="22" t="n">
        <v>36257</v>
      </c>
      <c r="C155" s="23" t="n">
        <v>5000</v>
      </c>
      <c r="D155" s="34" t="n">
        <v>4.955</v>
      </c>
      <c r="E155" s="25" t="n">
        <f aca="false">IF(C155&gt;0,-C155/5000*12.5,C155/5000*12.5)</f>
        <v>-12.5</v>
      </c>
      <c r="F155" s="35" t="n">
        <f aca="false">+Sheet2!$M$9</f>
        <v>25</v>
      </c>
      <c r="G155" s="34" t="n">
        <f aca="false">IF(C155&gt;0,F155-D155,D155-F155)</f>
        <v>20.045</v>
      </c>
      <c r="H155" s="24" t="n">
        <f aca="false">G155*C155+E155</f>
        <v>100212.5</v>
      </c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2.75" hidden="false" customHeight="false" outlineLevel="0" collapsed="false">
      <c r="A156" s="28"/>
      <c r="B156" s="22"/>
      <c r="C156" s="23"/>
      <c r="D156" s="24"/>
      <c r="E156" s="25"/>
      <c r="F156" s="25"/>
      <c r="G156" s="24"/>
      <c r="H156" s="24"/>
      <c r="I156" s="26"/>
      <c r="J156" s="29" t="n">
        <f aca="false">SUM(H154:H156)</f>
        <v>-124.999999999985</v>
      </c>
      <c r="K156" s="30" t="s">
        <v>37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2.75" hidden="false" customHeight="false" outlineLevel="0" collapsed="false">
      <c r="A157" s="36"/>
      <c r="B157" s="22"/>
      <c r="C157" s="23"/>
      <c r="D157" s="24"/>
      <c r="E157" s="25"/>
      <c r="F157" s="25"/>
      <c r="G157" s="24"/>
      <c r="H157" s="24"/>
      <c r="I157" s="26"/>
      <c r="J157" s="31" t="n">
        <f aca="false">SUM(C154:C156)/5000</f>
        <v>0</v>
      </c>
      <c r="K157" s="30" t="s">
        <v>16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2.75" hidden="false" customHeight="false" outlineLevel="0" collapsed="false">
      <c r="A158" s="28"/>
      <c r="B158" s="22"/>
      <c r="C158" s="23"/>
      <c r="D158" s="24"/>
      <c r="E158" s="25"/>
      <c r="F158" s="25"/>
      <c r="G158" s="24"/>
      <c r="H158" s="24"/>
      <c r="I158" s="26"/>
      <c r="J158" s="32"/>
      <c r="K158" s="30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2.75" hidden="false" customHeight="false" outlineLevel="0" collapsed="false">
      <c r="A159" s="21" t="s">
        <v>38</v>
      </c>
      <c r="B159" s="22" t="n">
        <v>36258</v>
      </c>
      <c r="C159" s="23" t="n">
        <v>125000</v>
      </c>
      <c r="D159" s="38" t="n">
        <v>0.5565</v>
      </c>
      <c r="E159" s="25" t="n">
        <f aca="false">IF(C159&gt;0,-C159/125000*12.5,C159/125000*12.5)</f>
        <v>-12.5</v>
      </c>
      <c r="F159" s="39" t="n">
        <f aca="false">+Sheet2!$L$9</f>
        <v>0.5465</v>
      </c>
      <c r="G159" s="34" t="n">
        <f aca="false">IF(C159&gt;0,F159-D159,D159-F159)</f>
        <v>-0.01</v>
      </c>
      <c r="H159" s="24" t="n">
        <f aca="false">+G159*C159+E159</f>
        <v>-1262.5</v>
      </c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6"/>
      <c r="IN159" s="26"/>
      <c r="IO159" s="26"/>
      <c r="IP159" s="26"/>
      <c r="IQ159" s="26"/>
      <c r="IR159" s="26"/>
      <c r="IS159" s="26"/>
      <c r="IT159" s="26"/>
      <c r="IU159" s="26"/>
      <c r="IV159" s="26"/>
      <c r="IW159" s="26"/>
    </row>
    <row r="160" customFormat="false" ht="12.75" hidden="false" customHeight="false" outlineLevel="0" collapsed="false">
      <c r="A160" s="21" t="s">
        <v>38</v>
      </c>
      <c r="B160" s="22" t="n">
        <v>36258</v>
      </c>
      <c r="C160" s="23" t="n">
        <v>-125000</v>
      </c>
      <c r="D160" s="38" t="n">
        <v>0.5561</v>
      </c>
      <c r="E160" s="25" t="n">
        <f aca="false">IF(C160&gt;0,-C160/125000*12.5,C160/125000*12.5)</f>
        <v>-12.5</v>
      </c>
      <c r="F160" s="39" t="n">
        <f aca="false">+Sheet2!$L$9</f>
        <v>0.5465</v>
      </c>
      <c r="G160" s="34" t="n">
        <f aca="false">IF(C160&gt;0,F160-D160,D160-F160)</f>
        <v>0.00960000000000005</v>
      </c>
      <c r="H160" s="24" t="n">
        <f aca="false">-G160*C160+E160</f>
        <v>1187.50000000001</v>
      </c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</row>
    <row r="161" customFormat="false" ht="12.75" hidden="false" customHeight="false" outlineLevel="0" collapsed="false">
      <c r="A161" s="21" t="s">
        <v>38</v>
      </c>
      <c r="B161" s="22" t="n">
        <v>36266</v>
      </c>
      <c r="C161" s="23" t="n">
        <v>125000</v>
      </c>
      <c r="D161" s="38" t="n">
        <v>0.5486</v>
      </c>
      <c r="E161" s="25" t="n">
        <f aca="false">IF(C161&gt;0,-C161/125000*12.5,C161/125000*12.5)</f>
        <v>-12.5</v>
      </c>
      <c r="F161" s="39" t="n">
        <f aca="false">+Sheet2!$L$9</f>
        <v>0.5465</v>
      </c>
      <c r="G161" s="34" t="n">
        <f aca="false">IF(C161&gt;0,F161-D161,D161-F161)</f>
        <v>-0.00209999999999999</v>
      </c>
      <c r="H161" s="24" t="n">
        <f aca="false">+G161*C161+E161</f>
        <v>-274.999999999999</v>
      </c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</row>
    <row r="162" customFormat="false" ht="12.75" hidden="false" customHeight="false" outlineLevel="0" collapsed="false">
      <c r="A162" s="21" t="s">
        <v>38</v>
      </c>
      <c r="B162" s="22" t="n">
        <v>36269</v>
      </c>
      <c r="C162" s="23" t="n">
        <v>-125000</v>
      </c>
      <c r="D162" s="38" t="n">
        <v>0.5456</v>
      </c>
      <c r="E162" s="25" t="n">
        <f aca="false">IF(C162&gt;0,-C162/125000*12.5,C162/125000*12.5)</f>
        <v>-12.5</v>
      </c>
      <c r="F162" s="39" t="n">
        <f aca="false">+Sheet2!$L$9</f>
        <v>0.5465</v>
      </c>
      <c r="G162" s="34" t="n">
        <f aca="false">IF(C162&gt;0,F162-D162,D162-F162)</f>
        <v>-0.000900000000000012</v>
      </c>
      <c r="H162" s="24" t="n">
        <f aca="false">-G162*C162+E162</f>
        <v>-125.000000000001</v>
      </c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</row>
    <row r="163" customFormat="false" ht="12.75" hidden="false" customHeight="false" outlineLevel="0" collapsed="false">
      <c r="A163" s="28"/>
      <c r="B163" s="22"/>
      <c r="C163" s="23"/>
      <c r="D163" s="24"/>
      <c r="E163" s="25"/>
      <c r="F163" s="25"/>
      <c r="G163" s="24"/>
      <c r="H163" s="24"/>
      <c r="I163" s="26"/>
      <c r="J163" s="29" t="n">
        <f aca="false">SUM(H159:H163)</f>
        <v>-474.999999999995</v>
      </c>
      <c r="K163" s="30" t="s">
        <v>39</v>
      </c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</row>
    <row r="164" customFormat="false" ht="12.75" hidden="false" customHeight="false" outlineLevel="0" collapsed="false">
      <c r="A164" s="36"/>
      <c r="B164" s="22"/>
      <c r="C164" s="23"/>
      <c r="D164" s="24"/>
      <c r="E164" s="25"/>
      <c r="F164" s="25"/>
      <c r="G164" s="24"/>
      <c r="H164" s="24"/>
      <c r="I164" s="26"/>
      <c r="J164" s="31" t="n">
        <f aca="false">SUM(C159:C163)/125000</f>
        <v>0</v>
      </c>
      <c r="K164" s="30" t="s">
        <v>16</v>
      </c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  <c r="IJ164" s="26"/>
      <c r="IK164" s="26"/>
      <c r="IL164" s="26"/>
      <c r="IM164" s="26"/>
      <c r="IN164" s="26"/>
      <c r="IO164" s="26"/>
      <c r="IP164" s="26"/>
      <c r="IQ164" s="26"/>
      <c r="IR164" s="26"/>
      <c r="IS164" s="26"/>
      <c r="IT164" s="26"/>
      <c r="IU164" s="26"/>
      <c r="IV164" s="26"/>
      <c r="IW164" s="26"/>
    </row>
    <row r="166" customFormat="false" ht="12.75" hidden="true" customHeight="false" outlineLevel="0" collapsed="false">
      <c r="A166" s="21" t="s">
        <v>40</v>
      </c>
      <c r="B166" s="22" t="n">
        <v>36167</v>
      </c>
      <c r="C166" s="23" t="n">
        <v>100000</v>
      </c>
      <c r="D166" s="40" t="n">
        <v>126.46875</v>
      </c>
      <c r="E166" s="25" t="n">
        <f aca="false">IF(C166&gt;0,-C166/100000*12.5,C166/100000*12.5)</f>
        <v>-12.5</v>
      </c>
      <c r="F166" s="40" t="n">
        <f aca="false">+Sheet2!C$9</f>
        <v>117.53125</v>
      </c>
      <c r="G166" s="41" t="n">
        <f aca="false">IF(C166&gt;0,F166-D166,D166-F166)</f>
        <v>-8.9375</v>
      </c>
      <c r="H166" s="24" t="n">
        <f aca="false">+C166*G166/100+E166</f>
        <v>-8950</v>
      </c>
      <c r="I166" s="26"/>
    </row>
    <row r="167" customFormat="false" ht="12.75" hidden="true" customHeight="false" outlineLevel="0" collapsed="false">
      <c r="A167" s="21" t="s">
        <v>40</v>
      </c>
      <c r="B167" s="22" t="n">
        <v>36167</v>
      </c>
      <c r="C167" s="23" t="n">
        <v>-100000</v>
      </c>
      <c r="D167" s="40" t="n">
        <v>126.625</v>
      </c>
      <c r="E167" s="25" t="n">
        <f aca="false">IF(C167&gt;0,-C167/100000*12.5,C167/100000*12.5)</f>
        <v>-12.5</v>
      </c>
      <c r="F167" s="40" t="n">
        <f aca="false">+Sheet2!C$9</f>
        <v>117.53125</v>
      </c>
      <c r="G167" s="41" t="n">
        <f aca="false">IF(C167&gt;0,F167-D167,D167-F167)</f>
        <v>9.09375</v>
      </c>
      <c r="H167" s="24" t="n">
        <f aca="false">-C167*G167/100+E167</f>
        <v>9081.25</v>
      </c>
      <c r="I167" s="26"/>
    </row>
    <row r="168" customFormat="false" ht="12.75" hidden="true" customHeight="false" outlineLevel="0" collapsed="false">
      <c r="A168" s="21" t="s">
        <v>40</v>
      </c>
      <c r="B168" s="22" t="n">
        <v>36168</v>
      </c>
      <c r="C168" s="23" t="n">
        <v>100000</v>
      </c>
      <c r="D168" s="40" t="n">
        <v>125.84375</v>
      </c>
      <c r="E168" s="25" t="n">
        <f aca="false">IF(C168&gt;0,-C168/100000*12.5,C168/100000*12.5)</f>
        <v>-12.5</v>
      </c>
      <c r="F168" s="40" t="n">
        <f aca="false">+Sheet2!C$9</f>
        <v>117.53125</v>
      </c>
      <c r="G168" s="41" t="n">
        <f aca="false">IF(C168&gt;0,F168-D168,D168-F168)</f>
        <v>-8.3125</v>
      </c>
      <c r="H168" s="24" t="n">
        <f aca="false">+C168*G168/100+E168</f>
        <v>-8325</v>
      </c>
      <c r="I168" s="26"/>
    </row>
    <row r="169" customFormat="false" ht="12.75" hidden="true" customHeight="false" outlineLevel="0" collapsed="false">
      <c r="A169" s="21" t="s">
        <v>40</v>
      </c>
      <c r="B169" s="22" t="n">
        <v>36168</v>
      </c>
      <c r="C169" s="23" t="n">
        <v>-100000</v>
      </c>
      <c r="D169" s="40" t="n">
        <v>125.53125</v>
      </c>
      <c r="E169" s="25" t="n">
        <f aca="false">IF(C169&gt;0,-C169/100000*12.5,C169/100000*12.5)</f>
        <v>-12.5</v>
      </c>
      <c r="F169" s="40" t="n">
        <f aca="false">+Sheet2!C$9</f>
        <v>117.53125</v>
      </c>
      <c r="G169" s="41" t="n">
        <f aca="false">IF(C169&gt;0,F169-D169,D169-F169)</f>
        <v>8</v>
      </c>
      <c r="H169" s="24" t="n">
        <f aca="false">-C169*G169/100+E169</f>
        <v>7987.5</v>
      </c>
      <c r="I169" s="26"/>
    </row>
    <row r="170" customFormat="false" ht="12.75" hidden="true" customHeight="false" outlineLevel="0" collapsed="false">
      <c r="A170" s="21" t="s">
        <v>40</v>
      </c>
      <c r="B170" s="22" t="n">
        <v>36174</v>
      </c>
      <c r="C170" s="23" t="n">
        <v>-100000</v>
      </c>
      <c r="D170" s="40" t="n">
        <v>126.4375</v>
      </c>
      <c r="E170" s="25" t="n">
        <f aca="false">IF(C170&gt;0,-C170/100000*12.5,C170/100000*12.5)</f>
        <v>-12.5</v>
      </c>
      <c r="F170" s="40" t="n">
        <f aca="false">+Sheet2!C$9</f>
        <v>117.53125</v>
      </c>
      <c r="G170" s="41" t="n">
        <f aca="false">IF(C170&gt;0,F170-D170,D170-F170)</f>
        <v>8.90625</v>
      </c>
      <c r="H170" s="24" t="n">
        <f aca="false">-C170*G170/100+E170</f>
        <v>8893.75</v>
      </c>
      <c r="I170" s="26"/>
    </row>
    <row r="171" customFormat="false" ht="12.75" hidden="true" customHeight="false" outlineLevel="0" collapsed="false">
      <c r="A171" s="21" t="s">
        <v>40</v>
      </c>
      <c r="B171" s="22" t="n">
        <v>36174</v>
      </c>
      <c r="C171" s="23" t="n">
        <v>100000</v>
      </c>
      <c r="D171" s="40" t="n">
        <v>126.90625</v>
      </c>
      <c r="E171" s="25" t="n">
        <f aca="false">IF(C171&gt;0,-C171/100000*12.5,C171/100000*12.5)</f>
        <v>-12.5</v>
      </c>
      <c r="F171" s="40" t="n">
        <f aca="false">+Sheet2!C$9</f>
        <v>117.53125</v>
      </c>
      <c r="G171" s="41" t="n">
        <f aca="false">IF(C171&gt;0,F171-D171,D171-F171)</f>
        <v>-9.375</v>
      </c>
      <c r="H171" s="24" t="n">
        <f aca="false">+C171*G171/100+E171</f>
        <v>-9387.5</v>
      </c>
      <c r="I171" s="26"/>
    </row>
    <row r="172" customFormat="false" ht="12.75" hidden="true" customHeight="false" outlineLevel="0" collapsed="false">
      <c r="A172" s="21" t="s">
        <v>40</v>
      </c>
      <c r="B172" s="22" t="n">
        <v>36201</v>
      </c>
      <c r="C172" s="23" t="n">
        <v>-200000</v>
      </c>
      <c r="D172" s="40" t="n">
        <v>125</v>
      </c>
      <c r="E172" s="25" t="n">
        <f aca="false">IF(C172&gt;0,-C172/100000*12.5,C172/100000*12.5)</f>
        <v>-25</v>
      </c>
      <c r="F172" s="40" t="n">
        <f aca="false">+Sheet2!C$9</f>
        <v>117.53125</v>
      </c>
      <c r="G172" s="41" t="n">
        <f aca="false">IF(C172&gt;0,F172-D172,D172-F172)</f>
        <v>7.46875</v>
      </c>
      <c r="H172" s="24" t="n">
        <f aca="false">-C172*G172/100+E172</f>
        <v>14912.5</v>
      </c>
      <c r="I172" s="26"/>
    </row>
    <row r="173" customFormat="false" ht="12.75" hidden="true" customHeight="false" outlineLevel="0" collapsed="false">
      <c r="A173" s="21" t="s">
        <v>40</v>
      </c>
      <c r="B173" s="22" t="n">
        <v>36201</v>
      </c>
      <c r="C173" s="23" t="n">
        <v>-200000</v>
      </c>
      <c r="D173" s="40" t="n">
        <v>124.71875</v>
      </c>
      <c r="E173" s="25" t="n">
        <f aca="false">IF(C173&gt;0,-C173/100000*12.5,C173/100000*12.5)</f>
        <v>-25</v>
      </c>
      <c r="F173" s="40" t="n">
        <f aca="false">+Sheet2!C$9</f>
        <v>117.53125</v>
      </c>
      <c r="G173" s="41" t="n">
        <f aca="false">IF(C173&gt;0,F173-D173,D173-F173)</f>
        <v>7.1875</v>
      </c>
      <c r="H173" s="24" t="n">
        <f aca="false">-C173*G173/100+E173</f>
        <v>14350</v>
      </c>
      <c r="I173" s="26"/>
    </row>
    <row r="174" customFormat="false" ht="12.75" hidden="true" customHeight="false" outlineLevel="0" collapsed="false">
      <c r="A174" s="21" t="s">
        <v>40</v>
      </c>
      <c r="B174" s="22" t="n">
        <v>36202</v>
      </c>
      <c r="C174" s="23" t="n">
        <v>200000</v>
      </c>
      <c r="D174" s="40" t="n">
        <v>124.75</v>
      </c>
      <c r="E174" s="25" t="n">
        <f aca="false">IF(C174&gt;0,-C174/100000*12.5,C174/100000*12.5)</f>
        <v>-25</v>
      </c>
      <c r="F174" s="40" t="n">
        <f aca="false">+Sheet2!C$9</f>
        <v>117.53125</v>
      </c>
      <c r="G174" s="41" t="n">
        <f aca="false">IF(C174&gt;0,F174-D174,D174-F174)</f>
        <v>-7.21875</v>
      </c>
      <c r="H174" s="24" t="n">
        <f aca="false">+C174*G174/100+E174</f>
        <v>-14462.5</v>
      </c>
      <c r="I174" s="26"/>
    </row>
    <row r="175" customFormat="false" ht="12.75" hidden="true" customHeight="false" outlineLevel="0" collapsed="false">
      <c r="A175" s="21" t="s">
        <v>40</v>
      </c>
      <c r="B175" s="22" t="n">
        <v>36202</v>
      </c>
      <c r="C175" s="23" t="n">
        <v>200000</v>
      </c>
      <c r="D175" s="40" t="n">
        <v>124.53125</v>
      </c>
      <c r="E175" s="25" t="n">
        <f aca="false">IF(C175&gt;0,-C175/100000*12.5,C175/100000*12.5)</f>
        <v>-25</v>
      </c>
      <c r="F175" s="40" t="n">
        <f aca="false">+Sheet2!C$9</f>
        <v>117.53125</v>
      </c>
      <c r="G175" s="41" t="n">
        <f aca="false">IF(C175&gt;0,F175-D175,D175-F175)</f>
        <v>-7</v>
      </c>
      <c r="H175" s="24" t="n">
        <f aca="false">+C175*G175/100+E175</f>
        <v>-14025</v>
      </c>
      <c r="I175" s="26"/>
    </row>
    <row r="176" customFormat="false" ht="12.75" hidden="true" customHeight="false" outlineLevel="0" collapsed="false">
      <c r="A176" s="21" t="s">
        <v>40</v>
      </c>
      <c r="B176" s="22" t="n">
        <v>36208</v>
      </c>
      <c r="C176" s="23" t="n">
        <v>-200000</v>
      </c>
      <c r="D176" s="40" t="n">
        <v>123.78125</v>
      </c>
      <c r="E176" s="25" t="n">
        <f aca="false">IF(C176&gt;0,-C176/100000*12.5,C176/100000*12.5)</f>
        <v>-25</v>
      </c>
      <c r="F176" s="40" t="n">
        <f aca="false">+Sheet2!C$9</f>
        <v>117.53125</v>
      </c>
      <c r="G176" s="41" t="n">
        <f aca="false">IF(C176&gt;0,F176-D176,D176-F176)</f>
        <v>6.25</v>
      </c>
      <c r="H176" s="24" t="n">
        <f aca="false">-C176*G176/100+E176</f>
        <v>12475</v>
      </c>
      <c r="I176" s="26"/>
    </row>
    <row r="177" customFormat="false" ht="12.75" hidden="true" customHeight="false" outlineLevel="0" collapsed="false">
      <c r="A177" s="21" t="s">
        <v>40</v>
      </c>
      <c r="B177" s="22" t="n">
        <v>36208</v>
      </c>
      <c r="C177" s="23" t="n">
        <v>-200000</v>
      </c>
      <c r="D177" s="40" t="n">
        <v>124.125</v>
      </c>
      <c r="E177" s="25" t="n">
        <f aca="false">IF(C177&gt;0,-C177/100000*12.5,C177/100000*12.5)</f>
        <v>-25</v>
      </c>
      <c r="F177" s="40" t="n">
        <f aca="false">+Sheet2!C$9</f>
        <v>117.53125</v>
      </c>
      <c r="G177" s="41" t="n">
        <f aca="false">IF(C177&gt;0,F177-D177,D177-F177)</f>
        <v>6.59375</v>
      </c>
      <c r="H177" s="24" t="n">
        <f aca="false">-C177*G177/100+E177</f>
        <v>13162.5</v>
      </c>
      <c r="I177" s="26"/>
    </row>
    <row r="178" customFormat="false" ht="12.75" hidden="true" customHeight="false" outlineLevel="0" collapsed="false">
      <c r="A178" s="21" t="s">
        <v>40</v>
      </c>
      <c r="B178" s="22" t="n">
        <v>36209</v>
      </c>
      <c r="C178" s="23" t="n">
        <v>200000</v>
      </c>
      <c r="D178" s="40" t="n">
        <v>124.1875</v>
      </c>
      <c r="E178" s="25" t="n">
        <f aca="false">IF(C178&gt;0,-C178/100000*12.5,C178/100000*12.5)</f>
        <v>-25</v>
      </c>
      <c r="F178" s="40" t="n">
        <f aca="false">+Sheet2!C$9</f>
        <v>117.53125</v>
      </c>
      <c r="G178" s="41" t="n">
        <f aca="false">IF(C178&gt;0,F178-D178,D178-F178)</f>
        <v>-6.65625</v>
      </c>
      <c r="H178" s="24" t="n">
        <f aca="false">+C178*G178/100+E178</f>
        <v>-13337.5</v>
      </c>
      <c r="I178" s="26"/>
    </row>
    <row r="179" customFormat="false" ht="12.75" hidden="true" customHeight="false" outlineLevel="0" collapsed="false">
      <c r="A179" s="21" t="s">
        <v>40</v>
      </c>
      <c r="B179" s="22" t="n">
        <v>36209</v>
      </c>
      <c r="C179" s="23" t="n">
        <v>200000</v>
      </c>
      <c r="D179" s="40" t="n">
        <v>124.15625</v>
      </c>
      <c r="E179" s="25" t="n">
        <f aca="false">IF(C179&gt;0,-C179/100000*12.5,C179/100000*12.5)</f>
        <v>-25</v>
      </c>
      <c r="F179" s="40" t="n">
        <f aca="false">+Sheet2!C$9</f>
        <v>117.53125</v>
      </c>
      <c r="G179" s="41" t="n">
        <f aca="false">IF(C179&gt;0,F179-D179,D179-F179)</f>
        <v>-6.625</v>
      </c>
      <c r="H179" s="24" t="n">
        <f aca="false">+C179*G179/100+E179</f>
        <v>-13275</v>
      </c>
      <c r="I179" s="26"/>
    </row>
    <row r="180" customFormat="false" ht="12.75" hidden="true" customHeight="false" outlineLevel="0" collapsed="false">
      <c r="A180" s="21" t="s">
        <v>40</v>
      </c>
      <c r="B180" s="22" t="n">
        <v>36209</v>
      </c>
      <c r="C180" s="23" t="n">
        <v>-200000</v>
      </c>
      <c r="D180" s="40" t="n">
        <v>124.03125</v>
      </c>
      <c r="E180" s="25" t="n">
        <f aca="false">IF(C180&gt;0,-C180/100000*12.5,C180/100000*12.5)</f>
        <v>-25</v>
      </c>
      <c r="F180" s="40" t="n">
        <f aca="false">+Sheet2!C$9</f>
        <v>117.53125</v>
      </c>
      <c r="G180" s="41" t="n">
        <f aca="false">IF(C180&gt;0,F180-D180,D180-F180)</f>
        <v>6.5</v>
      </c>
      <c r="H180" s="24" t="n">
        <f aca="false">-C180*G180/100+E180</f>
        <v>12975</v>
      </c>
      <c r="I180" s="26"/>
    </row>
    <row r="181" customFormat="false" ht="12.75" hidden="true" customHeight="false" outlineLevel="0" collapsed="false">
      <c r="A181" s="21" t="s">
        <v>40</v>
      </c>
      <c r="B181" s="22" t="n">
        <v>36209</v>
      </c>
      <c r="C181" s="23" t="n">
        <v>100000</v>
      </c>
      <c r="D181" s="40" t="n">
        <v>123.5</v>
      </c>
      <c r="E181" s="25" t="n">
        <f aca="false">IF(C181&gt;0,-C181/100000*12.5,C181/100000*12.5)</f>
        <v>-12.5</v>
      </c>
      <c r="F181" s="40" t="n">
        <f aca="false">+Sheet2!C$9</f>
        <v>117.53125</v>
      </c>
      <c r="G181" s="41" t="n">
        <f aca="false">IF(C181&gt;0,F181-D181,D181-F181)</f>
        <v>-5.96875</v>
      </c>
      <c r="H181" s="24" t="n">
        <f aca="false">+C181*G181/100+E181</f>
        <v>-5981.25</v>
      </c>
      <c r="I181" s="26"/>
    </row>
    <row r="182" customFormat="false" ht="12.75" hidden="true" customHeight="false" outlineLevel="0" collapsed="false">
      <c r="A182" s="21" t="s">
        <v>40</v>
      </c>
      <c r="B182" s="22" t="n">
        <v>36209</v>
      </c>
      <c r="C182" s="23" t="n">
        <v>100000</v>
      </c>
      <c r="D182" s="40" t="n">
        <v>123.4375</v>
      </c>
      <c r="E182" s="25" t="n">
        <f aca="false">IF(C182&gt;0,-C182/100000*12.5,C182/100000*12.5)</f>
        <v>-12.5</v>
      </c>
      <c r="F182" s="40" t="n">
        <f aca="false">+Sheet2!C$9</f>
        <v>117.53125</v>
      </c>
      <c r="G182" s="41" t="n">
        <f aca="false">IF(C182&gt;0,F182-D182,D182-F182)</f>
        <v>-5.90625</v>
      </c>
      <c r="H182" s="24" t="n">
        <f aca="false">+C182*G182/100+E182</f>
        <v>-5918.75</v>
      </c>
      <c r="I182" s="26"/>
    </row>
    <row r="183" customFormat="false" ht="12.75" hidden="true" customHeight="false" outlineLevel="0" collapsed="false">
      <c r="A183" s="21" t="s">
        <v>40</v>
      </c>
      <c r="B183" s="22" t="n">
        <v>36210</v>
      </c>
      <c r="C183" s="23" t="n">
        <v>200000</v>
      </c>
      <c r="D183" s="40" t="n">
        <v>123.375</v>
      </c>
      <c r="E183" s="25" t="n">
        <f aca="false">IF(C183&gt;0,-C183/100000*12.5,C183/100000*12.5)</f>
        <v>-25</v>
      </c>
      <c r="F183" s="40" t="n">
        <f aca="false">+Sheet2!C$9</f>
        <v>117.53125</v>
      </c>
      <c r="G183" s="41" t="n">
        <f aca="false">IF(C183&gt;0,F183-D183,D183-F183)</f>
        <v>-5.84375</v>
      </c>
      <c r="H183" s="24" t="n">
        <f aca="false">+C183*G183/100+E183</f>
        <v>-11712.5</v>
      </c>
      <c r="I183" s="26"/>
    </row>
    <row r="184" customFormat="false" ht="12.75" hidden="true" customHeight="false" outlineLevel="0" collapsed="false">
      <c r="A184" s="21" t="s">
        <v>40</v>
      </c>
      <c r="B184" s="22" t="n">
        <v>36210</v>
      </c>
      <c r="C184" s="23" t="n">
        <v>200000</v>
      </c>
      <c r="D184" s="40" t="n">
        <v>123.5</v>
      </c>
      <c r="E184" s="25" t="n">
        <f aca="false">IF(C184&gt;0,-C184/100000*12.5,C184/100000*12.5)</f>
        <v>-25</v>
      </c>
      <c r="F184" s="40" t="n">
        <f aca="false">+Sheet2!C$9</f>
        <v>117.53125</v>
      </c>
      <c r="G184" s="41" t="n">
        <f aca="false">IF(C184&gt;0,F184-D184,D184-F184)</f>
        <v>-5.96875</v>
      </c>
      <c r="H184" s="24" t="n">
        <f aca="false">+C184*G184/100+E184</f>
        <v>-11962.5</v>
      </c>
      <c r="I184" s="26"/>
    </row>
    <row r="185" customFormat="false" ht="12.75" hidden="true" customHeight="false" outlineLevel="0" collapsed="false">
      <c r="A185" s="21" t="s">
        <v>40</v>
      </c>
      <c r="B185" s="22" t="n">
        <v>36210</v>
      </c>
      <c r="C185" s="23" t="n">
        <v>-200000</v>
      </c>
      <c r="D185" s="40" t="n">
        <v>123.21875</v>
      </c>
      <c r="E185" s="25" t="n">
        <f aca="false">IF(C185&gt;0,-C185/100000*12.5,C185/100000*12.5)</f>
        <v>-25</v>
      </c>
      <c r="F185" s="40" t="n">
        <f aca="false">+Sheet2!C$9</f>
        <v>117.53125</v>
      </c>
      <c r="G185" s="41" t="n">
        <f aca="false">IF(C185&gt;0,F185-D185,D185-F185)</f>
        <v>5.6875</v>
      </c>
      <c r="H185" s="24" t="n">
        <f aca="false">-C185*G185/100+E185</f>
        <v>11350</v>
      </c>
      <c r="I185" s="26"/>
    </row>
    <row r="186" customFormat="false" ht="12.75" hidden="true" customHeight="false" outlineLevel="0" collapsed="false">
      <c r="A186" s="21" t="s">
        <v>40</v>
      </c>
      <c r="B186" s="22" t="n">
        <v>36210</v>
      </c>
      <c r="C186" s="23" t="n">
        <v>-200000</v>
      </c>
      <c r="D186" s="40" t="n">
        <v>123.25</v>
      </c>
      <c r="E186" s="25" t="n">
        <f aca="false">IF(C186&gt;0,-C186/100000*12.5,C186/100000*12.5)</f>
        <v>-25</v>
      </c>
      <c r="F186" s="40" t="n">
        <f aca="false">+Sheet2!C$9</f>
        <v>117.53125</v>
      </c>
      <c r="G186" s="41" t="n">
        <f aca="false">IF(C186&gt;0,F186-D186,D186-F186)</f>
        <v>5.71875</v>
      </c>
      <c r="H186" s="24" t="n">
        <f aca="false">-C186*G186/100+E186</f>
        <v>11412.5</v>
      </c>
      <c r="I186" s="26"/>
    </row>
    <row r="187" customFormat="false" ht="12.75" hidden="true" customHeight="false" outlineLevel="0" collapsed="false">
      <c r="A187" s="21" t="s">
        <v>41</v>
      </c>
      <c r="B187" s="22" t="n">
        <v>36221</v>
      </c>
      <c r="C187" s="23" t="n">
        <v>100000</v>
      </c>
      <c r="D187" s="40" t="n">
        <v>120.28125</v>
      </c>
      <c r="E187" s="25" t="n">
        <f aca="false">IF(C187&gt;0,-C187/100000*12.5,C187/100000*12.5)</f>
        <v>-12.5</v>
      </c>
      <c r="F187" s="40" t="n">
        <f aca="false">+Sheet2!C$9</f>
        <v>117.53125</v>
      </c>
      <c r="G187" s="41" t="n">
        <f aca="false">IF(C187&gt;0,F187-D187,D187-F187)</f>
        <v>-2.75</v>
      </c>
      <c r="H187" s="24" t="n">
        <f aca="false">+C187*G187/100+E187</f>
        <v>-2762.5</v>
      </c>
      <c r="I187" s="26"/>
    </row>
    <row r="188" customFormat="false" ht="12.75" hidden="true" customHeight="false" outlineLevel="0" collapsed="false">
      <c r="A188" s="21" t="s">
        <v>41</v>
      </c>
      <c r="B188" s="22" t="n">
        <v>36221</v>
      </c>
      <c r="C188" s="23" t="n">
        <v>100000</v>
      </c>
      <c r="D188" s="40" t="n">
        <v>120.4375</v>
      </c>
      <c r="E188" s="25" t="n">
        <f aca="false">IF(C188&gt;0,-C188/100000*12.5,C188/100000*12.5)</f>
        <v>-12.5</v>
      </c>
      <c r="F188" s="40" t="n">
        <f aca="false">+Sheet2!C$9</f>
        <v>117.53125</v>
      </c>
      <c r="G188" s="41" t="n">
        <f aca="false">IF(C188&gt;0,F188-D188,D188-F188)</f>
        <v>-2.90625</v>
      </c>
      <c r="H188" s="24" t="n">
        <f aca="false">+C188*G188/100+E188</f>
        <v>-2918.75</v>
      </c>
      <c r="I188" s="26"/>
    </row>
    <row r="189" customFormat="false" ht="12.75" hidden="true" customHeight="false" outlineLevel="0" collapsed="false">
      <c r="A189" s="21" t="s">
        <v>41</v>
      </c>
      <c r="B189" s="22" t="n">
        <v>36221</v>
      </c>
      <c r="C189" s="23" t="n">
        <v>-100000</v>
      </c>
      <c r="D189" s="40" t="n">
        <v>120.46875</v>
      </c>
      <c r="E189" s="25" t="n">
        <f aca="false">IF(C189&gt;0,-C189/100000*12.5,C189/100000*12.5)</f>
        <v>-12.5</v>
      </c>
      <c r="F189" s="40" t="n">
        <f aca="false">+Sheet2!C$9</f>
        <v>117.53125</v>
      </c>
      <c r="G189" s="41" t="n">
        <f aca="false">IF(C189&gt;0,F189-D189,D189-F189)</f>
        <v>2.9375</v>
      </c>
      <c r="H189" s="24" t="n">
        <f aca="false">-C189*G189/100+E189</f>
        <v>2925</v>
      </c>
      <c r="I189" s="26"/>
    </row>
    <row r="190" customFormat="false" ht="12.75" hidden="true" customHeight="false" outlineLevel="0" collapsed="false">
      <c r="A190" s="21" t="s">
        <v>41</v>
      </c>
      <c r="B190" s="22" t="n">
        <v>36221</v>
      </c>
      <c r="C190" s="23" t="n">
        <v>-100000</v>
      </c>
      <c r="D190" s="40" t="n">
        <v>120.53125</v>
      </c>
      <c r="E190" s="25" t="n">
        <f aca="false">IF(C190&gt;0,-C190/100000*12.5,C190/100000*12.5)</f>
        <v>-12.5</v>
      </c>
      <c r="F190" s="40" t="n">
        <f aca="false">+Sheet2!C$9</f>
        <v>117.53125</v>
      </c>
      <c r="G190" s="41" t="n">
        <f aca="false">IF(C190&gt;0,F190-D190,D190-F190)</f>
        <v>3</v>
      </c>
      <c r="H190" s="24" t="n">
        <f aca="false">-C190*G190/100+E190</f>
        <v>2987.5</v>
      </c>
      <c r="I190" s="26"/>
    </row>
    <row r="191" customFormat="false" ht="12.75" hidden="true" customHeight="false" outlineLevel="0" collapsed="false">
      <c r="A191" s="21" t="s">
        <v>41</v>
      </c>
      <c r="B191" s="22" t="n">
        <v>36222</v>
      </c>
      <c r="C191" s="23" t="n">
        <v>-100000</v>
      </c>
      <c r="D191" s="40" t="n">
        <v>120.4375</v>
      </c>
      <c r="E191" s="25" t="n">
        <f aca="false">IF(C191&gt;0,-C191/100000*12.5,C191/100000*12.5)</f>
        <v>-12.5</v>
      </c>
      <c r="F191" s="40" t="n">
        <f aca="false">+Sheet2!C$9</f>
        <v>117.53125</v>
      </c>
      <c r="G191" s="41" t="n">
        <f aca="false">IF(C191&gt;0,F191-D191,D191-F191)</f>
        <v>2.90625</v>
      </c>
      <c r="H191" s="24" t="n">
        <f aca="false">-C191*G191/100+E191</f>
        <v>2893.75</v>
      </c>
      <c r="I191" s="26"/>
    </row>
    <row r="192" customFormat="false" ht="12.75" hidden="true" customHeight="false" outlineLevel="0" collapsed="false">
      <c r="A192" s="21" t="s">
        <v>41</v>
      </c>
      <c r="B192" s="22" t="n">
        <v>36222</v>
      </c>
      <c r="C192" s="23" t="n">
        <v>-100000</v>
      </c>
      <c r="D192" s="40" t="n">
        <v>120.25</v>
      </c>
      <c r="E192" s="25" t="n">
        <f aca="false">IF(C192&gt;0,-C192/100000*12.5,C192/100000*12.5)</f>
        <v>-12.5</v>
      </c>
      <c r="F192" s="40" t="n">
        <f aca="false">+Sheet2!C$9</f>
        <v>117.53125</v>
      </c>
      <c r="G192" s="41" t="n">
        <f aca="false">IF(C192&gt;0,F192-D192,D192-F192)</f>
        <v>2.71875</v>
      </c>
      <c r="H192" s="24" t="n">
        <f aca="false">-C192*G192/100+E192</f>
        <v>2706.25</v>
      </c>
      <c r="I192" s="26"/>
    </row>
    <row r="193" customFormat="false" ht="12.75" hidden="true" customHeight="false" outlineLevel="0" collapsed="false">
      <c r="A193" s="21" t="s">
        <v>41</v>
      </c>
      <c r="B193" s="22" t="n">
        <v>36222</v>
      </c>
      <c r="C193" s="23" t="n">
        <v>200000</v>
      </c>
      <c r="D193" s="40" t="n">
        <v>120.25</v>
      </c>
      <c r="E193" s="25" t="n">
        <f aca="false">IF(C193&gt;0,-C193/100000*12.5,C193/100000*12.5)</f>
        <v>-25</v>
      </c>
      <c r="F193" s="40" t="n">
        <f aca="false">+Sheet2!C$9</f>
        <v>117.53125</v>
      </c>
      <c r="G193" s="41" t="n">
        <f aca="false">IF(C193&gt;0,F193-D193,D193-F193)</f>
        <v>-2.71875</v>
      </c>
      <c r="H193" s="24" t="n">
        <f aca="false">+C193*G193/100+E193</f>
        <v>-5462.5</v>
      </c>
      <c r="I193" s="26"/>
    </row>
    <row r="194" customFormat="false" ht="12.75" hidden="true" customHeight="false" outlineLevel="0" collapsed="false">
      <c r="A194" s="21" t="s">
        <v>41</v>
      </c>
      <c r="B194" s="22" t="n">
        <v>36223</v>
      </c>
      <c r="C194" s="23" t="n">
        <v>100000</v>
      </c>
      <c r="D194" s="40" t="n">
        <v>119.5</v>
      </c>
      <c r="E194" s="25" t="n">
        <f aca="false">IF(C194&gt;0,-C194/100000*12.5,C194/100000*12.5)</f>
        <v>-12.5</v>
      </c>
      <c r="F194" s="40" t="n">
        <f aca="false">+Sheet2!C$9</f>
        <v>117.53125</v>
      </c>
      <c r="G194" s="41" t="n">
        <f aca="false">IF(C194&gt;0,F194-D194,D194-F194)</f>
        <v>-1.96875</v>
      </c>
      <c r="H194" s="24" t="n">
        <f aca="false">+C194*G194/100+E194</f>
        <v>-1981.25</v>
      </c>
      <c r="I194" s="26"/>
    </row>
    <row r="195" customFormat="false" ht="12.75" hidden="true" customHeight="false" outlineLevel="0" collapsed="false">
      <c r="A195" s="21" t="s">
        <v>41</v>
      </c>
      <c r="B195" s="22" t="n">
        <v>36224</v>
      </c>
      <c r="C195" s="23" t="n">
        <v>-100000</v>
      </c>
      <c r="D195" s="40" t="n">
        <v>121</v>
      </c>
      <c r="E195" s="25" t="n">
        <f aca="false">IF(C195&gt;0,-C195/100000*12.5,C195/100000*12.5)</f>
        <v>-12.5</v>
      </c>
      <c r="F195" s="40" t="n">
        <f aca="false">+Sheet2!C$9</f>
        <v>117.53125</v>
      </c>
      <c r="G195" s="41" t="n">
        <f aca="false">IF(C195&gt;0,F195-D195,D195-F195)</f>
        <v>3.46875</v>
      </c>
      <c r="H195" s="24" t="n">
        <f aca="false">-C195*G195/100+E195</f>
        <v>3456.25</v>
      </c>
      <c r="I195" s="26"/>
    </row>
    <row r="196" customFormat="false" ht="12.75" hidden="false" customHeight="false" outlineLevel="0" collapsed="false">
      <c r="A196" s="21" t="s">
        <v>41</v>
      </c>
      <c r="B196" s="22" t="n">
        <v>36224</v>
      </c>
      <c r="C196" s="23" t="n">
        <v>100000</v>
      </c>
      <c r="D196" s="40" t="n">
        <v>121.15625</v>
      </c>
      <c r="E196" s="25" t="n">
        <f aca="false">IF(C196&gt;0,-C196/100000*12.5,C196/100000*12.5)</f>
        <v>-12.5</v>
      </c>
      <c r="F196" s="40" t="n">
        <f aca="false">+Sheet2!C$9</f>
        <v>117.53125</v>
      </c>
      <c r="G196" s="41" t="n">
        <f aca="false">IF(C196&gt;0,F196-D196,D196-F196)</f>
        <v>-3.625</v>
      </c>
      <c r="H196" s="24" t="n">
        <f aca="false">+C196*G196/100+E196</f>
        <v>-3637.5</v>
      </c>
      <c r="I196" s="26"/>
    </row>
    <row r="197" customFormat="false" ht="12.75" hidden="false" customHeight="false" outlineLevel="0" collapsed="false">
      <c r="A197" s="21" t="s">
        <v>41</v>
      </c>
      <c r="B197" s="22" t="n">
        <v>36224</v>
      </c>
      <c r="C197" s="23" t="n">
        <v>-100000</v>
      </c>
      <c r="D197" s="40" t="n">
        <v>120.8125</v>
      </c>
      <c r="E197" s="25" t="n">
        <f aca="false">IF(C197&gt;0,-C197/100000*12.5,C197/100000*12.5)</f>
        <v>-12.5</v>
      </c>
      <c r="F197" s="40" t="n">
        <f aca="false">+Sheet2!C$9</f>
        <v>117.53125</v>
      </c>
      <c r="G197" s="41" t="n">
        <f aca="false">IF(C197&gt;0,F197-D197,D197-F197)</f>
        <v>3.28125</v>
      </c>
      <c r="H197" s="24" t="n">
        <f aca="false">-C197*G197/100+E197</f>
        <v>3268.75</v>
      </c>
      <c r="I197" s="26"/>
    </row>
    <row r="198" customFormat="false" ht="12.75" hidden="false" customHeight="false" outlineLevel="0" collapsed="false">
      <c r="A198" s="21" t="s">
        <v>41</v>
      </c>
      <c r="B198" s="22" t="n">
        <v>36230</v>
      </c>
      <c r="C198" s="23" t="n">
        <v>100000</v>
      </c>
      <c r="D198" s="40" t="n">
        <v>121.25</v>
      </c>
      <c r="E198" s="25" t="n">
        <f aca="false">IF(C198&gt;0,-C198/100000*12.5,C198/100000*12.5)</f>
        <v>-12.5</v>
      </c>
      <c r="F198" s="40" t="n">
        <f aca="false">+Sheet2!C$9</f>
        <v>117.53125</v>
      </c>
      <c r="G198" s="41" t="n">
        <f aca="false">IF(C198&gt;0,F198-D198,D198-F198)</f>
        <v>-3.71875</v>
      </c>
      <c r="H198" s="24" t="n">
        <f aca="false">+C198*G198/100+E198</f>
        <v>-3731.25</v>
      </c>
      <c r="I198" s="26"/>
    </row>
    <row r="199" customFormat="false" ht="12.75" hidden="false" customHeight="false" outlineLevel="0" collapsed="false">
      <c r="A199" s="21" t="s">
        <v>41</v>
      </c>
      <c r="B199" s="22" t="n">
        <v>36230</v>
      </c>
      <c r="C199" s="23" t="n">
        <v>100000</v>
      </c>
      <c r="D199" s="40" t="n">
        <v>120.96875</v>
      </c>
      <c r="E199" s="25" t="n">
        <f aca="false">IF(C199&gt;0,-C199/100000*12.5,C199/100000*12.5)</f>
        <v>-12.5</v>
      </c>
      <c r="F199" s="40" t="n">
        <f aca="false">+Sheet2!C$9</f>
        <v>117.53125</v>
      </c>
      <c r="G199" s="41" t="n">
        <f aca="false">IF(C199&gt;0,F199-D199,D199-F199)</f>
        <v>-3.4375</v>
      </c>
      <c r="H199" s="24" t="n">
        <f aca="false">+C199*G199/100+E199</f>
        <v>-3450</v>
      </c>
      <c r="I199" s="26"/>
    </row>
    <row r="200" customFormat="false" ht="12.75" hidden="false" customHeight="false" outlineLevel="0" collapsed="false">
      <c r="A200" s="21" t="s">
        <v>41</v>
      </c>
      <c r="B200" s="22" t="n">
        <v>36230</v>
      </c>
      <c r="C200" s="23" t="n">
        <v>-100000</v>
      </c>
      <c r="D200" s="40" t="n">
        <v>120.78125</v>
      </c>
      <c r="E200" s="25" t="n">
        <f aca="false">IF(C200&gt;0,-C200/100000*12.5,C200/100000*12.5)</f>
        <v>-12.5</v>
      </c>
      <c r="F200" s="40" t="n">
        <f aca="false">+Sheet2!C$9</f>
        <v>117.53125</v>
      </c>
      <c r="G200" s="41" t="n">
        <f aca="false">IF(C200&gt;0,F200-D200,D200-F200)</f>
        <v>3.25</v>
      </c>
      <c r="H200" s="24" t="n">
        <f aca="false">-C200*G200/100+E200</f>
        <v>3237.5</v>
      </c>
      <c r="I200" s="26"/>
    </row>
    <row r="201" customFormat="false" ht="12.75" hidden="false" customHeight="false" outlineLevel="0" collapsed="false">
      <c r="A201" s="21" t="s">
        <v>41</v>
      </c>
      <c r="B201" s="22" t="n">
        <v>36234</v>
      </c>
      <c r="C201" s="23" t="n">
        <v>-100000</v>
      </c>
      <c r="D201" s="40" t="n">
        <v>121.1875</v>
      </c>
      <c r="E201" s="25" t="n">
        <f aca="false">IF(C201&gt;0,-C201/100000*12.5,C201/100000*12.5)</f>
        <v>-12.5</v>
      </c>
      <c r="F201" s="40" t="n">
        <f aca="false">+Sheet2!C$9</f>
        <v>117.53125</v>
      </c>
      <c r="G201" s="41" t="n">
        <f aca="false">IF(C201&gt;0,F201-D201,D201-F201)</f>
        <v>3.65625</v>
      </c>
      <c r="H201" s="24" t="n">
        <f aca="false">-C201*G201/100+E201</f>
        <v>3643.75</v>
      </c>
      <c r="I201" s="26"/>
    </row>
    <row r="202" customFormat="false" ht="12.75" hidden="false" customHeight="false" outlineLevel="0" collapsed="false">
      <c r="A202" s="21" t="s">
        <v>41</v>
      </c>
      <c r="B202" s="22" t="n">
        <v>36236</v>
      </c>
      <c r="C202" s="23" t="n">
        <v>-100000</v>
      </c>
      <c r="D202" s="40" t="n">
        <v>122</v>
      </c>
      <c r="E202" s="25" t="n">
        <f aca="false">IF(C202&gt;0,-C202/100000*12.5,C202/100000*12.5)</f>
        <v>-12.5</v>
      </c>
      <c r="F202" s="40" t="n">
        <f aca="false">+Sheet2!C$9</f>
        <v>117.53125</v>
      </c>
      <c r="G202" s="41" t="n">
        <f aca="false">IF(C202&gt;0,F202-D202,D202-F202)</f>
        <v>4.46875</v>
      </c>
      <c r="H202" s="24" t="n">
        <f aca="false">-C202*G202/100+E202</f>
        <v>4456.25</v>
      </c>
      <c r="I202" s="26"/>
    </row>
    <row r="203" customFormat="false" ht="12.75" hidden="false" customHeight="false" outlineLevel="0" collapsed="false">
      <c r="A203" s="21" t="s">
        <v>41</v>
      </c>
      <c r="B203" s="22" t="n">
        <v>36237</v>
      </c>
      <c r="C203" s="23" t="n">
        <v>100000</v>
      </c>
      <c r="D203" s="40" t="n">
        <v>122</v>
      </c>
      <c r="E203" s="25" t="n">
        <f aca="false">IF(C203&gt;0,-C203/100000*12.5,C203/100000*12.5)</f>
        <v>-12.5</v>
      </c>
      <c r="F203" s="40" t="n">
        <f aca="false">+Sheet2!C$9</f>
        <v>117.53125</v>
      </c>
      <c r="G203" s="41" t="n">
        <f aca="false">IF(C203&gt;0,F203-D203,D203-F203)</f>
        <v>-4.46875</v>
      </c>
      <c r="H203" s="24" t="n">
        <f aca="false">+C203*G203/100+E203</f>
        <v>-4481.25</v>
      </c>
      <c r="I203" s="26"/>
    </row>
    <row r="204" customFormat="false" ht="12.75" hidden="false" customHeight="false" outlineLevel="0" collapsed="false">
      <c r="A204" s="21" t="s">
        <v>41</v>
      </c>
      <c r="B204" s="22" t="n">
        <v>36237</v>
      </c>
      <c r="C204" s="23" t="n">
        <v>100000</v>
      </c>
      <c r="D204" s="40" t="n">
        <v>122.21875</v>
      </c>
      <c r="E204" s="25" t="n">
        <f aca="false">IF(C204&gt;0,-C204/100000*12.5,C204/100000*12.5)</f>
        <v>-12.5</v>
      </c>
      <c r="F204" s="40" t="n">
        <f aca="false">+Sheet2!C$9</f>
        <v>117.53125</v>
      </c>
      <c r="G204" s="41" t="n">
        <f aca="false">IF(C204&gt;0,F204-D204,D204-F204)</f>
        <v>-4.6875</v>
      </c>
      <c r="H204" s="24" t="n">
        <f aca="false">+C204*G204/100+E204</f>
        <v>-4700</v>
      </c>
      <c r="I204" s="26"/>
    </row>
    <row r="205" customFormat="false" ht="12.75" hidden="false" customHeight="false" outlineLevel="0" collapsed="false">
      <c r="A205" s="21" t="s">
        <v>41</v>
      </c>
      <c r="B205" s="22" t="n">
        <v>36237</v>
      </c>
      <c r="C205" s="23" t="n">
        <v>-100000</v>
      </c>
      <c r="D205" s="40" t="n">
        <v>121.9375</v>
      </c>
      <c r="E205" s="25" t="n">
        <f aca="false">IF(C205&gt;0,-C205/100000*12.5,C205/100000*12.5)</f>
        <v>-12.5</v>
      </c>
      <c r="F205" s="40" t="n">
        <f aca="false">+Sheet2!C$9</f>
        <v>117.53125</v>
      </c>
      <c r="G205" s="41" t="n">
        <f aca="false">IF(C205&gt;0,F205-D205,D205-F205)</f>
        <v>4.40625</v>
      </c>
      <c r="H205" s="24" t="n">
        <f aca="false">-C205*G205/100+E205</f>
        <v>4393.75</v>
      </c>
      <c r="I205" s="26"/>
    </row>
    <row r="206" customFormat="false" ht="12.75" hidden="false" customHeight="false" outlineLevel="0" collapsed="false">
      <c r="A206" s="21" t="s">
        <v>41</v>
      </c>
      <c r="B206" s="22" t="n">
        <v>36237</v>
      </c>
      <c r="C206" s="23" t="n">
        <v>-100000</v>
      </c>
      <c r="D206" s="40" t="n">
        <v>121.9375</v>
      </c>
      <c r="E206" s="25" t="n">
        <f aca="false">IF(C206&gt;0,-C206/100000*12.5,C206/100000*12.5)</f>
        <v>-12.5</v>
      </c>
      <c r="F206" s="40" t="n">
        <f aca="false">+Sheet2!C$9</f>
        <v>117.53125</v>
      </c>
      <c r="G206" s="41" t="n">
        <f aca="false">IF(C206&gt;0,F206-D206,D206-F206)</f>
        <v>4.40625</v>
      </c>
      <c r="H206" s="24" t="n">
        <f aca="false">-C206*G206/100+E206</f>
        <v>4393.75</v>
      </c>
      <c r="I206" s="26"/>
    </row>
    <row r="207" customFormat="false" ht="12.75" hidden="false" customHeight="false" outlineLevel="0" collapsed="false">
      <c r="A207" s="21" t="s">
        <v>41</v>
      </c>
      <c r="B207" s="22" t="n">
        <v>36238</v>
      </c>
      <c r="C207" s="23" t="n">
        <v>200000</v>
      </c>
      <c r="D207" s="40" t="n">
        <v>122.15625</v>
      </c>
      <c r="E207" s="25" t="n">
        <f aca="false">IF(C207&gt;0,-C207/100000*12.5,C207/100000*12.5)</f>
        <v>-25</v>
      </c>
      <c r="F207" s="40" t="n">
        <f aca="false">+Sheet2!C$9</f>
        <v>117.53125</v>
      </c>
      <c r="G207" s="41" t="n">
        <f aca="false">IF(C207&gt;0,F207-D207,D207-F207)</f>
        <v>-4.625</v>
      </c>
      <c r="H207" s="24" t="n">
        <f aca="false">+C207*G207/100+E207</f>
        <v>-9275</v>
      </c>
      <c r="I207" s="26"/>
    </row>
    <row r="208" customFormat="false" ht="12.75" hidden="false" customHeight="false" outlineLevel="0" collapsed="false">
      <c r="A208" s="21" t="s">
        <v>41</v>
      </c>
      <c r="B208" s="22" t="n">
        <v>36238</v>
      </c>
      <c r="C208" s="23" t="n">
        <v>-100000</v>
      </c>
      <c r="D208" s="40" t="n">
        <v>121.78125</v>
      </c>
      <c r="E208" s="25" t="n">
        <f aca="false">IF(C208&gt;0,-C208/100000*12.5,C208/100000*12.5)</f>
        <v>-12.5</v>
      </c>
      <c r="F208" s="40" t="n">
        <f aca="false">+Sheet2!C$9</f>
        <v>117.53125</v>
      </c>
      <c r="G208" s="41" t="n">
        <f aca="false">IF(C208&gt;0,F208-D208,D208-F208)</f>
        <v>4.25</v>
      </c>
      <c r="H208" s="24" t="n">
        <f aca="false">-C208*G208/100+E208</f>
        <v>4237.5</v>
      </c>
      <c r="I208" s="26"/>
    </row>
    <row r="209" customFormat="false" ht="12.75" hidden="false" customHeight="false" outlineLevel="0" collapsed="false">
      <c r="A209" s="21" t="s">
        <v>41</v>
      </c>
      <c r="B209" s="22" t="n">
        <v>36257</v>
      </c>
      <c r="C209" s="23" t="n">
        <v>100000</v>
      </c>
      <c r="D209" s="40" t="n">
        <v>122.09375</v>
      </c>
      <c r="E209" s="25" t="n">
        <f aca="false">IF(C209&gt;0,-C209/100000*12.5,C209/100000*12.5)</f>
        <v>-12.5</v>
      </c>
      <c r="F209" s="40" t="n">
        <f aca="false">+Sheet2!C$9</f>
        <v>117.53125</v>
      </c>
      <c r="G209" s="41" t="n">
        <f aca="false">IF(C209&gt;0,F209-D209,D209-F209)</f>
        <v>-4.5625</v>
      </c>
      <c r="H209" s="24" t="n">
        <f aca="false">+C209*G209/100+E209</f>
        <v>-4575</v>
      </c>
      <c r="I209" s="26"/>
    </row>
    <row r="210" customFormat="false" ht="12.75" hidden="false" customHeight="false" outlineLevel="0" collapsed="false">
      <c r="A210" s="21" t="s">
        <v>41</v>
      </c>
      <c r="B210" s="22" t="n">
        <v>36258</v>
      </c>
      <c r="C210" s="23" t="n">
        <v>200000</v>
      </c>
      <c r="D210" s="40" t="n">
        <v>122.15625</v>
      </c>
      <c r="E210" s="25" t="n">
        <f aca="false">IF(C210&gt;0,-C210/100000*12.5,C210/100000*12.5)</f>
        <v>-25</v>
      </c>
      <c r="F210" s="40" t="n">
        <f aca="false">+Sheet2!C$9</f>
        <v>117.53125</v>
      </c>
      <c r="G210" s="41" t="n">
        <f aca="false">IF(C210&gt;0,F210-D210,D210-F210)</f>
        <v>-4.625</v>
      </c>
      <c r="H210" s="24" t="n">
        <f aca="false">+C210*G210/100+E210</f>
        <v>-9275</v>
      </c>
      <c r="I210" s="26"/>
    </row>
    <row r="211" customFormat="false" ht="12.75" hidden="false" customHeight="false" outlineLevel="0" collapsed="false">
      <c r="A211" s="21" t="s">
        <v>41</v>
      </c>
      <c r="B211" s="22" t="n">
        <v>36258</v>
      </c>
      <c r="C211" s="23" t="n">
        <v>-200000</v>
      </c>
      <c r="D211" s="40" t="n">
        <v>122.4375</v>
      </c>
      <c r="E211" s="25" t="n">
        <f aca="false">IF(C211&gt;0,-C211/100000*12.5,C211/100000*12.5)</f>
        <v>-25</v>
      </c>
      <c r="F211" s="40" t="n">
        <f aca="false">+Sheet2!C$9</f>
        <v>117.53125</v>
      </c>
      <c r="G211" s="41" t="n">
        <f aca="false">IF(C211&gt;0,F211-D211,D211-F211)</f>
        <v>4.90625</v>
      </c>
      <c r="H211" s="24" t="n">
        <f aca="false">-C211*G211/100+E211</f>
        <v>9787.5</v>
      </c>
      <c r="I211" s="26"/>
    </row>
    <row r="212" customFormat="false" ht="12.75" hidden="false" customHeight="false" outlineLevel="0" collapsed="false">
      <c r="A212" s="21" t="s">
        <v>41</v>
      </c>
      <c r="B212" s="22" t="n">
        <v>36258</v>
      </c>
      <c r="C212" s="23" t="n">
        <v>200000</v>
      </c>
      <c r="D212" s="40" t="n">
        <v>123.15625</v>
      </c>
      <c r="E212" s="25" t="n">
        <f aca="false">IF(C212&gt;0,-C212/100000*12.5,C212/100000*12.5)</f>
        <v>-25</v>
      </c>
      <c r="F212" s="40" t="n">
        <f aca="false">+Sheet2!C$9</f>
        <v>117.53125</v>
      </c>
      <c r="G212" s="41" t="n">
        <f aca="false">IF(C212&gt;0,F212-D212,D212-F212)</f>
        <v>-5.625</v>
      </c>
      <c r="H212" s="24" t="n">
        <f aca="false">+C212*G212/100+E212</f>
        <v>-11275</v>
      </c>
      <c r="I212" s="26"/>
    </row>
    <row r="213" customFormat="false" ht="12.75" hidden="false" customHeight="false" outlineLevel="0" collapsed="false">
      <c r="A213" s="21" t="s">
        <v>41</v>
      </c>
      <c r="B213" s="22" t="n">
        <v>36259</v>
      </c>
      <c r="C213" s="23" t="n">
        <v>-100000</v>
      </c>
      <c r="D213" s="40" t="n">
        <v>123.3125</v>
      </c>
      <c r="E213" s="25" t="n">
        <f aca="false">IF(C213&gt;0,-C213/100000*12.5,C213/100000*12.5)</f>
        <v>-12.5</v>
      </c>
      <c r="F213" s="40" t="n">
        <f aca="false">+Sheet2!C$9</f>
        <v>117.53125</v>
      </c>
      <c r="G213" s="41" t="n">
        <f aca="false">IF(C213&gt;0,F213-D213,D213-F213)</f>
        <v>5.78125</v>
      </c>
      <c r="H213" s="24" t="n">
        <f aca="false">-C213*G213/100+E213</f>
        <v>5768.75</v>
      </c>
      <c r="I213" s="26"/>
    </row>
    <row r="214" customFormat="false" ht="12.75" hidden="false" customHeight="false" outlineLevel="0" collapsed="false">
      <c r="A214" s="21" t="s">
        <v>41</v>
      </c>
      <c r="B214" s="22" t="n">
        <v>36259</v>
      </c>
      <c r="C214" s="23" t="n">
        <v>100000</v>
      </c>
      <c r="D214" s="40" t="n">
        <v>123.15625</v>
      </c>
      <c r="E214" s="25" t="n">
        <f aca="false">IF(C214&gt;0,-C214/100000*12.5,C214/100000*12.5)</f>
        <v>-12.5</v>
      </c>
      <c r="F214" s="40" t="n">
        <f aca="false">+Sheet2!C$9</f>
        <v>117.53125</v>
      </c>
      <c r="G214" s="41" t="n">
        <f aca="false">IF(C214&gt;0,F214-D214,D214-F214)</f>
        <v>-5.625</v>
      </c>
      <c r="H214" s="24" t="n">
        <f aca="false">+C214*G214/100+E214</f>
        <v>-5637.5</v>
      </c>
      <c r="I214" s="26"/>
    </row>
    <row r="215" customFormat="false" ht="12.75" hidden="false" customHeight="false" outlineLevel="0" collapsed="false">
      <c r="A215" s="21" t="s">
        <v>41</v>
      </c>
      <c r="B215" s="22" t="n">
        <v>36259</v>
      </c>
      <c r="C215" s="23" t="n">
        <v>200000</v>
      </c>
      <c r="D215" s="40" t="n">
        <v>122.84375</v>
      </c>
      <c r="E215" s="25" t="n">
        <f aca="false">IF(C215&gt;0,-C215/100000*12.5,C215/100000*12.5)</f>
        <v>-25</v>
      </c>
      <c r="F215" s="40" t="n">
        <f aca="false">+Sheet2!C$9</f>
        <v>117.53125</v>
      </c>
      <c r="G215" s="41" t="n">
        <f aca="false">IF(C215&gt;0,F215-D215,D215-F215)</f>
        <v>-5.3125</v>
      </c>
      <c r="H215" s="24" t="n">
        <f aca="false">+C215*G215/100+E215</f>
        <v>-10650</v>
      </c>
      <c r="I215" s="26"/>
    </row>
    <row r="216" customFormat="false" ht="12.75" hidden="false" customHeight="false" outlineLevel="0" collapsed="false">
      <c r="A216" s="21" t="s">
        <v>41</v>
      </c>
      <c r="B216" s="22" t="n">
        <v>36259</v>
      </c>
      <c r="C216" s="23" t="n">
        <v>-400000</v>
      </c>
      <c r="D216" s="40" t="n">
        <v>122.9375</v>
      </c>
      <c r="E216" s="25" t="n">
        <f aca="false">IF(C216&gt;0,-C216/100000*12.5,C216/100000*12.5)</f>
        <v>-50</v>
      </c>
      <c r="F216" s="40" t="n">
        <f aca="false">+Sheet2!C$9</f>
        <v>117.53125</v>
      </c>
      <c r="G216" s="41" t="n">
        <f aca="false">IF(C216&gt;0,F216-D216,D216-F216)</f>
        <v>5.40625</v>
      </c>
      <c r="H216" s="24" t="n">
        <f aca="false">-C216*G216/100+E216</f>
        <v>21575</v>
      </c>
      <c r="I216" s="26"/>
    </row>
    <row r="217" customFormat="false" ht="12.75" hidden="false" customHeight="false" outlineLevel="0" collapsed="false">
      <c r="A217" s="21" t="s">
        <v>41</v>
      </c>
      <c r="B217" s="22" t="n">
        <v>36263</v>
      </c>
      <c r="C217" s="23" t="n">
        <v>100000</v>
      </c>
      <c r="D217" s="40" t="n">
        <v>122.9375</v>
      </c>
      <c r="E217" s="25" t="n">
        <f aca="false">IF(C217&gt;0,-C217/100000*12.5,C217/100000*12.5)</f>
        <v>-12.5</v>
      </c>
      <c r="F217" s="40" t="n">
        <f aca="false">+Sheet2!C$9</f>
        <v>117.53125</v>
      </c>
      <c r="G217" s="41" t="n">
        <f aca="false">IF(C217&gt;0,F217-D217,D217-F217)</f>
        <v>-5.40625</v>
      </c>
      <c r="H217" s="24" t="n">
        <f aca="false">+C217*G217/100+E217</f>
        <v>-5418.75</v>
      </c>
      <c r="I217" s="26"/>
    </row>
    <row r="218" customFormat="false" ht="12.75" hidden="false" customHeight="false" outlineLevel="0" collapsed="false">
      <c r="A218" s="21" t="s">
        <v>41</v>
      </c>
      <c r="B218" s="22" t="n">
        <v>36263</v>
      </c>
      <c r="C218" s="23" t="n">
        <v>-100000</v>
      </c>
      <c r="D218" s="40" t="n">
        <v>122.5625</v>
      </c>
      <c r="E218" s="25" t="n">
        <f aca="false">IF(C218&gt;0,-C218/100000*12.5,C218/100000*12.5)</f>
        <v>-12.5</v>
      </c>
      <c r="F218" s="40" t="n">
        <f aca="false">+Sheet2!C$9</f>
        <v>117.53125</v>
      </c>
      <c r="G218" s="41" t="n">
        <f aca="false">IF(C218&gt;0,F218-D218,D218-F218)</f>
        <v>5.03125</v>
      </c>
      <c r="H218" s="24" t="n">
        <f aca="false">-C218*G218/100+E218</f>
        <v>5018.75</v>
      </c>
      <c r="I218" s="26"/>
    </row>
    <row r="219" customFormat="false" ht="12.75" hidden="false" customHeight="false" outlineLevel="0" collapsed="false">
      <c r="A219" s="21" t="s">
        <v>41</v>
      </c>
      <c r="B219" s="22" t="n">
        <v>36264</v>
      </c>
      <c r="C219" s="23" t="n">
        <v>300000</v>
      </c>
      <c r="D219" s="40" t="n">
        <v>122.3125</v>
      </c>
      <c r="E219" s="25" t="n">
        <f aca="false">IF(C219&gt;0,-C219/100000*12.5,C219/100000*12.5)</f>
        <v>-37.5</v>
      </c>
      <c r="F219" s="40" t="n">
        <f aca="false">+Sheet2!C$9</f>
        <v>117.53125</v>
      </c>
      <c r="G219" s="41" t="n">
        <f aca="false">IF(C219&gt;0,F219-D219,D219-F219)</f>
        <v>-4.78125</v>
      </c>
      <c r="H219" s="24" t="n">
        <f aca="false">+C219*G219/100+E219</f>
        <v>-14381.25</v>
      </c>
      <c r="I219" s="26"/>
    </row>
    <row r="220" customFormat="false" ht="12.75" hidden="false" customHeight="false" outlineLevel="0" collapsed="false">
      <c r="A220" s="21" t="s">
        <v>41</v>
      </c>
      <c r="B220" s="22" t="n">
        <v>36264</v>
      </c>
      <c r="C220" s="23" t="n">
        <v>-400000</v>
      </c>
      <c r="D220" s="40" t="n">
        <v>122.21875</v>
      </c>
      <c r="E220" s="25" t="n">
        <f aca="false">IF(C220&gt;0,-C220/100000*12.5,C220/100000*12.5)</f>
        <v>-50</v>
      </c>
      <c r="F220" s="40" t="n">
        <f aca="false">+Sheet2!C$9</f>
        <v>117.53125</v>
      </c>
      <c r="G220" s="41" t="n">
        <f aca="false">IF(C220&gt;0,F220-D220,D220-F220)</f>
        <v>4.6875</v>
      </c>
      <c r="H220" s="24" t="n">
        <f aca="false">-C220*G220/100+E220</f>
        <v>18700</v>
      </c>
      <c r="I220" s="26"/>
    </row>
    <row r="221" customFormat="false" ht="12.75" hidden="false" customHeight="false" outlineLevel="0" collapsed="false">
      <c r="A221" s="21" t="s">
        <v>41</v>
      </c>
      <c r="B221" s="22" t="n">
        <v>36265</v>
      </c>
      <c r="C221" s="23" t="n">
        <v>100000</v>
      </c>
      <c r="D221" s="40" t="n">
        <v>122.34375</v>
      </c>
      <c r="E221" s="25" t="n">
        <f aca="false">IF(C221&gt;0,-C221/100000*12.5,C221/100000*12.5)</f>
        <v>-12.5</v>
      </c>
      <c r="F221" s="40" t="n">
        <f aca="false">+Sheet2!C$9</f>
        <v>117.53125</v>
      </c>
      <c r="G221" s="41" t="n">
        <f aca="false">IF(C221&gt;0,F221-D221,D221-F221)</f>
        <v>-4.8125</v>
      </c>
      <c r="H221" s="24" t="n">
        <f aca="false">+C221*G221/100+E221</f>
        <v>-4825</v>
      </c>
      <c r="I221" s="26"/>
    </row>
    <row r="222" customFormat="false" ht="12.75" hidden="false" customHeight="false" outlineLevel="0" collapsed="false">
      <c r="A222" s="21" t="s">
        <v>41</v>
      </c>
      <c r="B222" s="22" t="n">
        <v>36265</v>
      </c>
      <c r="C222" s="23" t="n">
        <v>-100000</v>
      </c>
      <c r="D222" s="40" t="n">
        <v>122.0625</v>
      </c>
      <c r="E222" s="25" t="n">
        <f aca="false">IF(C222&gt;0,-C222/100000*12.5,C222/100000*12.5)</f>
        <v>-12.5</v>
      </c>
      <c r="F222" s="40" t="n">
        <f aca="false">+Sheet2!C$9</f>
        <v>117.53125</v>
      </c>
      <c r="G222" s="41" t="n">
        <f aca="false">IF(C222&gt;0,F222-D222,D222-F222)</f>
        <v>4.53125</v>
      </c>
      <c r="H222" s="24" t="n">
        <f aca="false">-C222*G222/100+E222</f>
        <v>4518.75</v>
      </c>
      <c r="I222" s="26"/>
    </row>
    <row r="223" customFormat="false" ht="12.75" hidden="false" customHeight="false" outlineLevel="0" collapsed="false">
      <c r="A223" s="21" t="s">
        <v>41</v>
      </c>
      <c r="B223" s="22" t="n">
        <v>36272</v>
      </c>
      <c r="C223" s="23" t="n">
        <v>200000</v>
      </c>
      <c r="D223" s="40" t="n">
        <v>122</v>
      </c>
      <c r="E223" s="25" t="n">
        <f aca="false">IF(C223&gt;0,-C223/100000*12.5,C223/100000*12.5)</f>
        <v>-25</v>
      </c>
      <c r="F223" s="40" t="n">
        <f aca="false">+Sheet2!C$9</f>
        <v>117.53125</v>
      </c>
      <c r="G223" s="41" t="n">
        <f aca="false">IF(C223&gt;0,F223-D223,D223-F223)</f>
        <v>-4.46875</v>
      </c>
      <c r="H223" s="24" t="n">
        <f aca="false">+C223*G223/100+E223</f>
        <v>-8962.5</v>
      </c>
      <c r="I223" s="26"/>
    </row>
    <row r="224" customFormat="false" ht="12.75" hidden="false" customHeight="false" outlineLevel="0" collapsed="false">
      <c r="A224" s="21" t="s">
        <v>41</v>
      </c>
      <c r="B224" s="22" t="n">
        <v>36272</v>
      </c>
      <c r="C224" s="23" t="n">
        <v>-200000</v>
      </c>
      <c r="D224" s="40" t="n">
        <v>121.59375</v>
      </c>
      <c r="E224" s="25" t="n">
        <f aca="false">IF(C224&gt;0,-C224/100000*12.5,C224/100000*12.5)</f>
        <v>-25</v>
      </c>
      <c r="F224" s="40" t="n">
        <f aca="false">+Sheet2!C$9</f>
        <v>117.53125</v>
      </c>
      <c r="G224" s="41" t="n">
        <f aca="false">IF(C224&gt;0,F224-D224,D224-F224)</f>
        <v>4.0625</v>
      </c>
      <c r="H224" s="24" t="n">
        <f aca="false">-C224*G224/100+E224</f>
        <v>8100</v>
      </c>
      <c r="I224" s="26"/>
    </row>
    <row r="225" customFormat="false" ht="12.75" hidden="false" customHeight="false" outlineLevel="0" collapsed="false">
      <c r="A225" s="21" t="s">
        <v>41</v>
      </c>
      <c r="B225" s="22" t="n">
        <v>36279</v>
      </c>
      <c r="C225" s="23" t="n">
        <v>200000</v>
      </c>
      <c r="D225" s="40" t="n">
        <v>122.28125</v>
      </c>
      <c r="E225" s="25" t="n">
        <f aca="false">IF(C225&gt;0,-C225/100000*12.5,C225/100000*12.5)</f>
        <v>-25</v>
      </c>
      <c r="F225" s="40" t="n">
        <f aca="false">+Sheet2!C$9</f>
        <v>117.53125</v>
      </c>
      <c r="G225" s="41" t="n">
        <f aca="false">IF(C225&gt;0,F225-D225,D225-F225)</f>
        <v>-4.75</v>
      </c>
      <c r="H225" s="24" t="n">
        <f aca="false">+C225*G225/100+E225</f>
        <v>-9525</v>
      </c>
      <c r="I225" s="26"/>
    </row>
    <row r="226" customFormat="false" ht="12.75" hidden="false" customHeight="false" outlineLevel="0" collapsed="false">
      <c r="A226" s="21" t="s">
        <v>41</v>
      </c>
      <c r="B226" s="22" t="n">
        <v>36279</v>
      </c>
      <c r="C226" s="23" t="n">
        <v>-200000</v>
      </c>
      <c r="D226" s="40" t="n">
        <v>122.0625</v>
      </c>
      <c r="E226" s="25" t="n">
        <f aca="false">IF(C226&gt;0,-C226/100000*12.5,C226/100000*12.5)</f>
        <v>-25</v>
      </c>
      <c r="F226" s="40" t="n">
        <f aca="false">+Sheet2!C$9</f>
        <v>117.53125</v>
      </c>
      <c r="G226" s="41" t="n">
        <f aca="false">IF(C226&gt;0,F226-D226,D226-F226)</f>
        <v>4.53125</v>
      </c>
      <c r="H226" s="24" t="n">
        <f aca="false">-C226*G226/100+E226</f>
        <v>9037.5</v>
      </c>
      <c r="I226" s="26"/>
    </row>
    <row r="227" customFormat="false" ht="12.75" hidden="false" customHeight="false" outlineLevel="0" collapsed="false">
      <c r="J227" s="29" t="n">
        <f aca="false">SUM(H166:H227)</f>
        <v>-2556.25</v>
      </c>
      <c r="K227" s="30" t="s">
        <v>42</v>
      </c>
    </row>
    <row r="228" customFormat="false" ht="12.75" hidden="false" customHeight="false" outlineLevel="0" collapsed="false">
      <c r="J228" s="31" t="n">
        <f aca="false">SUM(C166:C227)/100000</f>
        <v>0</v>
      </c>
      <c r="K228" s="30" t="s">
        <v>16</v>
      </c>
    </row>
    <row r="229" customFormat="false" ht="12.75" hidden="true" customHeight="false" outlineLevel="0" collapsed="false">
      <c r="A229" s="21" t="s">
        <v>43</v>
      </c>
      <c r="B229" s="22" t="n">
        <v>36185</v>
      </c>
      <c r="C229" s="23" t="n">
        <v>-20000</v>
      </c>
      <c r="D229" s="42" t="n">
        <v>1232.75</v>
      </c>
      <c r="E229" s="25" t="n">
        <f aca="false">IF(C229&gt;0,-C229/10000*12.5,C229/10000*12.5)</f>
        <v>-25</v>
      </c>
      <c r="F229" s="42" t="n">
        <f aca="false">+Sheet2!D$9</f>
        <v>1340.25</v>
      </c>
      <c r="G229" s="24" t="n">
        <f aca="false">IF(C229&gt;0,F229-D229,D229-F229)</f>
        <v>-107.5</v>
      </c>
      <c r="H229" s="24" t="n">
        <f aca="false">-C229*G229/200+E229</f>
        <v>-10775</v>
      </c>
      <c r="I229" s="26"/>
    </row>
    <row r="230" customFormat="false" ht="12.75" hidden="true" customHeight="false" outlineLevel="0" collapsed="false">
      <c r="A230" s="21" t="s">
        <v>43</v>
      </c>
      <c r="B230" s="22" t="n">
        <v>36185</v>
      </c>
      <c r="C230" s="23" t="n">
        <v>-20000</v>
      </c>
      <c r="D230" s="42" t="n">
        <v>1227.25</v>
      </c>
      <c r="E230" s="25" t="n">
        <f aca="false">IF(C230&gt;0,-C230/10000*12.5,C230/10000*12.5)</f>
        <v>-25</v>
      </c>
      <c r="F230" s="42" t="n">
        <f aca="false">+Sheet2!D$9</f>
        <v>1340.25</v>
      </c>
      <c r="G230" s="24" t="n">
        <f aca="false">IF(C230&gt;0,F230-D230,D230-F230)</f>
        <v>-113</v>
      </c>
      <c r="H230" s="24" t="n">
        <f aca="false">-C230*G230/200+E230</f>
        <v>-11325</v>
      </c>
      <c r="I230" s="26"/>
    </row>
    <row r="231" customFormat="false" ht="12.75" hidden="true" customHeight="false" outlineLevel="0" collapsed="false">
      <c r="A231" s="21" t="s">
        <v>43</v>
      </c>
      <c r="B231" s="22" t="n">
        <v>36185</v>
      </c>
      <c r="C231" s="23" t="n">
        <v>40000</v>
      </c>
      <c r="D231" s="42" t="n">
        <v>1233.5</v>
      </c>
      <c r="E231" s="25" t="n">
        <f aca="false">IF(C231&gt;0,-C231/10000*12.5,C231/10000*12.5)</f>
        <v>-50</v>
      </c>
      <c r="F231" s="42" t="n">
        <f aca="false">+Sheet2!D$9</f>
        <v>1340.25</v>
      </c>
      <c r="G231" s="24" t="n">
        <f aca="false">IF(C231&gt;0,F231-D231,D231-F231)</f>
        <v>106.75</v>
      </c>
      <c r="H231" s="24" t="n">
        <f aca="false">C231*G231/200+E231</f>
        <v>21300</v>
      </c>
      <c r="I231" s="26"/>
    </row>
    <row r="232" customFormat="false" ht="12.75" hidden="true" customHeight="false" outlineLevel="0" collapsed="false">
      <c r="A232" s="21" t="s">
        <v>43</v>
      </c>
      <c r="B232" s="22" t="n">
        <v>36196</v>
      </c>
      <c r="C232" s="23" t="n">
        <v>-10000</v>
      </c>
      <c r="D232" s="42" t="n">
        <v>1238.75</v>
      </c>
      <c r="E232" s="25" t="n">
        <f aca="false">IF(C232&gt;0,-C232/10000*12.5,C232/10000*12.5)</f>
        <v>-12.5</v>
      </c>
      <c r="F232" s="42" t="n">
        <f aca="false">+Sheet2!D$9</f>
        <v>1340.25</v>
      </c>
      <c r="G232" s="24" t="n">
        <f aca="false">IF(C232&gt;0,F232-D232,D232-F232)</f>
        <v>-101.5</v>
      </c>
      <c r="H232" s="24" t="n">
        <f aca="false">-C232*G232/200+E232</f>
        <v>-5087.5</v>
      </c>
      <c r="I232" s="26"/>
    </row>
    <row r="233" customFormat="false" ht="12.75" hidden="true" customHeight="false" outlineLevel="0" collapsed="false">
      <c r="A233" s="21" t="s">
        <v>43</v>
      </c>
      <c r="B233" s="22" t="n">
        <v>36196</v>
      </c>
      <c r="C233" s="23" t="n">
        <v>-10000</v>
      </c>
      <c r="D233" s="42" t="n">
        <v>1239</v>
      </c>
      <c r="E233" s="25" t="n">
        <f aca="false">IF(C233&gt;0,-C233/10000*12.5,C233/10000*12.5)</f>
        <v>-12.5</v>
      </c>
      <c r="F233" s="42" t="n">
        <f aca="false">+Sheet2!D$9</f>
        <v>1340.25</v>
      </c>
      <c r="G233" s="24" t="n">
        <f aca="false">IF(C233&gt;0,F233-D233,D233-F233)</f>
        <v>-101.25</v>
      </c>
      <c r="H233" s="24" t="n">
        <f aca="false">-C233*G233/200+E233</f>
        <v>-5075</v>
      </c>
      <c r="I233" s="26"/>
    </row>
    <row r="234" customFormat="false" ht="12.75" hidden="true" customHeight="false" outlineLevel="0" collapsed="false">
      <c r="A234" s="21" t="s">
        <v>43</v>
      </c>
      <c r="B234" s="22" t="n">
        <v>36199</v>
      </c>
      <c r="C234" s="23" t="n">
        <v>20000</v>
      </c>
      <c r="D234" s="42" t="n">
        <v>1251.25</v>
      </c>
      <c r="E234" s="25" t="n">
        <f aca="false">IF(C234&gt;0,-C234/10000*12.5,C234/10000*12.5)</f>
        <v>-25</v>
      </c>
      <c r="F234" s="42" t="n">
        <f aca="false">+Sheet2!D$9</f>
        <v>1340.25</v>
      </c>
      <c r="G234" s="24" t="n">
        <f aca="false">IF(C234&gt;0,F234-D234,D234-F234)</f>
        <v>89</v>
      </c>
      <c r="H234" s="24" t="n">
        <f aca="false">C234*G234/200+E234</f>
        <v>8875</v>
      </c>
      <c r="I234" s="26"/>
    </row>
    <row r="235" customFormat="false" ht="12.75" hidden="true" customHeight="false" outlineLevel="0" collapsed="false">
      <c r="A235" s="21" t="s">
        <v>43</v>
      </c>
      <c r="B235" s="22" t="n">
        <v>36200</v>
      </c>
      <c r="C235" s="23" t="n">
        <v>-20000</v>
      </c>
      <c r="D235" s="42" t="n">
        <v>1237.75</v>
      </c>
      <c r="E235" s="25" t="n">
        <f aca="false">IF(C235&gt;0,-C235/10000*12.5,C235/10000*12.5)</f>
        <v>-25</v>
      </c>
      <c r="F235" s="42" t="n">
        <f aca="false">+Sheet2!D$9</f>
        <v>1340.25</v>
      </c>
      <c r="G235" s="24" t="n">
        <f aca="false">IF(C235&gt;0,F235-D235,D235-F235)</f>
        <v>-102.5</v>
      </c>
      <c r="H235" s="24" t="n">
        <f aca="false">-C235*G235/200+E235</f>
        <v>-10275</v>
      </c>
      <c r="I235" s="26"/>
    </row>
    <row r="236" customFormat="false" ht="12.75" hidden="true" customHeight="false" outlineLevel="0" collapsed="false">
      <c r="A236" s="21" t="s">
        <v>43</v>
      </c>
      <c r="B236" s="22" t="n">
        <v>36200</v>
      </c>
      <c r="C236" s="23" t="n">
        <v>-20000</v>
      </c>
      <c r="D236" s="42" t="n">
        <v>1234.75</v>
      </c>
      <c r="E236" s="25" t="n">
        <f aca="false">IF(C236&gt;0,-C236/10000*12.5,C236/10000*12.5)</f>
        <v>-25</v>
      </c>
      <c r="F236" s="42" t="n">
        <f aca="false">+Sheet2!D$9</f>
        <v>1340.25</v>
      </c>
      <c r="G236" s="24" t="n">
        <f aca="false">IF(C236&gt;0,F236-D236,D236-F236)</f>
        <v>-105.5</v>
      </c>
      <c r="H236" s="24" t="n">
        <f aca="false">-C236*G236/200+E236</f>
        <v>-10575</v>
      </c>
      <c r="I236" s="26"/>
    </row>
    <row r="237" customFormat="false" ht="12.75" hidden="true" customHeight="false" outlineLevel="0" collapsed="false">
      <c r="A237" s="21" t="s">
        <v>43</v>
      </c>
      <c r="B237" s="22" t="n">
        <v>36200</v>
      </c>
      <c r="C237" s="23" t="n">
        <v>20000</v>
      </c>
      <c r="D237" s="42" t="n">
        <v>1230</v>
      </c>
      <c r="E237" s="25" t="n">
        <f aca="false">IF(C237&gt;0,-C237/10000*12.5,C237/10000*12.5)</f>
        <v>-25</v>
      </c>
      <c r="F237" s="42" t="n">
        <f aca="false">+Sheet2!D$9</f>
        <v>1340.25</v>
      </c>
      <c r="G237" s="24" t="n">
        <f aca="false">IF(C237&gt;0,F237-D237,D237-F237)</f>
        <v>110.25</v>
      </c>
      <c r="H237" s="24" t="n">
        <f aca="false">C237*G237/200+E237</f>
        <v>11000</v>
      </c>
      <c r="I237" s="26"/>
    </row>
    <row r="238" customFormat="false" ht="12.75" hidden="true" customHeight="false" outlineLevel="0" collapsed="false">
      <c r="A238" s="21" t="s">
        <v>43</v>
      </c>
      <c r="B238" s="22" t="n">
        <v>36200</v>
      </c>
      <c r="C238" s="23" t="n">
        <v>-20000</v>
      </c>
      <c r="D238" s="42" t="n">
        <v>1232.25</v>
      </c>
      <c r="E238" s="25" t="n">
        <f aca="false">IF(C238&gt;0,-C238/10000*12.5,C238/10000*12.5)</f>
        <v>-25</v>
      </c>
      <c r="F238" s="42" t="n">
        <f aca="false">+Sheet2!D$9</f>
        <v>1340.25</v>
      </c>
      <c r="G238" s="24" t="n">
        <f aca="false">IF(C238&gt;0,F238-D238,D238-F238)</f>
        <v>-108</v>
      </c>
      <c r="H238" s="24" t="n">
        <f aca="false">-C238*G238/200+E238</f>
        <v>-10825</v>
      </c>
      <c r="I238" s="26"/>
    </row>
    <row r="239" customFormat="false" ht="12.75" hidden="true" customHeight="false" outlineLevel="0" collapsed="false">
      <c r="A239" s="21" t="s">
        <v>43</v>
      </c>
      <c r="B239" s="22" t="n">
        <v>36200</v>
      </c>
      <c r="C239" s="23" t="n">
        <v>40000</v>
      </c>
      <c r="D239" s="42" t="n">
        <v>1238</v>
      </c>
      <c r="E239" s="25" t="n">
        <f aca="false">IF(C239&gt;0,-C239/10000*12.5,C239/10000*12.5)</f>
        <v>-50</v>
      </c>
      <c r="F239" s="42" t="n">
        <f aca="false">+Sheet2!D$9</f>
        <v>1340.25</v>
      </c>
      <c r="G239" s="24" t="n">
        <f aca="false">IF(C239&gt;0,F239-D239,D239-F239)</f>
        <v>102.25</v>
      </c>
      <c r="H239" s="24" t="n">
        <f aca="false">C239*G239/200+E239</f>
        <v>20400</v>
      </c>
      <c r="I239" s="26"/>
    </row>
    <row r="240" customFormat="false" ht="12.75" hidden="true" customHeight="false" outlineLevel="0" collapsed="false">
      <c r="A240" s="21" t="s">
        <v>43</v>
      </c>
      <c r="B240" s="22" t="n">
        <v>36200</v>
      </c>
      <c r="C240" s="23" t="n">
        <v>-20000</v>
      </c>
      <c r="D240" s="42" t="n">
        <v>1229</v>
      </c>
      <c r="E240" s="25" t="n">
        <f aca="false">IF(C240&gt;0,-C240/10000*12.5,C240/10000*12.5)</f>
        <v>-25</v>
      </c>
      <c r="F240" s="42" t="n">
        <f aca="false">+Sheet2!D$9</f>
        <v>1340.25</v>
      </c>
      <c r="G240" s="24" t="n">
        <f aca="false">IF(C240&gt;0,F240-D240,D240-F240)</f>
        <v>-111.25</v>
      </c>
      <c r="H240" s="24" t="n">
        <f aca="false">-C240*G240/200+E240</f>
        <v>-11150</v>
      </c>
      <c r="I240" s="26"/>
    </row>
    <row r="241" customFormat="false" ht="12.75" hidden="true" customHeight="false" outlineLevel="0" collapsed="false">
      <c r="A241" s="21" t="s">
        <v>43</v>
      </c>
      <c r="B241" s="22" t="n">
        <v>36201</v>
      </c>
      <c r="C241" s="23" t="n">
        <v>-20000</v>
      </c>
      <c r="D241" s="42" t="n">
        <v>1227.25</v>
      </c>
      <c r="E241" s="25" t="n">
        <f aca="false">IF(C241&gt;0,-C241/10000*12.5,C241/10000*12.5)</f>
        <v>-25</v>
      </c>
      <c r="F241" s="42" t="n">
        <f aca="false">+Sheet2!D$9</f>
        <v>1340.25</v>
      </c>
      <c r="G241" s="24" t="n">
        <f aca="false">IF(C241&gt;0,F241-D241,D241-F241)</f>
        <v>-113</v>
      </c>
      <c r="H241" s="24" t="n">
        <f aca="false">-C241*G241/200+E241</f>
        <v>-11325</v>
      </c>
      <c r="I241" s="26"/>
    </row>
    <row r="242" customFormat="false" ht="12.75" hidden="true" customHeight="false" outlineLevel="0" collapsed="false">
      <c r="A242" s="21" t="s">
        <v>43</v>
      </c>
      <c r="B242" s="22" t="n">
        <v>36201</v>
      </c>
      <c r="C242" s="23" t="n">
        <v>20000</v>
      </c>
      <c r="D242" s="42" t="n">
        <v>1223</v>
      </c>
      <c r="E242" s="25" t="n">
        <f aca="false">IF(C242&gt;0,-C242/10000*12.5,C242/10000*12.5)</f>
        <v>-25</v>
      </c>
      <c r="F242" s="42" t="n">
        <f aca="false">+Sheet2!D$9</f>
        <v>1340.25</v>
      </c>
      <c r="G242" s="24" t="n">
        <f aca="false">IF(C242&gt;0,F242-D242,D242-F242)</f>
        <v>117.25</v>
      </c>
      <c r="H242" s="24" t="n">
        <f aca="false">C242*G242/200+E242</f>
        <v>11700</v>
      </c>
      <c r="I242" s="26"/>
    </row>
    <row r="243" customFormat="false" ht="12.75" hidden="true" customHeight="false" outlineLevel="0" collapsed="false">
      <c r="A243" s="21" t="s">
        <v>43</v>
      </c>
      <c r="B243" s="22" t="n">
        <v>36201</v>
      </c>
      <c r="C243" s="23" t="n">
        <v>20000</v>
      </c>
      <c r="D243" s="42" t="n">
        <v>1222.25</v>
      </c>
      <c r="E243" s="25" t="n">
        <f aca="false">IF(C243&gt;0,-C243/10000*12.5,C243/10000*12.5)</f>
        <v>-25</v>
      </c>
      <c r="F243" s="42" t="n">
        <f aca="false">+Sheet2!D$9</f>
        <v>1340.25</v>
      </c>
      <c r="G243" s="24" t="n">
        <f aca="false">IF(C243&gt;0,F243-D243,D243-F243)</f>
        <v>118</v>
      </c>
      <c r="H243" s="24" t="n">
        <f aca="false">C243*G243/200+E243</f>
        <v>11775</v>
      </c>
      <c r="I243" s="26"/>
    </row>
    <row r="244" customFormat="false" ht="12.75" hidden="true" customHeight="false" outlineLevel="0" collapsed="false">
      <c r="A244" s="21" t="s">
        <v>43</v>
      </c>
      <c r="B244" s="22" t="n">
        <v>36201</v>
      </c>
      <c r="C244" s="23" t="n">
        <v>-20000</v>
      </c>
      <c r="D244" s="42" t="n">
        <v>1219.25</v>
      </c>
      <c r="E244" s="25" t="n">
        <f aca="false">IF(C244&gt;0,-C244/10000*12.5,C244/10000*12.5)</f>
        <v>-25</v>
      </c>
      <c r="F244" s="42" t="n">
        <f aca="false">+Sheet2!D$9</f>
        <v>1340.25</v>
      </c>
      <c r="G244" s="24" t="n">
        <f aca="false">IF(C244&gt;0,F244-D244,D244-F244)</f>
        <v>-121</v>
      </c>
      <c r="H244" s="24" t="n">
        <f aca="false">-C244*G244/200+E244</f>
        <v>-12125</v>
      </c>
      <c r="I244" s="26"/>
    </row>
    <row r="245" customFormat="false" ht="12.75" hidden="true" customHeight="false" outlineLevel="0" collapsed="false">
      <c r="A245" s="21" t="s">
        <v>43</v>
      </c>
      <c r="B245" s="22" t="n">
        <v>36201</v>
      </c>
      <c r="C245" s="23" t="n">
        <v>-20000</v>
      </c>
      <c r="D245" s="42" t="n">
        <v>1218.25</v>
      </c>
      <c r="E245" s="25" t="n">
        <f aca="false">IF(C245&gt;0,-C245/10000*12.5,C245/10000*12.5)</f>
        <v>-25</v>
      </c>
      <c r="F245" s="42" t="n">
        <f aca="false">+Sheet2!D$9</f>
        <v>1340.25</v>
      </c>
      <c r="G245" s="24" t="n">
        <f aca="false">IF(C245&gt;0,F245-D245,D245-F245)</f>
        <v>-122</v>
      </c>
      <c r="H245" s="24" t="n">
        <f aca="false">-C245*G245/200+E245</f>
        <v>-12225</v>
      </c>
      <c r="I245" s="26"/>
    </row>
    <row r="246" customFormat="false" ht="12.75" hidden="true" customHeight="false" outlineLevel="0" collapsed="false">
      <c r="A246" s="21" t="s">
        <v>43</v>
      </c>
      <c r="B246" s="22" t="n">
        <v>36201</v>
      </c>
      <c r="C246" s="23" t="n">
        <v>20000</v>
      </c>
      <c r="D246" s="42" t="n">
        <v>1224.75</v>
      </c>
      <c r="E246" s="25" t="n">
        <f aca="false">IF(C246&gt;0,-C246/10000*12.5,C246/10000*12.5)</f>
        <v>-25</v>
      </c>
      <c r="F246" s="42" t="n">
        <f aca="false">+Sheet2!D$9</f>
        <v>1340.25</v>
      </c>
      <c r="G246" s="24" t="n">
        <f aca="false">IF(C246&gt;0,F246-D246,D246-F246)</f>
        <v>115.5</v>
      </c>
      <c r="H246" s="24" t="n">
        <f aca="false">C246*G246/200+E246</f>
        <v>11525</v>
      </c>
      <c r="I246" s="26"/>
    </row>
    <row r="247" customFormat="false" ht="12.75" hidden="true" customHeight="false" outlineLevel="0" collapsed="false">
      <c r="A247" s="21" t="s">
        <v>43</v>
      </c>
      <c r="B247" s="22" t="n">
        <v>36201</v>
      </c>
      <c r="C247" s="23" t="n">
        <v>20000</v>
      </c>
      <c r="D247" s="42" t="n">
        <v>1225</v>
      </c>
      <c r="E247" s="25" t="n">
        <f aca="false">IF(C247&gt;0,-C247/10000*12.5,C247/10000*12.5)</f>
        <v>-25</v>
      </c>
      <c r="F247" s="42" t="n">
        <f aca="false">+Sheet2!D$9</f>
        <v>1340.25</v>
      </c>
      <c r="G247" s="24" t="n">
        <f aca="false">IF(C247&gt;0,F247-D247,D247-F247)</f>
        <v>115.25</v>
      </c>
      <c r="H247" s="24" t="n">
        <f aca="false">C247*G247/200+E247</f>
        <v>11500</v>
      </c>
      <c r="I247" s="26"/>
      <c r="Z247" s="2" t="str">
        <f aca="false" t="array" ref="Z247:Z247">DDE("TWINDDE","Telerate","9220 11 13 6 1")</f>
        <v>+NA+</v>
      </c>
    </row>
    <row r="248" customFormat="false" ht="12.75" hidden="true" customHeight="false" outlineLevel="0" collapsed="false">
      <c r="A248" s="21" t="s">
        <v>43</v>
      </c>
      <c r="B248" s="22" t="n">
        <v>36202</v>
      </c>
      <c r="C248" s="23" t="n">
        <v>-20000</v>
      </c>
      <c r="D248" s="42" t="n">
        <v>1235</v>
      </c>
      <c r="E248" s="25" t="n">
        <f aca="false">IF(C248&gt;0,-C248/10000*12.5,C248/10000*12.5)</f>
        <v>-25</v>
      </c>
      <c r="F248" s="42" t="n">
        <f aca="false">+Sheet2!D$9</f>
        <v>1340.25</v>
      </c>
      <c r="G248" s="24" t="n">
        <f aca="false">IF(C248&gt;0,F248-D248,D248-F248)</f>
        <v>-105.25</v>
      </c>
      <c r="H248" s="24" t="n">
        <f aca="false">-C248*G248/200+E248</f>
        <v>-10550</v>
      </c>
      <c r="I248" s="26"/>
    </row>
    <row r="249" customFormat="false" ht="12.75" hidden="true" customHeight="false" outlineLevel="0" collapsed="false">
      <c r="A249" s="21" t="s">
        <v>43</v>
      </c>
      <c r="B249" s="22" t="n">
        <v>36202</v>
      </c>
      <c r="C249" s="23" t="n">
        <v>10000</v>
      </c>
      <c r="D249" s="42" t="n">
        <v>1238.75</v>
      </c>
      <c r="E249" s="25" t="n">
        <f aca="false">IF(C249&gt;0,-C249/10000*12.5,C249/10000*12.5)</f>
        <v>-12.5</v>
      </c>
      <c r="F249" s="42" t="n">
        <f aca="false">+Sheet2!D$9</f>
        <v>1340.25</v>
      </c>
      <c r="G249" s="24" t="n">
        <f aca="false">IF(C249&gt;0,F249-D249,D249-F249)</f>
        <v>101.5</v>
      </c>
      <c r="H249" s="24" t="n">
        <f aca="false">C249*G249/200+E249</f>
        <v>5062.5</v>
      </c>
      <c r="I249" s="26"/>
    </row>
    <row r="250" customFormat="false" ht="12.75" hidden="true" customHeight="false" outlineLevel="0" collapsed="false">
      <c r="A250" s="21" t="s">
        <v>43</v>
      </c>
      <c r="B250" s="22" t="n">
        <v>36202</v>
      </c>
      <c r="C250" s="23" t="n">
        <v>10000</v>
      </c>
      <c r="D250" s="42" t="n">
        <v>1239</v>
      </c>
      <c r="E250" s="25" t="n">
        <f aca="false">IF(C250&gt;0,-C250/10000*12.5,C250/10000*12.5)</f>
        <v>-12.5</v>
      </c>
      <c r="F250" s="42" t="n">
        <f aca="false">+Sheet2!D$9</f>
        <v>1340.25</v>
      </c>
      <c r="G250" s="24" t="n">
        <f aca="false">IF(C250&gt;0,F250-D250,D250-F250)</f>
        <v>101.25</v>
      </c>
      <c r="H250" s="24" t="n">
        <f aca="false">C250*G250/200+E250</f>
        <v>5050</v>
      </c>
      <c r="I250" s="26"/>
    </row>
    <row r="251" customFormat="false" ht="12.75" hidden="true" customHeight="false" outlineLevel="0" collapsed="false">
      <c r="A251" s="21" t="s">
        <v>43</v>
      </c>
      <c r="B251" s="22" t="n">
        <v>36202</v>
      </c>
      <c r="C251" s="23" t="n">
        <v>-20000</v>
      </c>
      <c r="D251" s="42" t="n">
        <v>1248.75</v>
      </c>
      <c r="E251" s="25" t="n">
        <f aca="false">IF(C251&gt;0,-C251/10000*12.5,C251/10000*12.5)</f>
        <v>-25</v>
      </c>
      <c r="F251" s="42" t="n">
        <f aca="false">+Sheet2!D$9</f>
        <v>1340.25</v>
      </c>
      <c r="G251" s="24" t="n">
        <f aca="false">IF(C251&gt;0,F251-D251,D251-F251)</f>
        <v>-91.5</v>
      </c>
      <c r="H251" s="24" t="n">
        <f aca="false">-C251*G251/200+E251</f>
        <v>-9175</v>
      </c>
      <c r="I251" s="26"/>
    </row>
    <row r="252" customFormat="false" ht="12.75" hidden="true" customHeight="false" outlineLevel="0" collapsed="false">
      <c r="A252" s="21" t="s">
        <v>43</v>
      </c>
      <c r="B252" s="22" t="n">
        <v>36202</v>
      </c>
      <c r="C252" s="23" t="n">
        <v>20000</v>
      </c>
      <c r="D252" s="42" t="n">
        <v>1253.5</v>
      </c>
      <c r="E252" s="25" t="n">
        <f aca="false">IF(C252&gt;0,-C252/10000*12.5,C252/10000*12.5)</f>
        <v>-25</v>
      </c>
      <c r="F252" s="42" t="n">
        <f aca="false">+Sheet2!D$9</f>
        <v>1340.25</v>
      </c>
      <c r="G252" s="24" t="n">
        <f aca="false">IF(C252&gt;0,F252-D252,D252-F252)</f>
        <v>86.75</v>
      </c>
      <c r="H252" s="24" t="n">
        <f aca="false">C252*G252/200+E252</f>
        <v>8650</v>
      </c>
      <c r="I252" s="26"/>
    </row>
    <row r="253" customFormat="false" ht="12.75" hidden="true" customHeight="false" outlineLevel="0" collapsed="false">
      <c r="A253" s="21" t="s">
        <v>43</v>
      </c>
      <c r="B253" s="22" t="n">
        <v>36203</v>
      </c>
      <c r="C253" s="23" t="n">
        <v>-20000</v>
      </c>
      <c r="D253" s="42" t="n">
        <v>1237.25</v>
      </c>
      <c r="E253" s="25" t="n">
        <f aca="false">IF(C253&gt;0,-C253/10000*12.5,C253/10000*12.5)</f>
        <v>-25</v>
      </c>
      <c r="F253" s="42" t="n">
        <f aca="false">+Sheet2!D$9</f>
        <v>1340.25</v>
      </c>
      <c r="G253" s="24" t="n">
        <f aca="false">IF(C253&gt;0,F253-D253,D253-F253)</f>
        <v>-103</v>
      </c>
      <c r="H253" s="24" t="n">
        <f aca="false">-C253*G253/200+E253</f>
        <v>-10325</v>
      </c>
      <c r="I253" s="26"/>
    </row>
    <row r="254" customFormat="false" ht="12.75" hidden="true" customHeight="false" outlineLevel="0" collapsed="false">
      <c r="A254" s="21" t="s">
        <v>43</v>
      </c>
      <c r="B254" s="22" t="n">
        <v>36207</v>
      </c>
      <c r="C254" s="23" t="n">
        <v>-20000</v>
      </c>
      <c r="D254" s="42" t="n">
        <v>1252.5</v>
      </c>
      <c r="E254" s="25" t="n">
        <f aca="false">IF(C254&gt;0,-C254/10000*12.5,C254/10000*12.5)</f>
        <v>-25</v>
      </c>
      <c r="F254" s="42" t="n">
        <f aca="false">+Sheet2!D$9</f>
        <v>1340.25</v>
      </c>
      <c r="G254" s="24" t="n">
        <f aca="false">IF(C254&gt;0,F254-D254,D254-F254)</f>
        <v>-87.75</v>
      </c>
      <c r="H254" s="24" t="n">
        <f aca="false">-C254*G254/200+E254</f>
        <v>-8800</v>
      </c>
      <c r="I254" s="26"/>
    </row>
    <row r="255" customFormat="false" ht="12.75" hidden="true" customHeight="false" outlineLevel="0" collapsed="false">
      <c r="A255" s="21" t="s">
        <v>43</v>
      </c>
      <c r="B255" s="22" t="n">
        <v>36207</v>
      </c>
      <c r="C255" s="23" t="n">
        <v>20000</v>
      </c>
      <c r="D255" s="42" t="n">
        <v>1240.25</v>
      </c>
      <c r="E255" s="25" t="n">
        <f aca="false">IF(C255&gt;0,-C255/10000*12.5,C255/10000*12.5)</f>
        <v>-25</v>
      </c>
      <c r="F255" s="42" t="n">
        <f aca="false">+Sheet2!D$9</f>
        <v>1340.25</v>
      </c>
      <c r="G255" s="24" t="n">
        <f aca="false">IF(C255&gt;0,F255-D255,D255-F255)</f>
        <v>100</v>
      </c>
      <c r="H255" s="24" t="n">
        <f aca="false">C255*G255/200+E255</f>
        <v>9975</v>
      </c>
      <c r="I255" s="26"/>
    </row>
    <row r="256" customFormat="false" ht="12.75" hidden="true" customHeight="false" outlineLevel="0" collapsed="false">
      <c r="A256" s="21" t="s">
        <v>43</v>
      </c>
      <c r="B256" s="22" t="n">
        <v>36207</v>
      </c>
      <c r="C256" s="23" t="n">
        <v>-20000</v>
      </c>
      <c r="D256" s="42" t="n">
        <v>1240</v>
      </c>
      <c r="E256" s="25" t="n">
        <f aca="false">IF(C256&gt;0,-C256/10000*12.5,C256/10000*12.5)</f>
        <v>-25</v>
      </c>
      <c r="F256" s="42" t="n">
        <f aca="false">+Sheet2!D$9</f>
        <v>1340.25</v>
      </c>
      <c r="G256" s="24" t="n">
        <f aca="false">IF(C256&gt;0,F256-D256,D256-F256)</f>
        <v>-100.25</v>
      </c>
      <c r="H256" s="24" t="n">
        <f aca="false">-C256*G256/200+E256</f>
        <v>-10050</v>
      </c>
      <c r="I256" s="26"/>
    </row>
    <row r="257" customFormat="false" ht="12.75" hidden="true" customHeight="false" outlineLevel="0" collapsed="false">
      <c r="A257" s="21" t="s">
        <v>43</v>
      </c>
      <c r="B257" s="22" t="n">
        <v>36207</v>
      </c>
      <c r="C257" s="23" t="n">
        <v>20000</v>
      </c>
      <c r="D257" s="42" t="n">
        <v>1241.75</v>
      </c>
      <c r="E257" s="25" t="n">
        <f aca="false">IF(C257&gt;0,-C257/10000*12.5,C257/10000*12.5)</f>
        <v>-25</v>
      </c>
      <c r="F257" s="42" t="n">
        <f aca="false">+Sheet2!D$9</f>
        <v>1340.25</v>
      </c>
      <c r="G257" s="24" t="n">
        <f aca="false">IF(C257&gt;0,F257-D257,D257-F257)</f>
        <v>98.5</v>
      </c>
      <c r="H257" s="24" t="n">
        <f aca="false">C257*G257/200+E257</f>
        <v>9825</v>
      </c>
      <c r="I257" s="26"/>
    </row>
    <row r="258" customFormat="false" ht="12.75" hidden="true" customHeight="false" outlineLevel="0" collapsed="false">
      <c r="A258" s="21" t="s">
        <v>43</v>
      </c>
      <c r="B258" s="22" t="n">
        <v>36207</v>
      </c>
      <c r="C258" s="23" t="n">
        <v>20000</v>
      </c>
      <c r="D258" s="42" t="n">
        <v>1242</v>
      </c>
      <c r="E258" s="25" t="n">
        <f aca="false">IF(C258&gt;0,-C258/10000*12.5,C258/10000*12.5)</f>
        <v>-25</v>
      </c>
      <c r="F258" s="42" t="n">
        <f aca="false">+Sheet2!D$9</f>
        <v>1340.25</v>
      </c>
      <c r="G258" s="24" t="n">
        <f aca="false">IF(C258&gt;0,F258-D258,D258-F258)</f>
        <v>98.25</v>
      </c>
      <c r="H258" s="24" t="n">
        <f aca="false">C258*G258/200+E258</f>
        <v>9800</v>
      </c>
      <c r="I258" s="26"/>
    </row>
    <row r="259" customFormat="false" ht="12.75" hidden="true" customHeight="false" outlineLevel="0" collapsed="false">
      <c r="A259" s="21" t="s">
        <v>43</v>
      </c>
      <c r="B259" s="22" t="n">
        <v>36207</v>
      </c>
      <c r="C259" s="23" t="n">
        <v>-20000</v>
      </c>
      <c r="D259" s="42" t="n">
        <v>1246.25</v>
      </c>
      <c r="E259" s="25" t="n">
        <f aca="false">IF(C259&gt;0,-C259/10000*12.5,C259/10000*12.5)</f>
        <v>-25</v>
      </c>
      <c r="F259" s="42" t="n">
        <f aca="false">+Sheet2!D$9</f>
        <v>1340.25</v>
      </c>
      <c r="G259" s="24" t="n">
        <f aca="false">IF(C259&gt;0,F259-D259,D259-F259)</f>
        <v>-94</v>
      </c>
      <c r="H259" s="24" t="n">
        <f aca="false">-C259*G259/200+E259</f>
        <v>-9425</v>
      </c>
      <c r="I259" s="26"/>
    </row>
    <row r="260" customFormat="false" ht="12.75" hidden="true" customHeight="false" outlineLevel="0" collapsed="false">
      <c r="A260" s="21" t="s">
        <v>43</v>
      </c>
      <c r="B260" s="22" t="n">
        <v>36208</v>
      </c>
      <c r="C260" s="23" t="n">
        <v>20000</v>
      </c>
      <c r="D260" s="42" t="n">
        <v>1233.75</v>
      </c>
      <c r="E260" s="25" t="n">
        <f aca="false">IF(C260&gt;0,-C260/10000*12.5,C260/10000*12.5)</f>
        <v>-25</v>
      </c>
      <c r="F260" s="42" t="n">
        <f aca="false">+Sheet2!D$9</f>
        <v>1340.25</v>
      </c>
      <c r="G260" s="24" t="n">
        <f aca="false">IF(C260&gt;0,F260-D260,D260-F260)</f>
        <v>106.5</v>
      </c>
      <c r="H260" s="24" t="n">
        <f aca="false">C260*G260/200+E260</f>
        <v>10625</v>
      </c>
      <c r="I260" s="26"/>
    </row>
    <row r="261" customFormat="false" ht="12.75" hidden="true" customHeight="false" outlineLevel="0" collapsed="false">
      <c r="A261" s="21" t="s">
        <v>43</v>
      </c>
      <c r="B261" s="22" t="n">
        <v>36208</v>
      </c>
      <c r="C261" s="23" t="n">
        <v>-20000</v>
      </c>
      <c r="D261" s="42" t="n">
        <v>1239</v>
      </c>
      <c r="E261" s="25" t="n">
        <f aca="false">IF(C261&gt;0,-C261/10000*12.5,C261/10000*12.5)</f>
        <v>-25</v>
      </c>
      <c r="F261" s="42" t="n">
        <f aca="false">+Sheet2!D$9</f>
        <v>1340.25</v>
      </c>
      <c r="G261" s="24" t="n">
        <f aca="false">IF(C261&gt;0,F261-D261,D261-F261)</f>
        <v>-101.25</v>
      </c>
      <c r="H261" s="24" t="n">
        <f aca="false">-C261*G261/200+E261</f>
        <v>-10150</v>
      </c>
      <c r="I261" s="26"/>
    </row>
    <row r="262" customFormat="false" ht="12.75" hidden="true" customHeight="false" outlineLevel="0" collapsed="false">
      <c r="A262" s="21" t="s">
        <v>43</v>
      </c>
      <c r="B262" s="22" t="n">
        <v>36208</v>
      </c>
      <c r="C262" s="23" t="n">
        <v>20000</v>
      </c>
      <c r="D262" s="42" t="n">
        <v>1245</v>
      </c>
      <c r="E262" s="25" t="n">
        <f aca="false">IF(C262&gt;0,-C262/10000*12.5,C262/10000*12.5)</f>
        <v>-25</v>
      </c>
      <c r="F262" s="42" t="n">
        <f aca="false">+Sheet2!D$9</f>
        <v>1340.25</v>
      </c>
      <c r="G262" s="24" t="n">
        <f aca="false">IF(C262&gt;0,F262-D262,D262-F262)</f>
        <v>95.25</v>
      </c>
      <c r="H262" s="24" t="n">
        <f aca="false">C262*G262/200+E262</f>
        <v>9500</v>
      </c>
      <c r="I262" s="26"/>
    </row>
    <row r="263" customFormat="false" ht="12.75" hidden="true" customHeight="false" outlineLevel="0" collapsed="false">
      <c r="A263" s="21" t="s">
        <v>43</v>
      </c>
      <c r="B263" s="22" t="n">
        <v>36208</v>
      </c>
      <c r="C263" s="23" t="n">
        <v>-40000</v>
      </c>
      <c r="D263" s="42" t="n">
        <v>1250.75</v>
      </c>
      <c r="E263" s="25" t="n">
        <f aca="false">IF(C263&gt;0,-C263/10000*12.5,C263/10000*12.5)</f>
        <v>-50</v>
      </c>
      <c r="F263" s="42" t="n">
        <f aca="false">+Sheet2!D$9</f>
        <v>1340.25</v>
      </c>
      <c r="G263" s="24" t="n">
        <f aca="false">IF(C263&gt;0,F263-D263,D263-F263)</f>
        <v>-89.5</v>
      </c>
      <c r="H263" s="24" t="n">
        <f aca="false">-C263*G263/200+E263</f>
        <v>-17950</v>
      </c>
      <c r="I263" s="26"/>
    </row>
    <row r="264" customFormat="false" ht="12.75" hidden="true" customHeight="false" outlineLevel="0" collapsed="false">
      <c r="A264" s="21" t="s">
        <v>43</v>
      </c>
      <c r="B264" s="22" t="n">
        <v>36208</v>
      </c>
      <c r="C264" s="23" t="n">
        <v>20000</v>
      </c>
      <c r="D264" s="42" t="n">
        <v>1243.25</v>
      </c>
      <c r="E264" s="25" t="n">
        <f aca="false">IF(C264&gt;0,-C264/10000*12.5,C264/10000*12.5)</f>
        <v>-25</v>
      </c>
      <c r="F264" s="42" t="n">
        <f aca="false">+Sheet2!D$9</f>
        <v>1340.25</v>
      </c>
      <c r="G264" s="24" t="n">
        <f aca="false">IF(C264&gt;0,F264-D264,D264-F264)</f>
        <v>97</v>
      </c>
      <c r="H264" s="24" t="n">
        <f aca="false">C264*G264/200+E264</f>
        <v>9675</v>
      </c>
      <c r="I264" s="26"/>
    </row>
    <row r="265" customFormat="false" ht="12.75" hidden="true" customHeight="false" outlineLevel="0" collapsed="false">
      <c r="A265" s="21" t="s">
        <v>43</v>
      </c>
      <c r="B265" s="22" t="n">
        <v>36208</v>
      </c>
      <c r="C265" s="23" t="n">
        <v>20000</v>
      </c>
      <c r="D265" s="42" t="n">
        <v>1242</v>
      </c>
      <c r="E265" s="25" t="n">
        <f aca="false">IF(C265&gt;0,-C265/10000*12.5,C265/10000*12.5)</f>
        <v>-25</v>
      </c>
      <c r="F265" s="42" t="n">
        <f aca="false">+Sheet2!D$9</f>
        <v>1340.25</v>
      </c>
      <c r="G265" s="24" t="n">
        <f aca="false">IF(C265&gt;0,F265-D265,D265-F265)</f>
        <v>98.25</v>
      </c>
      <c r="H265" s="24" t="n">
        <f aca="false">C265*G265/200+E265</f>
        <v>9800</v>
      </c>
      <c r="I265" s="26"/>
    </row>
    <row r="266" customFormat="false" ht="12.75" hidden="true" customHeight="false" outlineLevel="0" collapsed="false">
      <c r="A266" s="21" t="s">
        <v>43</v>
      </c>
      <c r="B266" s="22" t="n">
        <v>36208</v>
      </c>
      <c r="C266" s="23" t="n">
        <v>20000</v>
      </c>
      <c r="D266" s="42" t="n">
        <v>1239</v>
      </c>
      <c r="E266" s="25" t="n">
        <f aca="false">IF(C266&gt;0,-C266/10000*12.5,C266/10000*12.5)</f>
        <v>-25</v>
      </c>
      <c r="F266" s="42" t="n">
        <f aca="false">+Sheet2!D$9</f>
        <v>1340.25</v>
      </c>
      <c r="G266" s="24" t="n">
        <f aca="false">IF(C266&gt;0,F266-D266,D266-F266)</f>
        <v>101.25</v>
      </c>
      <c r="H266" s="24" t="n">
        <f aca="false">C266*G266/200+E266</f>
        <v>10100</v>
      </c>
      <c r="I266" s="26"/>
    </row>
    <row r="267" customFormat="false" ht="12.75" hidden="true" customHeight="false" outlineLevel="0" collapsed="false">
      <c r="A267" s="21" t="s">
        <v>43</v>
      </c>
      <c r="B267" s="22" t="n">
        <v>36208</v>
      </c>
      <c r="C267" s="23" t="n">
        <v>-20000</v>
      </c>
      <c r="D267" s="42" t="n">
        <v>1237.25</v>
      </c>
      <c r="E267" s="25" t="n">
        <f aca="false">IF(C267&gt;0,-C267/10000*12.5,C267/10000*12.5)</f>
        <v>-25</v>
      </c>
      <c r="F267" s="42" t="n">
        <f aca="false">+Sheet2!D$9</f>
        <v>1340.25</v>
      </c>
      <c r="G267" s="24" t="n">
        <f aca="false">IF(C267&gt;0,F267-D267,D267-F267)</f>
        <v>-103</v>
      </c>
      <c r="H267" s="24" t="n">
        <f aca="false">-C267*G267/200+E267</f>
        <v>-10325</v>
      </c>
      <c r="I267" s="26"/>
    </row>
    <row r="268" customFormat="false" ht="12.75" hidden="true" customHeight="false" outlineLevel="0" collapsed="false">
      <c r="A268" s="21" t="s">
        <v>43</v>
      </c>
      <c r="B268" s="22" t="n">
        <v>36208</v>
      </c>
      <c r="C268" s="23" t="n">
        <v>-20000</v>
      </c>
      <c r="D268" s="42" t="n">
        <v>1233.5</v>
      </c>
      <c r="E268" s="25" t="n">
        <f aca="false">IF(C268&gt;0,-C268/10000*12.5,C268/10000*12.5)</f>
        <v>-25</v>
      </c>
      <c r="F268" s="42" t="n">
        <f aca="false">+Sheet2!D$9</f>
        <v>1340.25</v>
      </c>
      <c r="G268" s="24" t="n">
        <f aca="false">IF(C268&gt;0,F268-D268,D268-F268)</f>
        <v>-106.75</v>
      </c>
      <c r="H268" s="24" t="n">
        <f aca="false">-C268*G268/200+E268</f>
        <v>-10700</v>
      </c>
      <c r="I268" s="26"/>
    </row>
    <row r="269" customFormat="false" ht="12.75" hidden="true" customHeight="false" outlineLevel="0" collapsed="false">
      <c r="A269" s="21" t="s">
        <v>43</v>
      </c>
      <c r="B269" s="22" t="n">
        <v>36208</v>
      </c>
      <c r="C269" s="23" t="n">
        <v>-20000</v>
      </c>
      <c r="D269" s="42" t="n">
        <v>1227.75</v>
      </c>
      <c r="E269" s="25" t="n">
        <f aca="false">IF(C269&gt;0,-C269/10000*12.5,C269/10000*12.5)</f>
        <v>-25</v>
      </c>
      <c r="F269" s="42" t="n">
        <f aca="false">+Sheet2!D$9</f>
        <v>1340.25</v>
      </c>
      <c r="G269" s="24" t="n">
        <f aca="false">IF(C269&gt;0,F269-D269,D269-F269)</f>
        <v>-112.5</v>
      </c>
      <c r="H269" s="24" t="n">
        <f aca="false">-C269*G269/200+E269</f>
        <v>-11275</v>
      </c>
      <c r="I269" s="26"/>
    </row>
    <row r="270" customFormat="false" ht="12.75" hidden="true" customHeight="false" outlineLevel="0" collapsed="false">
      <c r="A270" s="21" t="s">
        <v>43</v>
      </c>
      <c r="B270" s="22" t="n">
        <v>36208</v>
      </c>
      <c r="C270" s="23" t="n">
        <v>10000</v>
      </c>
      <c r="D270" s="42" t="n">
        <v>1229.25</v>
      </c>
      <c r="E270" s="25" t="n">
        <f aca="false">IF(C270&gt;0,-C270/10000*12.5,C270/10000*12.5)</f>
        <v>-12.5</v>
      </c>
      <c r="F270" s="42" t="n">
        <f aca="false">+Sheet2!D$9</f>
        <v>1340.25</v>
      </c>
      <c r="G270" s="24" t="n">
        <f aca="false">IF(C270&gt;0,F270-D270,D270-F270)</f>
        <v>111</v>
      </c>
      <c r="H270" s="24" t="n">
        <f aca="false">C270*G270/200+E270</f>
        <v>5537.5</v>
      </c>
      <c r="I270" s="26"/>
    </row>
    <row r="271" customFormat="false" ht="12.75" hidden="true" customHeight="false" outlineLevel="0" collapsed="false">
      <c r="A271" s="21" t="s">
        <v>43</v>
      </c>
      <c r="B271" s="22" t="n">
        <v>36209</v>
      </c>
      <c r="C271" s="23" t="n">
        <v>30000</v>
      </c>
      <c r="D271" s="42" t="n">
        <v>1234</v>
      </c>
      <c r="E271" s="25" t="n">
        <f aca="false">IF(C271&gt;0,-C271/10000*12.5,C271/10000*12.5)</f>
        <v>-37.5</v>
      </c>
      <c r="F271" s="42" t="n">
        <f aca="false">+Sheet2!D$9</f>
        <v>1340.25</v>
      </c>
      <c r="G271" s="24" t="n">
        <f aca="false">IF(C271&gt;0,F271-D271,D271-F271)</f>
        <v>106.25</v>
      </c>
      <c r="H271" s="24" t="n">
        <f aca="false">C271*G271/200+E271</f>
        <v>15900</v>
      </c>
      <c r="I271" s="26"/>
    </row>
    <row r="272" customFormat="false" ht="12.75" hidden="true" customHeight="false" outlineLevel="0" collapsed="false">
      <c r="A272" s="21" t="s">
        <v>43</v>
      </c>
      <c r="B272" s="22" t="n">
        <v>36209</v>
      </c>
      <c r="C272" s="23" t="n">
        <v>10000</v>
      </c>
      <c r="D272" s="42" t="n">
        <v>1234.25</v>
      </c>
      <c r="E272" s="25" t="n">
        <f aca="false">IF(C272&gt;0,-C272/10000*12.5,C272/10000*12.5)</f>
        <v>-12.5</v>
      </c>
      <c r="F272" s="42" t="n">
        <f aca="false">+Sheet2!D$9</f>
        <v>1340.25</v>
      </c>
      <c r="G272" s="24" t="n">
        <f aca="false">IF(C272&gt;0,F272-D272,D272-F272)</f>
        <v>106</v>
      </c>
      <c r="H272" s="24" t="n">
        <f aca="false">C272*G272/200+E272</f>
        <v>5287.5</v>
      </c>
      <c r="I272" s="26"/>
    </row>
    <row r="273" customFormat="false" ht="12.75" hidden="true" customHeight="false" outlineLevel="0" collapsed="false">
      <c r="A273" s="21" t="s">
        <v>43</v>
      </c>
      <c r="B273" s="22" t="n">
        <v>36209</v>
      </c>
      <c r="C273" s="23" t="n">
        <v>10000</v>
      </c>
      <c r="D273" s="42" t="n">
        <v>1228.5</v>
      </c>
      <c r="E273" s="25" t="n">
        <f aca="false">IF(C273&gt;0,-C273/10000*12.5,C273/10000*12.5)</f>
        <v>-12.5</v>
      </c>
      <c r="F273" s="42" t="n">
        <f aca="false">+Sheet2!D$9</f>
        <v>1340.25</v>
      </c>
      <c r="G273" s="24" t="n">
        <f aca="false">IF(C273&gt;0,F273-D273,D273-F273)</f>
        <v>111.75</v>
      </c>
      <c r="H273" s="24" t="n">
        <f aca="false">C273*G273/200+E273</f>
        <v>5575</v>
      </c>
      <c r="I273" s="26"/>
    </row>
    <row r="274" customFormat="false" ht="12.75" hidden="true" customHeight="false" outlineLevel="0" collapsed="false">
      <c r="A274" s="21" t="s">
        <v>43</v>
      </c>
      <c r="B274" s="22" t="n">
        <v>36209</v>
      </c>
      <c r="C274" s="23" t="n">
        <v>-20000</v>
      </c>
      <c r="D274" s="42" t="n">
        <v>1232.5</v>
      </c>
      <c r="E274" s="25" t="n">
        <f aca="false">IF(C274&gt;0,-C274/10000*12.5,C274/10000*12.5)</f>
        <v>-25</v>
      </c>
      <c r="F274" s="42" t="n">
        <f aca="false">+Sheet2!D$9</f>
        <v>1340.25</v>
      </c>
      <c r="G274" s="24" t="n">
        <f aca="false">IF(C274&gt;0,F274-D274,D274-F274)</f>
        <v>-107.75</v>
      </c>
      <c r="H274" s="24" t="n">
        <f aca="false">-C274*G274/200+E274</f>
        <v>-10800</v>
      </c>
      <c r="I274" s="26"/>
    </row>
    <row r="275" customFormat="false" ht="12.75" hidden="true" customHeight="false" outlineLevel="0" collapsed="false">
      <c r="A275" s="21" t="s">
        <v>43</v>
      </c>
      <c r="B275" s="22" t="n">
        <v>36209</v>
      </c>
      <c r="C275" s="23" t="n">
        <v>-20000</v>
      </c>
      <c r="D275" s="42" t="n">
        <v>1237.5</v>
      </c>
      <c r="E275" s="25" t="n">
        <f aca="false">IF(C275&gt;0,-C275/10000*12.5,C275/10000*12.5)</f>
        <v>-25</v>
      </c>
      <c r="F275" s="42" t="n">
        <f aca="false">+Sheet2!D$9</f>
        <v>1340.25</v>
      </c>
      <c r="G275" s="24" t="n">
        <f aca="false">IF(C275&gt;0,F275-D275,D275-F275)</f>
        <v>-102.75</v>
      </c>
      <c r="H275" s="24" t="n">
        <f aca="false">-C275*G275/200+E275</f>
        <v>-10300</v>
      </c>
      <c r="I275" s="26"/>
    </row>
    <row r="276" customFormat="false" ht="12.75" hidden="true" customHeight="false" outlineLevel="0" collapsed="false">
      <c r="A276" s="21" t="s">
        <v>43</v>
      </c>
      <c r="B276" s="22" t="n">
        <v>36209</v>
      </c>
      <c r="C276" s="23" t="n">
        <v>-20000</v>
      </c>
      <c r="D276" s="42" t="n">
        <v>1238.25</v>
      </c>
      <c r="E276" s="25" t="n">
        <f aca="false">IF(C276&gt;0,-C276/10000*12.5,C276/10000*12.5)</f>
        <v>-25</v>
      </c>
      <c r="F276" s="42" t="n">
        <f aca="false">+Sheet2!D$9</f>
        <v>1340.25</v>
      </c>
      <c r="G276" s="24" t="n">
        <f aca="false">IF(C276&gt;0,F276-D276,D276-F276)</f>
        <v>-102</v>
      </c>
      <c r="H276" s="24" t="n">
        <f aca="false">-C276*G276/200+E276</f>
        <v>-10225</v>
      </c>
      <c r="I276" s="26"/>
    </row>
    <row r="277" customFormat="false" ht="12.75" hidden="true" customHeight="false" outlineLevel="0" collapsed="false">
      <c r="A277" s="21" t="s">
        <v>43</v>
      </c>
      <c r="B277" s="22" t="n">
        <v>36209</v>
      </c>
      <c r="C277" s="23" t="n">
        <v>10000</v>
      </c>
      <c r="D277" s="42" t="n">
        <v>1239.75</v>
      </c>
      <c r="E277" s="25" t="n">
        <f aca="false">IF(C277&gt;0,-C277/10000*12.5,C277/10000*12.5)</f>
        <v>-12.5</v>
      </c>
      <c r="F277" s="42" t="n">
        <f aca="false">+Sheet2!D$9</f>
        <v>1340.25</v>
      </c>
      <c r="G277" s="24" t="n">
        <f aca="false">IF(C277&gt;0,F277-D277,D277-F277)</f>
        <v>100.5</v>
      </c>
      <c r="H277" s="24" t="n">
        <f aca="false">C277*G277/200+E277</f>
        <v>5012.5</v>
      </c>
      <c r="I277" s="26"/>
    </row>
    <row r="278" customFormat="false" ht="12.75" hidden="true" customHeight="false" outlineLevel="0" collapsed="false">
      <c r="A278" s="21" t="s">
        <v>43</v>
      </c>
      <c r="B278" s="22" t="n">
        <v>36209</v>
      </c>
      <c r="C278" s="23" t="n">
        <v>10000</v>
      </c>
      <c r="D278" s="42" t="n">
        <v>1240</v>
      </c>
      <c r="E278" s="25" t="n">
        <f aca="false">IF(C278&gt;0,-C278/10000*12.5,C278/10000*12.5)</f>
        <v>-12.5</v>
      </c>
      <c r="F278" s="42" t="n">
        <f aca="false">+Sheet2!D$9</f>
        <v>1340.25</v>
      </c>
      <c r="G278" s="24" t="n">
        <f aca="false">IF(C278&gt;0,F278-D278,D278-F278)</f>
        <v>100.25</v>
      </c>
      <c r="H278" s="24" t="n">
        <f aca="false">C278*G278/200+E278</f>
        <v>5000</v>
      </c>
      <c r="I278" s="26"/>
    </row>
    <row r="279" customFormat="false" ht="12.75" hidden="true" customHeight="false" outlineLevel="0" collapsed="false">
      <c r="A279" s="21" t="s">
        <v>43</v>
      </c>
      <c r="B279" s="22" t="n">
        <v>36210</v>
      </c>
      <c r="C279" s="23" t="n">
        <v>20000</v>
      </c>
      <c r="D279" s="42" t="n">
        <v>1241.5</v>
      </c>
      <c r="E279" s="25" t="n">
        <f aca="false">IF(C279&gt;0,-C279/10000*12.5,C279/10000*12.5)</f>
        <v>-25</v>
      </c>
      <c r="F279" s="42" t="n">
        <f aca="false">+Sheet2!D$9</f>
        <v>1340.25</v>
      </c>
      <c r="G279" s="24" t="n">
        <f aca="false">IF(C279&gt;0,F279-D279,D279-F279)</f>
        <v>98.75</v>
      </c>
      <c r="H279" s="24" t="n">
        <f aca="false">C279*G279/200+E279</f>
        <v>9850</v>
      </c>
      <c r="I279" s="26"/>
    </row>
    <row r="280" customFormat="false" ht="12.75" hidden="true" customHeight="false" outlineLevel="0" collapsed="false">
      <c r="A280" s="21" t="s">
        <v>43</v>
      </c>
      <c r="B280" s="22" t="n">
        <v>36210</v>
      </c>
      <c r="C280" s="23" t="n">
        <v>20000</v>
      </c>
      <c r="D280" s="42" t="n">
        <v>1241.75</v>
      </c>
      <c r="E280" s="25" t="n">
        <f aca="false">IF(C280&gt;0,-C280/10000*12.5,C280/10000*12.5)</f>
        <v>-25</v>
      </c>
      <c r="F280" s="42" t="n">
        <f aca="false">+Sheet2!D$9</f>
        <v>1340.25</v>
      </c>
      <c r="G280" s="24" t="n">
        <f aca="false">IF(C280&gt;0,F280-D280,D280-F280)</f>
        <v>98.5</v>
      </c>
      <c r="H280" s="24" t="n">
        <f aca="false">C280*G280/200+E280</f>
        <v>9825</v>
      </c>
      <c r="I280" s="26"/>
    </row>
    <row r="281" customFormat="false" ht="12.75" hidden="true" customHeight="false" outlineLevel="0" collapsed="false">
      <c r="A281" s="21" t="s">
        <v>43</v>
      </c>
      <c r="B281" s="22" t="n">
        <v>36210</v>
      </c>
      <c r="C281" s="23" t="n">
        <v>-10000</v>
      </c>
      <c r="D281" s="42" t="n">
        <v>1246.75</v>
      </c>
      <c r="E281" s="25" t="n">
        <f aca="false">IF(C281&gt;0,-C281/10000*12.5,C281/10000*12.5)</f>
        <v>-12.5</v>
      </c>
      <c r="F281" s="42" t="n">
        <f aca="false">+Sheet2!D$9</f>
        <v>1340.25</v>
      </c>
      <c r="G281" s="24" t="n">
        <f aca="false">IF(C281&gt;0,F281-D281,D281-F281)</f>
        <v>-93.5</v>
      </c>
      <c r="H281" s="24" t="n">
        <f aca="false">-C281*G281/200+E281</f>
        <v>-4687.5</v>
      </c>
      <c r="I281" s="26"/>
    </row>
    <row r="282" customFormat="false" ht="12.75" hidden="true" customHeight="false" outlineLevel="0" collapsed="false">
      <c r="A282" s="21" t="s">
        <v>43</v>
      </c>
      <c r="B282" s="22" t="n">
        <v>36210</v>
      </c>
      <c r="C282" s="23" t="n">
        <v>-10000</v>
      </c>
      <c r="D282" s="42" t="n">
        <v>1245.5</v>
      </c>
      <c r="E282" s="25" t="n">
        <f aca="false">IF(C282&gt;0,-C282/10000*12.5,C282/10000*12.5)</f>
        <v>-12.5</v>
      </c>
      <c r="F282" s="42" t="n">
        <f aca="false">+Sheet2!D$9</f>
        <v>1340.25</v>
      </c>
      <c r="G282" s="24" t="n">
        <f aca="false">IF(C282&gt;0,F282-D282,D282-F282)</f>
        <v>-94.75</v>
      </c>
      <c r="H282" s="24" t="n">
        <f aca="false">-C282*G282/200+E282</f>
        <v>-4750</v>
      </c>
      <c r="I282" s="26"/>
    </row>
    <row r="283" customFormat="false" ht="12.75" hidden="true" customHeight="false" outlineLevel="0" collapsed="false">
      <c r="A283" s="21" t="s">
        <v>43</v>
      </c>
      <c r="B283" s="22" t="n">
        <v>36210</v>
      </c>
      <c r="C283" s="23" t="n">
        <v>-10000</v>
      </c>
      <c r="D283" s="42" t="n">
        <v>1245.75</v>
      </c>
      <c r="E283" s="25" t="n">
        <f aca="false">IF(C283&gt;0,-C283/10000*12.5,C283/10000*12.5)</f>
        <v>-12.5</v>
      </c>
      <c r="F283" s="42" t="n">
        <f aca="false">+Sheet2!D$9</f>
        <v>1340.25</v>
      </c>
      <c r="G283" s="24" t="n">
        <f aca="false">IF(C283&gt;0,F283-D283,D283-F283)</f>
        <v>-94.5</v>
      </c>
      <c r="H283" s="24" t="n">
        <f aca="false">-C283*G283/200+E283</f>
        <v>-4737.5</v>
      </c>
      <c r="I283" s="26"/>
    </row>
    <row r="284" customFormat="false" ht="12.75" hidden="true" customHeight="false" outlineLevel="0" collapsed="false">
      <c r="A284" s="21" t="s">
        <v>43</v>
      </c>
      <c r="B284" s="22" t="n">
        <v>36210</v>
      </c>
      <c r="C284" s="23" t="n">
        <v>-10000</v>
      </c>
      <c r="D284" s="42" t="n">
        <v>1245.5</v>
      </c>
      <c r="E284" s="25" t="n">
        <f aca="false">IF(C284&gt;0,-C284/10000*12.5,C284/10000*12.5)</f>
        <v>-12.5</v>
      </c>
      <c r="F284" s="42" t="n">
        <f aca="false">+Sheet2!D$9</f>
        <v>1340.25</v>
      </c>
      <c r="G284" s="24" t="n">
        <f aca="false">IF(C284&gt;0,F284-D284,D284-F284)</f>
        <v>-94.75</v>
      </c>
      <c r="H284" s="24" t="n">
        <f aca="false">-C284*G284/200+E284</f>
        <v>-4750</v>
      </c>
      <c r="I284" s="26"/>
    </row>
    <row r="285" customFormat="false" ht="12.75" hidden="true" customHeight="false" outlineLevel="0" collapsed="false">
      <c r="A285" s="21" t="s">
        <v>43</v>
      </c>
      <c r="B285" s="22" t="n">
        <v>36209</v>
      </c>
      <c r="C285" s="23" t="n">
        <v>-20000</v>
      </c>
      <c r="D285" s="42" t="n">
        <v>1246</v>
      </c>
      <c r="E285" s="25" t="n">
        <f aca="false">IF(C285&gt;0,-C285/10000*12.5,C285/10000*12.5)</f>
        <v>-25</v>
      </c>
      <c r="F285" s="42" t="n">
        <f aca="false">+Sheet2!D$9</f>
        <v>1340.25</v>
      </c>
      <c r="G285" s="24" t="n">
        <f aca="false">IF(C285&gt;0,F285-D285,D285-F285)</f>
        <v>-94.25</v>
      </c>
      <c r="H285" s="24" t="n">
        <f aca="false">-C285*G285/200+E285</f>
        <v>-9450</v>
      </c>
      <c r="I285" s="26"/>
    </row>
    <row r="286" customFormat="false" ht="12.75" hidden="true" customHeight="false" outlineLevel="0" collapsed="false">
      <c r="A286" s="21" t="s">
        <v>43</v>
      </c>
      <c r="B286" s="22" t="n">
        <v>36210</v>
      </c>
      <c r="C286" s="23" t="n">
        <v>40000</v>
      </c>
      <c r="D286" s="42" t="n">
        <v>1250</v>
      </c>
      <c r="E286" s="25" t="n">
        <f aca="false">IF(C286&gt;0,-C286/10000*12.5,C286/10000*12.5)</f>
        <v>-50</v>
      </c>
      <c r="F286" s="42" t="n">
        <f aca="false">+Sheet2!D$9</f>
        <v>1340.25</v>
      </c>
      <c r="G286" s="24" t="n">
        <f aca="false">IF(C286&gt;0,F286-D286,D286-F286)</f>
        <v>90.25</v>
      </c>
      <c r="H286" s="24" t="n">
        <f aca="false">C286*G286/200+E286</f>
        <v>18000</v>
      </c>
      <c r="I286" s="26"/>
    </row>
    <row r="287" customFormat="false" ht="12.75" hidden="true" customHeight="false" outlineLevel="0" collapsed="false">
      <c r="A287" s="21" t="s">
        <v>43</v>
      </c>
      <c r="B287" s="22" t="n">
        <v>36210</v>
      </c>
      <c r="C287" s="23" t="n">
        <v>-20000</v>
      </c>
      <c r="D287" s="42" t="n">
        <v>1246</v>
      </c>
      <c r="E287" s="25" t="n">
        <f aca="false">IF(C287&gt;0,-C287/10000*12.5,C287/10000*12.5)</f>
        <v>-25</v>
      </c>
      <c r="F287" s="42" t="n">
        <f aca="false">+Sheet2!D$9</f>
        <v>1340.25</v>
      </c>
      <c r="G287" s="24" t="n">
        <f aca="false">IF(C287&gt;0,F287-D287,D287-F287)</f>
        <v>-94.25</v>
      </c>
      <c r="H287" s="24" t="n">
        <f aca="false">-C287*G287/200+E287</f>
        <v>-9450</v>
      </c>
      <c r="I287" s="26"/>
    </row>
    <row r="288" customFormat="false" ht="12.75" hidden="true" customHeight="false" outlineLevel="0" collapsed="false">
      <c r="A288" s="21" t="s">
        <v>43</v>
      </c>
      <c r="B288" s="22" t="n">
        <v>36210</v>
      </c>
      <c r="C288" s="23" t="n">
        <v>-20000</v>
      </c>
      <c r="D288" s="42" t="n">
        <v>1244.75</v>
      </c>
      <c r="E288" s="25" t="n">
        <f aca="false">IF(C288&gt;0,-C288/10000*12.5,C288/10000*12.5)</f>
        <v>-25</v>
      </c>
      <c r="F288" s="42" t="n">
        <f aca="false">+Sheet2!D$9</f>
        <v>1340.25</v>
      </c>
      <c r="G288" s="24" t="n">
        <f aca="false">IF(C288&gt;0,F288-D288,D288-F288)</f>
        <v>-95.5</v>
      </c>
      <c r="H288" s="24" t="n">
        <f aca="false">-C288*G288/200+E288</f>
        <v>-9575</v>
      </c>
      <c r="I288" s="26"/>
    </row>
    <row r="289" customFormat="false" ht="12.75" hidden="true" customHeight="false" outlineLevel="0" collapsed="false">
      <c r="A289" s="21" t="s">
        <v>43</v>
      </c>
      <c r="B289" s="22" t="n">
        <v>36213</v>
      </c>
      <c r="C289" s="23" t="n">
        <v>40000</v>
      </c>
      <c r="D289" s="42" t="n">
        <v>1249.5</v>
      </c>
      <c r="E289" s="25" t="n">
        <f aca="false">IF(C289&gt;0,-C289/10000*12.5,C289/10000*12.5)</f>
        <v>-50</v>
      </c>
      <c r="F289" s="42" t="n">
        <f aca="false">+Sheet2!D$9</f>
        <v>1340.25</v>
      </c>
      <c r="G289" s="24" t="n">
        <f aca="false">IF(C289&gt;0,F289-D289,D289-F289)</f>
        <v>90.75</v>
      </c>
      <c r="H289" s="24" t="n">
        <f aca="false">C289*G289/200+E289</f>
        <v>18100</v>
      </c>
      <c r="I289" s="26"/>
    </row>
    <row r="290" customFormat="false" ht="12.75" hidden="true" customHeight="false" outlineLevel="0" collapsed="false">
      <c r="A290" s="21" t="s">
        <v>43</v>
      </c>
      <c r="B290" s="22" t="n">
        <v>36213</v>
      </c>
      <c r="C290" s="23" t="n">
        <v>-20000</v>
      </c>
      <c r="D290" s="42" t="n">
        <v>1265</v>
      </c>
      <c r="E290" s="25" t="n">
        <f aca="false">IF(C290&gt;0,-C290/10000*12.5,C290/10000*12.5)</f>
        <v>-25</v>
      </c>
      <c r="F290" s="42" t="n">
        <f aca="false">+Sheet2!D$9</f>
        <v>1340.25</v>
      </c>
      <c r="G290" s="24" t="n">
        <f aca="false">IF(C290&gt;0,F290-D290,D290-F290)</f>
        <v>-75.25</v>
      </c>
      <c r="H290" s="24" t="n">
        <f aca="false">-C290*G290/200+E290</f>
        <v>-7550</v>
      </c>
      <c r="I290" s="26"/>
    </row>
    <row r="291" customFormat="false" ht="12.75" hidden="true" customHeight="false" outlineLevel="0" collapsed="false">
      <c r="A291" s="21" t="s">
        <v>43</v>
      </c>
      <c r="B291" s="22" t="n">
        <v>36213</v>
      </c>
      <c r="C291" s="23" t="n">
        <v>-20000</v>
      </c>
      <c r="D291" s="42" t="n">
        <v>1268.75</v>
      </c>
      <c r="E291" s="25" t="n">
        <f aca="false">IF(C291&gt;0,-C291/10000*12.5,C291/10000*12.5)</f>
        <v>-25</v>
      </c>
      <c r="F291" s="42" t="n">
        <f aca="false">+Sheet2!D$9</f>
        <v>1340.25</v>
      </c>
      <c r="G291" s="24" t="n">
        <f aca="false">IF(C291&gt;0,F291-D291,D291-F291)</f>
        <v>-71.5</v>
      </c>
      <c r="H291" s="24" t="n">
        <f aca="false">-C291*G291/200+E291</f>
        <v>-7175</v>
      </c>
      <c r="I291" s="26"/>
    </row>
    <row r="292" customFormat="false" ht="12.75" hidden="true" customHeight="false" outlineLevel="0" collapsed="false">
      <c r="A292" s="21" t="s">
        <v>43</v>
      </c>
      <c r="B292" s="22" t="n">
        <v>36213</v>
      </c>
      <c r="C292" s="23" t="n">
        <v>-20000</v>
      </c>
      <c r="D292" s="42" t="n">
        <v>1274.5</v>
      </c>
      <c r="E292" s="25" t="n">
        <f aca="false">IF(C292&gt;0,-C292/10000*12.5,C292/10000*12.5)</f>
        <v>-25</v>
      </c>
      <c r="F292" s="42" t="n">
        <f aca="false">+Sheet2!D$9</f>
        <v>1340.25</v>
      </c>
      <c r="G292" s="24" t="n">
        <f aca="false">IF(C292&gt;0,F292-D292,D292-F292)</f>
        <v>-65.75</v>
      </c>
      <c r="H292" s="24" t="n">
        <f aca="false">-C292*G292/200+E292</f>
        <v>-6600</v>
      </c>
      <c r="I292" s="26"/>
    </row>
    <row r="293" customFormat="false" ht="12.75" hidden="true" customHeight="false" outlineLevel="0" collapsed="false">
      <c r="A293" s="21" t="s">
        <v>43</v>
      </c>
      <c r="B293" s="22" t="n">
        <v>36213</v>
      </c>
      <c r="C293" s="23" t="n">
        <v>60000</v>
      </c>
      <c r="D293" s="42" t="n">
        <v>1276.5</v>
      </c>
      <c r="E293" s="25" t="n">
        <f aca="false">IF(C293&gt;0,-C293/10000*12.5,C293/10000*12.5)</f>
        <v>-75</v>
      </c>
      <c r="F293" s="42" t="n">
        <f aca="false">+Sheet2!D$9</f>
        <v>1340.25</v>
      </c>
      <c r="G293" s="24" t="n">
        <f aca="false">IF(C293&gt;0,F293-D293,D293-F293)</f>
        <v>63.75</v>
      </c>
      <c r="H293" s="24" t="n">
        <f aca="false">C293*G293/200+E293</f>
        <v>19050</v>
      </c>
      <c r="I293" s="26"/>
    </row>
    <row r="294" customFormat="false" ht="12.75" hidden="true" customHeight="false" outlineLevel="0" collapsed="false">
      <c r="A294" s="21" t="s">
        <v>43</v>
      </c>
      <c r="B294" s="22" t="n">
        <v>36214</v>
      </c>
      <c r="C294" s="23" t="n">
        <v>-20000</v>
      </c>
      <c r="D294" s="42" t="n">
        <v>1268.75</v>
      </c>
      <c r="E294" s="25" t="n">
        <f aca="false">IF(C294&gt;0,-C294/10000*12.5,C294/10000*12.5)</f>
        <v>-25</v>
      </c>
      <c r="F294" s="42" t="n">
        <f aca="false">+Sheet2!D$9</f>
        <v>1340.25</v>
      </c>
      <c r="G294" s="24" t="n">
        <f aca="false">IF(C294&gt;0,F294-D294,D294-F294)</f>
        <v>-71.5</v>
      </c>
      <c r="H294" s="24" t="n">
        <f aca="false">-C294*G294/200+E294</f>
        <v>-7175</v>
      </c>
      <c r="I294" s="26"/>
    </row>
    <row r="295" customFormat="false" ht="12.75" hidden="true" customHeight="false" outlineLevel="0" collapsed="false">
      <c r="A295" s="21" t="s">
        <v>43</v>
      </c>
      <c r="B295" s="22" t="n">
        <v>36214</v>
      </c>
      <c r="C295" s="23" t="n">
        <v>40000</v>
      </c>
      <c r="D295" s="42" t="n">
        <v>1270.75</v>
      </c>
      <c r="E295" s="25" t="n">
        <f aca="false">IF(C295&gt;0,-C295/10000*12.5,C295/10000*12.5)</f>
        <v>-50</v>
      </c>
      <c r="F295" s="42" t="n">
        <f aca="false">+Sheet2!D$9</f>
        <v>1340.25</v>
      </c>
      <c r="G295" s="24" t="n">
        <f aca="false">IF(C295&gt;0,F295-D295,D295-F295)</f>
        <v>69.5</v>
      </c>
      <c r="H295" s="24" t="n">
        <f aca="false">C295*G295/200+E295</f>
        <v>13850</v>
      </c>
      <c r="I295" s="26"/>
    </row>
    <row r="296" customFormat="false" ht="12.75" hidden="true" customHeight="false" outlineLevel="0" collapsed="false">
      <c r="A296" s="21" t="s">
        <v>43</v>
      </c>
      <c r="B296" s="22" t="n">
        <v>36215</v>
      </c>
      <c r="C296" s="23" t="n">
        <v>-20000</v>
      </c>
      <c r="D296" s="42" t="n">
        <v>1274.75</v>
      </c>
      <c r="E296" s="25" t="n">
        <f aca="false">IF(C296&gt;0,-C296/10000*12.5,C296/10000*12.5)</f>
        <v>-25</v>
      </c>
      <c r="F296" s="42" t="n">
        <f aca="false">+Sheet2!D$9</f>
        <v>1340.25</v>
      </c>
      <c r="G296" s="24" t="n">
        <f aca="false">IF(C296&gt;0,F296-D296,D296-F296)</f>
        <v>-65.5</v>
      </c>
      <c r="H296" s="24" t="n">
        <f aca="false">-C296*G296/200+E296</f>
        <v>-6575</v>
      </c>
      <c r="I296" s="26"/>
    </row>
    <row r="297" customFormat="false" ht="12.75" hidden="true" customHeight="false" outlineLevel="0" collapsed="false">
      <c r="A297" s="21" t="s">
        <v>43</v>
      </c>
      <c r="B297" s="22" t="n">
        <v>36217</v>
      </c>
      <c r="C297" s="23" t="n">
        <v>-20000</v>
      </c>
      <c r="D297" s="42" t="n">
        <v>1238</v>
      </c>
      <c r="E297" s="25" t="n">
        <f aca="false">IF(C297&gt;0,-C297/10000*12.5,C297/10000*12.5)</f>
        <v>-25</v>
      </c>
      <c r="F297" s="42" t="n">
        <f aca="false">+Sheet2!D$9</f>
        <v>1340.25</v>
      </c>
      <c r="G297" s="24" t="n">
        <f aca="false">IF(C297&gt;0,F297-D297,D297-F297)</f>
        <v>-102.25</v>
      </c>
      <c r="H297" s="24" t="n">
        <f aca="false">-C297*G297/200+E297</f>
        <v>-10250</v>
      </c>
      <c r="I297" s="26"/>
    </row>
    <row r="298" customFormat="false" ht="12.75" hidden="true" customHeight="false" outlineLevel="0" collapsed="false">
      <c r="A298" s="21" t="s">
        <v>43</v>
      </c>
      <c r="B298" s="22" t="n">
        <v>36220</v>
      </c>
      <c r="C298" s="23" t="n">
        <v>-20000</v>
      </c>
      <c r="D298" s="42" t="n">
        <v>1238</v>
      </c>
      <c r="E298" s="25" t="n">
        <f aca="false">IF(C298&gt;0,-C298/10000*12.5,C298/10000*12.5)</f>
        <v>-25</v>
      </c>
      <c r="F298" s="42" t="n">
        <f aca="false">+Sheet2!D$9</f>
        <v>1340.25</v>
      </c>
      <c r="G298" s="24" t="n">
        <f aca="false">IF(C298&gt;0,F298-D298,D298-F298)</f>
        <v>-102.25</v>
      </c>
      <c r="H298" s="24" t="n">
        <f aca="false">-C298*G298/200+E298</f>
        <v>-10250</v>
      </c>
      <c r="I298" s="26"/>
    </row>
    <row r="299" customFormat="false" ht="12.75" hidden="true" customHeight="false" outlineLevel="0" collapsed="false">
      <c r="A299" s="21" t="s">
        <v>43</v>
      </c>
      <c r="B299" s="22" t="n">
        <v>36220</v>
      </c>
      <c r="C299" s="23" t="n">
        <v>20000</v>
      </c>
      <c r="D299" s="42" t="n">
        <v>1239.5</v>
      </c>
      <c r="E299" s="25" t="n">
        <f aca="false">IF(C299&gt;0,-C299/10000*12.5,C299/10000*12.5)</f>
        <v>-25</v>
      </c>
      <c r="F299" s="42" t="n">
        <f aca="false">+Sheet2!D$9</f>
        <v>1340.25</v>
      </c>
      <c r="G299" s="24" t="n">
        <f aca="false">IF(C299&gt;0,F299-D299,D299-F299)</f>
        <v>100.75</v>
      </c>
      <c r="H299" s="24" t="n">
        <f aca="false">C299*G299/200+E299</f>
        <v>10050</v>
      </c>
      <c r="I299" s="26"/>
    </row>
    <row r="300" customFormat="false" ht="12.75" hidden="true" customHeight="false" outlineLevel="0" collapsed="false">
      <c r="A300" s="21" t="s">
        <v>43</v>
      </c>
      <c r="B300" s="22" t="n">
        <v>36221</v>
      </c>
      <c r="C300" s="23" t="n">
        <v>20000</v>
      </c>
      <c r="D300" s="42" t="n">
        <v>1241.25</v>
      </c>
      <c r="E300" s="25" t="n">
        <f aca="false">IF(C300&gt;0,-C300/10000*12.5,C300/10000*12.5)</f>
        <v>-25</v>
      </c>
      <c r="F300" s="42" t="n">
        <f aca="false">+Sheet2!D$9</f>
        <v>1340.25</v>
      </c>
      <c r="G300" s="24" t="n">
        <f aca="false">IF(C300&gt;0,F300-D300,D300-F300)</f>
        <v>99</v>
      </c>
      <c r="H300" s="24" t="n">
        <f aca="false">C300*G300/200+E300</f>
        <v>9875</v>
      </c>
      <c r="I300" s="26"/>
    </row>
    <row r="301" customFormat="false" ht="12.75" hidden="true" customHeight="false" outlineLevel="0" collapsed="false">
      <c r="A301" s="21" t="s">
        <v>43</v>
      </c>
      <c r="B301" s="22" t="n">
        <v>36221</v>
      </c>
      <c r="C301" s="23" t="n">
        <v>-20000</v>
      </c>
      <c r="D301" s="42" t="n">
        <v>1245</v>
      </c>
      <c r="E301" s="25" t="n">
        <f aca="false">IF(C301&gt;0,-C301/10000*12.5,C301/10000*12.5)</f>
        <v>-25</v>
      </c>
      <c r="F301" s="42" t="n">
        <f aca="false">+Sheet2!D$9</f>
        <v>1340.25</v>
      </c>
      <c r="G301" s="24" t="n">
        <f aca="false">IF(C301&gt;0,F301-D301,D301-F301)</f>
        <v>-95.25</v>
      </c>
      <c r="H301" s="24" t="n">
        <f aca="false">-C301*G301/200+E301</f>
        <v>-9550</v>
      </c>
      <c r="I301" s="26"/>
    </row>
    <row r="302" customFormat="false" ht="12.75" hidden="true" customHeight="false" outlineLevel="0" collapsed="false">
      <c r="A302" s="21" t="s">
        <v>43</v>
      </c>
      <c r="B302" s="22" t="n">
        <v>36221</v>
      </c>
      <c r="C302" s="23" t="n">
        <v>10000</v>
      </c>
      <c r="D302" s="42" t="n">
        <v>1238.5</v>
      </c>
      <c r="E302" s="25" t="n">
        <f aca="false">IF(C302&gt;0,-C302/10000*12.5,C302/10000*12.5)</f>
        <v>-12.5</v>
      </c>
      <c r="F302" s="42" t="n">
        <f aca="false">+Sheet2!D$9</f>
        <v>1340.25</v>
      </c>
      <c r="G302" s="24" t="n">
        <f aca="false">IF(C302&gt;0,F302-D302,D302-F302)</f>
        <v>101.75</v>
      </c>
      <c r="H302" s="24" t="n">
        <f aca="false">C302*G302/200+E302</f>
        <v>5075</v>
      </c>
      <c r="I302" s="26"/>
    </row>
    <row r="303" customFormat="false" ht="12.75" hidden="true" customHeight="false" outlineLevel="0" collapsed="false">
      <c r="A303" s="21" t="s">
        <v>43</v>
      </c>
      <c r="B303" s="22" t="n">
        <v>36222</v>
      </c>
      <c r="C303" s="23" t="n">
        <v>-10000</v>
      </c>
      <c r="D303" s="42" t="n">
        <v>1230.75</v>
      </c>
      <c r="E303" s="25" t="n">
        <f aca="false">IF(C303&gt;0,-C303/10000*12.5,C303/10000*12.5)</f>
        <v>-12.5</v>
      </c>
      <c r="F303" s="42" t="n">
        <f aca="false">+Sheet2!D$9</f>
        <v>1340.25</v>
      </c>
      <c r="G303" s="24" t="n">
        <f aca="false">IF(C303&gt;0,F303-D303,D303-F303)</f>
        <v>-109.5</v>
      </c>
      <c r="H303" s="24" t="n">
        <f aca="false">-C303*G303/200+E303</f>
        <v>-5487.5</v>
      </c>
      <c r="I303" s="26"/>
    </row>
    <row r="304" customFormat="false" ht="12.75" hidden="true" customHeight="false" outlineLevel="0" collapsed="false">
      <c r="A304" s="21" t="s">
        <v>43</v>
      </c>
      <c r="B304" s="22" t="n">
        <v>36222</v>
      </c>
      <c r="C304" s="23" t="n">
        <v>10000</v>
      </c>
      <c r="D304" s="42" t="n">
        <v>1221.75</v>
      </c>
      <c r="E304" s="25" t="n">
        <f aca="false">IF(C304&gt;0,-C304/10000*12.5,C304/10000*12.5)</f>
        <v>-12.5</v>
      </c>
      <c r="F304" s="42" t="n">
        <f aca="false">+Sheet2!D$9</f>
        <v>1340.25</v>
      </c>
      <c r="G304" s="24" t="n">
        <f aca="false">IF(C304&gt;0,F304-D304,D304-F304)</f>
        <v>118.5</v>
      </c>
      <c r="H304" s="24" t="n">
        <f aca="false">C304*G304/200+E304</f>
        <v>5912.5</v>
      </c>
      <c r="I304" s="26"/>
    </row>
    <row r="305" customFormat="false" ht="12.75" hidden="true" customHeight="false" outlineLevel="0" collapsed="false">
      <c r="A305" s="21" t="s">
        <v>43</v>
      </c>
      <c r="B305" s="22" t="n">
        <v>36222</v>
      </c>
      <c r="C305" s="23" t="n">
        <v>10000</v>
      </c>
      <c r="D305" s="42" t="n">
        <v>1224.5</v>
      </c>
      <c r="E305" s="25" t="n">
        <f aca="false">IF(C305&gt;0,-C305/10000*12.5,C305/10000*12.5)</f>
        <v>-12.5</v>
      </c>
      <c r="F305" s="42" t="n">
        <f aca="false">+Sheet2!D$9</f>
        <v>1340.25</v>
      </c>
      <c r="G305" s="24" t="n">
        <f aca="false">IF(C305&gt;0,F305-D305,D305-F305)</f>
        <v>115.75</v>
      </c>
      <c r="H305" s="24" t="n">
        <f aca="false">C305*G305/200+E305</f>
        <v>5775</v>
      </c>
      <c r="I305" s="26"/>
    </row>
    <row r="306" customFormat="false" ht="12.75" hidden="true" customHeight="false" outlineLevel="0" collapsed="false">
      <c r="A306" s="21" t="s">
        <v>43</v>
      </c>
      <c r="B306" s="22" t="n">
        <v>36222</v>
      </c>
      <c r="C306" s="23" t="n">
        <v>10000</v>
      </c>
      <c r="D306" s="42" t="n">
        <v>1224.25</v>
      </c>
      <c r="E306" s="25" t="n">
        <f aca="false">IF(C306&gt;0,-C306/10000*12.5,C306/10000*12.5)</f>
        <v>-12.5</v>
      </c>
      <c r="F306" s="42" t="n">
        <f aca="false">+Sheet2!D$9</f>
        <v>1340.25</v>
      </c>
      <c r="G306" s="24" t="n">
        <f aca="false">IF(C306&gt;0,F306-D306,D306-F306)</f>
        <v>116</v>
      </c>
      <c r="H306" s="24" t="n">
        <f aca="false">C306*G306/200+E306</f>
        <v>5787.5</v>
      </c>
      <c r="I306" s="26"/>
    </row>
    <row r="307" customFormat="false" ht="12.75" hidden="true" customHeight="false" outlineLevel="0" collapsed="false">
      <c r="A307" s="21" t="s">
        <v>43</v>
      </c>
      <c r="B307" s="22" t="n">
        <v>36222</v>
      </c>
      <c r="C307" s="23" t="n">
        <v>-10000</v>
      </c>
      <c r="D307" s="42" t="n">
        <v>1222</v>
      </c>
      <c r="E307" s="25" t="n">
        <f aca="false">IF(C307&gt;0,-C307/10000*12.5,C307/10000*12.5)</f>
        <v>-12.5</v>
      </c>
      <c r="F307" s="42" t="n">
        <f aca="false">+Sheet2!D$9</f>
        <v>1340.25</v>
      </c>
      <c r="G307" s="24" t="n">
        <f aca="false">IF(C307&gt;0,F307-D307,D307-F307)</f>
        <v>-118.25</v>
      </c>
      <c r="H307" s="24" t="n">
        <f aca="false">-C307*G307/200+E307</f>
        <v>-5925</v>
      </c>
      <c r="I307" s="26"/>
    </row>
    <row r="308" customFormat="false" ht="12.75" hidden="true" customHeight="false" outlineLevel="0" collapsed="false">
      <c r="A308" s="21" t="s">
        <v>43</v>
      </c>
      <c r="B308" s="22" t="n">
        <v>36222</v>
      </c>
      <c r="C308" s="23" t="n">
        <v>-10000</v>
      </c>
      <c r="D308" s="42" t="n">
        <v>1218.75</v>
      </c>
      <c r="E308" s="25" t="n">
        <f aca="false">IF(C308&gt;0,-C308/10000*12.5,C308/10000*12.5)</f>
        <v>-12.5</v>
      </c>
      <c r="F308" s="42" t="n">
        <f aca="false">+Sheet2!D$9</f>
        <v>1340.25</v>
      </c>
      <c r="G308" s="24" t="n">
        <f aca="false">IF(C308&gt;0,F308-D308,D308-F308)</f>
        <v>-121.5</v>
      </c>
      <c r="H308" s="24" t="n">
        <f aca="false">-C308*G308/200+E308</f>
        <v>-6087.5</v>
      </c>
      <c r="I308" s="26"/>
    </row>
    <row r="309" customFormat="false" ht="12.75" hidden="true" customHeight="false" outlineLevel="0" collapsed="false">
      <c r="A309" s="21" t="s">
        <v>43</v>
      </c>
      <c r="B309" s="22" t="n">
        <v>36222</v>
      </c>
      <c r="C309" s="23" t="n">
        <v>10000</v>
      </c>
      <c r="D309" s="42" t="n">
        <v>1227.75</v>
      </c>
      <c r="E309" s="25" t="n">
        <f aca="false">IF(C309&gt;0,-C309/10000*12.5,C309/10000*12.5)</f>
        <v>-12.5</v>
      </c>
      <c r="F309" s="42" t="n">
        <f aca="false">+Sheet2!D$9</f>
        <v>1340.25</v>
      </c>
      <c r="G309" s="24" t="n">
        <f aca="false">IF(C309&gt;0,F309-D309,D309-F309)</f>
        <v>112.5</v>
      </c>
      <c r="H309" s="24" t="n">
        <f aca="false">C309*G309/200+E309</f>
        <v>5612.5</v>
      </c>
      <c r="I309" s="26"/>
    </row>
    <row r="310" customFormat="false" ht="12.75" hidden="true" customHeight="false" outlineLevel="0" collapsed="false">
      <c r="A310" s="21" t="s">
        <v>43</v>
      </c>
      <c r="B310" s="22" t="n">
        <v>36223</v>
      </c>
      <c r="C310" s="23" t="n">
        <v>-10000</v>
      </c>
      <c r="D310" s="42" t="n">
        <v>1233.5</v>
      </c>
      <c r="E310" s="25" t="n">
        <f aca="false">IF(C310&gt;0,-C310/10000*12.5,C310/10000*12.5)</f>
        <v>-12.5</v>
      </c>
      <c r="F310" s="42" t="n">
        <f aca="false">+Sheet2!D$9</f>
        <v>1340.25</v>
      </c>
      <c r="G310" s="24" t="n">
        <f aca="false">IF(C310&gt;0,F310-D310,D310-F310)</f>
        <v>-106.75</v>
      </c>
      <c r="H310" s="24" t="n">
        <f aca="false">-C310*G310/200+E310</f>
        <v>-5350</v>
      </c>
      <c r="I310" s="26"/>
    </row>
    <row r="311" customFormat="false" ht="12.75" hidden="true" customHeight="false" outlineLevel="0" collapsed="false">
      <c r="A311" s="21" t="s">
        <v>43</v>
      </c>
      <c r="B311" s="22" t="n">
        <v>36223</v>
      </c>
      <c r="C311" s="23" t="n">
        <v>-10000</v>
      </c>
      <c r="D311" s="42" t="n">
        <v>1232</v>
      </c>
      <c r="E311" s="25" t="n">
        <f aca="false">IF(C311&gt;0,-C311/10000*12.5,C311/10000*12.5)</f>
        <v>-12.5</v>
      </c>
      <c r="F311" s="42" t="n">
        <f aca="false">+Sheet2!D$9</f>
        <v>1340.25</v>
      </c>
      <c r="G311" s="24" t="n">
        <f aca="false">IF(C311&gt;0,F311-D311,D311-F311)</f>
        <v>-108.25</v>
      </c>
      <c r="H311" s="24" t="n">
        <f aca="false">-C311*G311/200+E311</f>
        <v>-5425</v>
      </c>
      <c r="I311" s="26"/>
    </row>
    <row r="312" customFormat="false" ht="12.75" hidden="true" customHeight="false" outlineLevel="0" collapsed="false">
      <c r="A312" s="21" t="s">
        <v>43</v>
      </c>
      <c r="B312" s="22" t="n">
        <v>36223</v>
      </c>
      <c r="C312" s="23" t="n">
        <v>10000</v>
      </c>
      <c r="D312" s="42" t="n">
        <v>1240.75</v>
      </c>
      <c r="E312" s="25" t="n">
        <f aca="false">IF(C312&gt;0,-C312/10000*12.5,C312/10000*12.5)</f>
        <v>-12.5</v>
      </c>
      <c r="F312" s="42" t="n">
        <f aca="false">+Sheet2!D$9</f>
        <v>1340.25</v>
      </c>
      <c r="G312" s="24" t="n">
        <f aca="false">IF(C312&gt;0,F312-D312,D312-F312)</f>
        <v>99.5</v>
      </c>
      <c r="H312" s="24" t="n">
        <f aca="false">C312*G312/200+E312</f>
        <v>4962.5</v>
      </c>
      <c r="I312" s="26"/>
    </row>
    <row r="313" customFormat="false" ht="12.75" hidden="true" customHeight="false" outlineLevel="0" collapsed="false">
      <c r="A313" s="21" t="s">
        <v>43</v>
      </c>
      <c r="B313" s="22" t="n">
        <v>36223</v>
      </c>
      <c r="C313" s="23" t="n">
        <v>-10000</v>
      </c>
      <c r="D313" s="42" t="n">
        <v>1237.75</v>
      </c>
      <c r="E313" s="25" t="n">
        <f aca="false">IF(C313&gt;0,-C313/10000*12.5,C313/10000*12.5)</f>
        <v>-12.5</v>
      </c>
      <c r="F313" s="42" t="n">
        <f aca="false">+Sheet2!D$9</f>
        <v>1340.25</v>
      </c>
      <c r="G313" s="24" t="n">
        <f aca="false">IF(C313&gt;0,F313-D313,D313-F313)</f>
        <v>-102.5</v>
      </c>
      <c r="H313" s="24" t="n">
        <f aca="false">-C313*G313/200+E313</f>
        <v>-5137.5</v>
      </c>
      <c r="I313" s="26"/>
    </row>
    <row r="314" customFormat="false" ht="12.75" hidden="true" customHeight="false" outlineLevel="0" collapsed="false">
      <c r="A314" s="21" t="s">
        <v>43</v>
      </c>
      <c r="B314" s="22" t="n">
        <v>36223</v>
      </c>
      <c r="C314" s="23" t="n">
        <v>20000</v>
      </c>
      <c r="D314" s="42" t="n">
        <v>1244.5</v>
      </c>
      <c r="E314" s="25" t="n">
        <f aca="false">IF(C314&gt;0,-C314/10000*12.5,C314/10000*12.5)</f>
        <v>-25</v>
      </c>
      <c r="F314" s="42" t="n">
        <f aca="false">+Sheet2!D$9</f>
        <v>1340.25</v>
      </c>
      <c r="G314" s="24" t="n">
        <f aca="false">IF(C314&gt;0,F314-D314,D314-F314)</f>
        <v>95.75</v>
      </c>
      <c r="H314" s="24" t="n">
        <f aca="false">C314*G314/200+E314</f>
        <v>9550</v>
      </c>
      <c r="I314" s="26"/>
    </row>
    <row r="315" customFormat="false" ht="12.75" hidden="true" customHeight="false" outlineLevel="0" collapsed="false">
      <c r="A315" s="21" t="s">
        <v>43</v>
      </c>
      <c r="B315" s="22" t="n">
        <v>36223</v>
      </c>
      <c r="C315" s="23" t="n">
        <v>10000</v>
      </c>
      <c r="D315" s="42" t="n">
        <v>1248.75</v>
      </c>
      <c r="E315" s="25" t="n">
        <f aca="false">IF(C315&gt;0,-C315/10000*12.5,C315/10000*12.5)</f>
        <v>-12.5</v>
      </c>
      <c r="F315" s="42" t="n">
        <f aca="false">+Sheet2!D$9</f>
        <v>1340.25</v>
      </c>
      <c r="G315" s="24" t="n">
        <f aca="false">IF(C315&gt;0,F315-D315,D315-F315)</f>
        <v>91.5</v>
      </c>
      <c r="H315" s="24" t="n">
        <f aca="false">C315*G315/200+E315</f>
        <v>4562.5</v>
      </c>
      <c r="I315" s="26"/>
    </row>
    <row r="316" customFormat="false" ht="12.75" hidden="true" customHeight="false" outlineLevel="0" collapsed="false">
      <c r="A316" s="21" t="s">
        <v>43</v>
      </c>
      <c r="B316" s="22" t="n">
        <v>36224</v>
      </c>
      <c r="C316" s="23" t="n">
        <v>-10000</v>
      </c>
      <c r="D316" s="42" t="n">
        <v>1235</v>
      </c>
      <c r="E316" s="25" t="n">
        <f aca="false">IF(C316&gt;0,-C316/10000*12.5,C316/10000*12.5)</f>
        <v>-12.5</v>
      </c>
      <c r="F316" s="42" t="n">
        <f aca="false">+Sheet2!D$9</f>
        <v>1340.25</v>
      </c>
      <c r="G316" s="24" t="n">
        <f aca="false">IF(C316&gt;0,F316-D316,D316-F316)</f>
        <v>-105.25</v>
      </c>
      <c r="H316" s="24" t="n">
        <f aca="false">-C316*G316/200+E316</f>
        <v>-5275</v>
      </c>
      <c r="I316" s="26"/>
    </row>
    <row r="317" customFormat="false" ht="12.75" hidden="true" customHeight="false" outlineLevel="0" collapsed="false">
      <c r="A317" s="21" t="s">
        <v>43</v>
      </c>
      <c r="B317" s="22" t="n">
        <v>36224</v>
      </c>
      <c r="C317" s="23" t="n">
        <v>-10000</v>
      </c>
      <c r="D317" s="42" t="n">
        <v>1271.75</v>
      </c>
      <c r="E317" s="25" t="n">
        <f aca="false">IF(C317&gt;0,-C317/10000*12.5,C317/10000*12.5)</f>
        <v>-12.5</v>
      </c>
      <c r="F317" s="42" t="n">
        <f aca="false">+Sheet2!D$9</f>
        <v>1340.25</v>
      </c>
      <c r="G317" s="24" t="n">
        <f aca="false">IF(C317&gt;0,F317-D317,D317-F317)</f>
        <v>-68.5</v>
      </c>
      <c r="H317" s="24" t="n">
        <f aca="false">-C317*G317/200+E317</f>
        <v>-3437.5</v>
      </c>
      <c r="I317" s="26"/>
    </row>
    <row r="318" customFormat="false" ht="12.75" hidden="true" customHeight="false" outlineLevel="0" collapsed="false">
      <c r="A318" s="21" t="s">
        <v>43</v>
      </c>
      <c r="B318" s="22" t="n">
        <v>36224</v>
      </c>
      <c r="C318" s="23" t="n">
        <v>-10000</v>
      </c>
      <c r="D318" s="42" t="n">
        <v>1267.25</v>
      </c>
      <c r="E318" s="25" t="n">
        <f aca="false">IF(C318&gt;0,-C318/10000*12.5,C318/10000*12.5)</f>
        <v>-12.5</v>
      </c>
      <c r="F318" s="42" t="n">
        <f aca="false">+Sheet2!D$9</f>
        <v>1340.25</v>
      </c>
      <c r="G318" s="24" t="n">
        <f aca="false">IF(C318&gt;0,F318-D318,D318-F318)</f>
        <v>-73</v>
      </c>
      <c r="H318" s="24" t="n">
        <f aca="false">-C318*G318/200+E318</f>
        <v>-3662.5</v>
      </c>
      <c r="I318" s="26"/>
    </row>
    <row r="319" customFormat="false" ht="12.75" hidden="true" customHeight="false" outlineLevel="0" collapsed="false">
      <c r="A319" s="21" t="s">
        <v>43</v>
      </c>
      <c r="B319" s="22" t="n">
        <v>36224</v>
      </c>
      <c r="C319" s="23" t="n">
        <v>10000</v>
      </c>
      <c r="D319" s="42" t="n">
        <v>1272.5</v>
      </c>
      <c r="E319" s="25" t="n">
        <f aca="false">IF(C319&gt;0,-C319/10000*12.5,C319/10000*12.5)</f>
        <v>-12.5</v>
      </c>
      <c r="F319" s="42" t="n">
        <f aca="false">+Sheet2!D$9</f>
        <v>1340.25</v>
      </c>
      <c r="G319" s="24" t="n">
        <f aca="false">IF(C319&gt;0,F319-D319,D319-F319)</f>
        <v>67.75</v>
      </c>
      <c r="H319" s="24" t="n">
        <f aca="false">C319*G319/200+E319</f>
        <v>3375</v>
      </c>
      <c r="I319" s="26"/>
    </row>
    <row r="320" customFormat="false" ht="12.75" hidden="true" customHeight="false" outlineLevel="0" collapsed="false">
      <c r="A320" s="21" t="s">
        <v>43</v>
      </c>
      <c r="B320" s="22" t="n">
        <v>36224</v>
      </c>
      <c r="C320" s="23" t="n">
        <v>10000</v>
      </c>
      <c r="D320" s="42" t="n">
        <v>1272.75</v>
      </c>
      <c r="E320" s="25" t="n">
        <f aca="false">IF(C320&gt;0,-C320/10000*12.5,C320/10000*12.5)</f>
        <v>-12.5</v>
      </c>
      <c r="F320" s="42" t="n">
        <f aca="false">+Sheet2!D$9</f>
        <v>1340.25</v>
      </c>
      <c r="G320" s="24" t="n">
        <f aca="false">IF(C320&gt;0,F320-D320,D320-F320)</f>
        <v>67.5</v>
      </c>
      <c r="H320" s="24" t="n">
        <f aca="false">C320*G320/200+E320</f>
        <v>3362.5</v>
      </c>
      <c r="I320" s="26"/>
    </row>
    <row r="321" customFormat="false" ht="12.75" hidden="true" customHeight="false" outlineLevel="0" collapsed="false">
      <c r="A321" s="21" t="s">
        <v>43</v>
      </c>
      <c r="B321" s="22" t="n">
        <v>36224</v>
      </c>
      <c r="C321" s="23" t="n">
        <v>20000</v>
      </c>
      <c r="D321" s="42" t="n">
        <v>1274.25</v>
      </c>
      <c r="E321" s="25" t="n">
        <f aca="false">IF(C321&gt;0,-C321/10000*12.5,C321/10000*12.5)</f>
        <v>-25</v>
      </c>
      <c r="F321" s="42" t="n">
        <f aca="false">+Sheet2!D$9</f>
        <v>1340.25</v>
      </c>
      <c r="G321" s="24" t="n">
        <f aca="false">IF(C321&gt;0,F321-D321,D321-F321)</f>
        <v>66</v>
      </c>
      <c r="H321" s="24" t="n">
        <f aca="false">C321*G321/200+E321</f>
        <v>6575</v>
      </c>
      <c r="I321" s="26"/>
    </row>
    <row r="322" customFormat="false" ht="12.75" hidden="true" customHeight="false" outlineLevel="0" collapsed="false">
      <c r="A322" s="21" t="s">
        <v>43</v>
      </c>
      <c r="B322" s="22" t="n">
        <v>36224</v>
      </c>
      <c r="C322" s="23" t="n">
        <v>-10000</v>
      </c>
      <c r="D322" s="42" t="n">
        <v>1278.25</v>
      </c>
      <c r="E322" s="25" t="n">
        <f aca="false">IF(C322&gt;0,-C322/10000*12.5,C322/10000*12.5)</f>
        <v>-12.5</v>
      </c>
      <c r="F322" s="42" t="n">
        <f aca="false">+Sheet2!D$9</f>
        <v>1340.25</v>
      </c>
      <c r="G322" s="24" t="n">
        <f aca="false">IF(C322&gt;0,F322-D322,D322-F322)</f>
        <v>-62</v>
      </c>
      <c r="H322" s="24" t="n">
        <f aca="false">-C322*G322/200+E322</f>
        <v>-3112.5</v>
      </c>
      <c r="I322" s="26"/>
    </row>
    <row r="323" customFormat="false" ht="12.75" hidden="true" customHeight="false" outlineLevel="0" collapsed="false">
      <c r="A323" s="21" t="s">
        <v>43</v>
      </c>
      <c r="B323" s="22" t="n">
        <v>36227</v>
      </c>
      <c r="C323" s="23" t="n">
        <v>-10000</v>
      </c>
      <c r="D323" s="42" t="n">
        <v>1274.75</v>
      </c>
      <c r="E323" s="25" t="n">
        <f aca="false">IF(C323&gt;0,-C323/10000*12.5,C323/10000*12.5)</f>
        <v>-12.5</v>
      </c>
      <c r="F323" s="42" t="n">
        <f aca="false">+Sheet2!D$9</f>
        <v>1340.25</v>
      </c>
      <c r="G323" s="24" t="n">
        <f aca="false">IF(C323&gt;0,F323-D323,D323-F323)</f>
        <v>-65.5</v>
      </c>
      <c r="H323" s="24" t="n">
        <f aca="false">-C323*G323/200+E323</f>
        <v>-3287.5</v>
      </c>
      <c r="I323" s="26"/>
    </row>
    <row r="324" customFormat="false" ht="12.75" hidden="true" customHeight="false" outlineLevel="0" collapsed="false">
      <c r="A324" s="21" t="s">
        <v>44</v>
      </c>
      <c r="B324" s="22" t="n">
        <v>36231</v>
      </c>
      <c r="C324" s="23" t="n">
        <v>10000</v>
      </c>
      <c r="D324" s="42" t="n">
        <v>1307</v>
      </c>
      <c r="E324" s="25" t="n">
        <f aca="false">IF(C324&gt;0,-C324/10000*12.5,C324/10000*12.5)</f>
        <v>-12.5</v>
      </c>
      <c r="F324" s="42" t="n">
        <f aca="false">+Sheet2!D$9</f>
        <v>1340.25</v>
      </c>
      <c r="G324" s="24" t="n">
        <f aca="false">IF(C324&gt;0,F324-D324,D324-F324)</f>
        <v>33.25</v>
      </c>
      <c r="H324" s="24" t="n">
        <f aca="false">C324*G324/200+E324</f>
        <v>1650</v>
      </c>
      <c r="I324" s="26"/>
    </row>
    <row r="325" customFormat="false" ht="12.75" hidden="true" customHeight="false" outlineLevel="0" collapsed="false">
      <c r="A325" s="21" t="s">
        <v>44</v>
      </c>
      <c r="B325" s="22" t="n">
        <v>36231</v>
      </c>
      <c r="C325" s="23" t="n">
        <v>10000</v>
      </c>
      <c r="D325" s="42" t="n">
        <v>1308.25</v>
      </c>
      <c r="E325" s="25" t="n">
        <f aca="false">IF(C325&gt;0,-C325/10000*12.5,C325/10000*12.5)</f>
        <v>-12.5</v>
      </c>
      <c r="F325" s="42" t="n">
        <f aca="false">+Sheet2!D$9</f>
        <v>1340.25</v>
      </c>
      <c r="G325" s="24" t="n">
        <f aca="false">IF(C325&gt;0,F325-D325,D325-F325)</f>
        <v>32</v>
      </c>
      <c r="H325" s="24" t="n">
        <f aca="false">C325*G325/200+E325</f>
        <v>1587.5</v>
      </c>
      <c r="I325" s="26"/>
    </row>
    <row r="326" customFormat="false" ht="12.75" hidden="true" customHeight="false" outlineLevel="0" collapsed="false">
      <c r="A326" s="21" t="s">
        <v>44</v>
      </c>
      <c r="B326" s="22" t="n">
        <v>36231</v>
      </c>
      <c r="C326" s="23" t="n">
        <v>-20000</v>
      </c>
      <c r="D326" s="42" t="n">
        <v>1305.75</v>
      </c>
      <c r="E326" s="25" t="n">
        <f aca="false">IF(C326&gt;0,-C326/10000*12.5,C326/10000*12.5)</f>
        <v>-25</v>
      </c>
      <c r="F326" s="42" t="n">
        <f aca="false">+Sheet2!D$9</f>
        <v>1340.25</v>
      </c>
      <c r="G326" s="24" t="n">
        <f aca="false">IF(C326&gt;0,F326-D326,D326-F326)</f>
        <v>-34.5</v>
      </c>
      <c r="H326" s="24" t="n">
        <f aca="false">-C326*G326/200+E326</f>
        <v>-3475</v>
      </c>
      <c r="I326" s="26"/>
    </row>
    <row r="327" customFormat="false" ht="12.75" hidden="true" customHeight="false" outlineLevel="0" collapsed="false">
      <c r="A327" s="21" t="s">
        <v>44</v>
      </c>
      <c r="B327" s="22" t="n">
        <v>36235</v>
      </c>
      <c r="C327" s="23" t="n">
        <v>-10000</v>
      </c>
      <c r="D327" s="42" t="n">
        <v>1315.75</v>
      </c>
      <c r="E327" s="25" t="n">
        <f aca="false">IF(C327&gt;0,-C327/10000*12.5,C327/10000*12.5)</f>
        <v>-12.5</v>
      </c>
      <c r="F327" s="42" t="n">
        <f aca="false">+Sheet2!D$9</f>
        <v>1340.25</v>
      </c>
      <c r="G327" s="24" t="n">
        <f aca="false">IF(C327&gt;0,F327-D327,D327-F327)</f>
        <v>-24.5</v>
      </c>
      <c r="H327" s="24" t="n">
        <f aca="false">-C327*G327/200+E327</f>
        <v>-1237.5</v>
      </c>
      <c r="I327" s="26"/>
    </row>
    <row r="328" customFormat="false" ht="12.75" hidden="true" customHeight="false" outlineLevel="0" collapsed="false">
      <c r="A328" s="21" t="s">
        <v>44</v>
      </c>
      <c r="B328" s="22" t="n">
        <v>36235</v>
      </c>
      <c r="C328" s="23" t="n">
        <v>10000</v>
      </c>
      <c r="D328" s="42" t="n">
        <v>1319.5</v>
      </c>
      <c r="E328" s="25" t="n">
        <f aca="false">IF(C328&gt;0,-C328/10000*12.5,C328/10000*12.5)</f>
        <v>-12.5</v>
      </c>
      <c r="F328" s="42" t="n">
        <f aca="false">+Sheet2!D$9</f>
        <v>1340.25</v>
      </c>
      <c r="G328" s="24" t="n">
        <f aca="false">IF(C328&gt;0,F328-D328,D328-F328)</f>
        <v>20.75</v>
      </c>
      <c r="H328" s="24" t="n">
        <f aca="false">C328*G328/200+E328</f>
        <v>1025</v>
      </c>
      <c r="I328" s="26"/>
    </row>
    <row r="329" customFormat="false" ht="12.75" hidden="true" customHeight="false" outlineLevel="0" collapsed="false">
      <c r="A329" s="21" t="s">
        <v>44</v>
      </c>
      <c r="B329" s="22" t="n">
        <v>36235</v>
      </c>
      <c r="C329" s="23" t="n">
        <v>-10000</v>
      </c>
      <c r="D329" s="42" t="n">
        <v>1316.5</v>
      </c>
      <c r="E329" s="25" t="n">
        <f aca="false">IF(C329&gt;0,-C329/10000*12.5,C329/10000*12.5)</f>
        <v>-12.5</v>
      </c>
      <c r="F329" s="42" t="n">
        <f aca="false">+Sheet2!D$9</f>
        <v>1340.25</v>
      </c>
      <c r="G329" s="24" t="n">
        <f aca="false">IF(C329&gt;0,F329-D329,D329-F329)</f>
        <v>-23.75</v>
      </c>
      <c r="H329" s="24" t="n">
        <f aca="false">-C329*G329/200+E329</f>
        <v>-1200</v>
      </c>
      <c r="I329" s="26"/>
    </row>
    <row r="330" customFormat="false" ht="12.75" hidden="true" customHeight="false" outlineLevel="0" collapsed="false">
      <c r="A330" s="21" t="s">
        <v>44</v>
      </c>
      <c r="B330" s="22" t="n">
        <v>36236</v>
      </c>
      <c r="C330" s="23" t="n">
        <v>-10000</v>
      </c>
      <c r="D330" s="42" t="n">
        <v>1316.5</v>
      </c>
      <c r="E330" s="25" t="n">
        <f aca="false">IF(C330&gt;0,-C330/10000*12.5,C330/10000*12.5)</f>
        <v>-12.5</v>
      </c>
      <c r="F330" s="42" t="n">
        <f aca="false">+Sheet2!D$9</f>
        <v>1340.25</v>
      </c>
      <c r="G330" s="24" t="n">
        <f aca="false">IF(C330&gt;0,F330-D330,D330-F330)</f>
        <v>-23.75</v>
      </c>
      <c r="H330" s="24" t="n">
        <f aca="false">-C330*G330/200+E330</f>
        <v>-1200</v>
      </c>
      <c r="I330" s="26"/>
    </row>
    <row r="331" customFormat="false" ht="12.75" hidden="true" customHeight="false" outlineLevel="0" collapsed="false">
      <c r="A331" s="21" t="s">
        <v>44</v>
      </c>
      <c r="B331" s="22" t="n">
        <v>36237</v>
      </c>
      <c r="C331" s="23" t="n">
        <v>10000</v>
      </c>
      <c r="D331" s="42" t="n">
        <v>1309.25</v>
      </c>
      <c r="E331" s="25" t="n">
        <f aca="false">IF(C331&gt;0,-C331/10000*12.5,C331/10000*12.5)</f>
        <v>-12.5</v>
      </c>
      <c r="F331" s="42" t="n">
        <f aca="false">+Sheet2!D$9</f>
        <v>1340.25</v>
      </c>
      <c r="G331" s="24" t="n">
        <f aca="false">IF(C331&gt;0,F331-D331,D331-F331)</f>
        <v>31</v>
      </c>
      <c r="H331" s="24" t="n">
        <f aca="false">C331*G331/200+E331</f>
        <v>1537.5</v>
      </c>
      <c r="I331" s="26"/>
    </row>
    <row r="332" customFormat="false" ht="12.75" hidden="true" customHeight="false" outlineLevel="0" collapsed="false">
      <c r="A332" s="21" t="s">
        <v>44</v>
      </c>
      <c r="B332" s="22" t="n">
        <v>36237</v>
      </c>
      <c r="C332" s="23" t="n">
        <v>10000</v>
      </c>
      <c r="D332" s="42" t="n">
        <v>1315.25</v>
      </c>
      <c r="E332" s="25" t="n">
        <f aca="false">IF(C332&gt;0,-C332/10000*12.5,C332/10000*12.5)</f>
        <v>-12.5</v>
      </c>
      <c r="F332" s="42" t="n">
        <f aca="false">+Sheet2!D$9</f>
        <v>1340.25</v>
      </c>
      <c r="G332" s="24" t="n">
        <f aca="false">IF(C332&gt;0,F332-D332,D332-F332)</f>
        <v>25</v>
      </c>
      <c r="H332" s="24" t="n">
        <f aca="false">C332*G332/200+E332</f>
        <v>1237.5</v>
      </c>
      <c r="I332" s="26"/>
    </row>
    <row r="333" customFormat="false" ht="12.75" hidden="true" customHeight="false" outlineLevel="0" collapsed="false">
      <c r="A333" s="21" t="s">
        <v>44</v>
      </c>
      <c r="B333" s="22" t="n">
        <v>36237</v>
      </c>
      <c r="C333" s="23" t="n">
        <v>10000</v>
      </c>
      <c r="D333" s="42" t="n">
        <v>1317</v>
      </c>
      <c r="E333" s="25" t="n">
        <f aca="false">IF(C333&gt;0,-C333/10000*12.5,C333/10000*12.5)</f>
        <v>-12.5</v>
      </c>
      <c r="F333" s="42" t="n">
        <f aca="false">+Sheet2!D$9</f>
        <v>1340.25</v>
      </c>
      <c r="G333" s="24" t="n">
        <f aca="false">IF(C333&gt;0,F333-D333,D333-F333)</f>
        <v>23.25</v>
      </c>
      <c r="H333" s="24" t="n">
        <f aca="false">C333*G333/200+E333</f>
        <v>1150</v>
      </c>
      <c r="I333" s="26"/>
    </row>
    <row r="334" customFormat="false" ht="12.75" hidden="true" customHeight="false" outlineLevel="0" collapsed="false">
      <c r="A334" s="21" t="s">
        <v>44</v>
      </c>
      <c r="B334" s="22" t="n">
        <v>36237</v>
      </c>
      <c r="C334" s="23" t="n">
        <v>10000</v>
      </c>
      <c r="D334" s="42" t="n">
        <v>1320</v>
      </c>
      <c r="E334" s="25" t="n">
        <f aca="false">IF(C334&gt;0,-C334/10000*12.5,C334/10000*12.5)</f>
        <v>-12.5</v>
      </c>
      <c r="F334" s="42" t="n">
        <f aca="false">+Sheet2!D$9</f>
        <v>1340.25</v>
      </c>
      <c r="G334" s="24" t="n">
        <f aca="false">IF(C334&gt;0,F334-D334,D334-F334)</f>
        <v>20.25</v>
      </c>
      <c r="H334" s="24" t="n">
        <f aca="false">C334*G334/200+E334</f>
        <v>1000</v>
      </c>
      <c r="I334" s="26"/>
    </row>
    <row r="335" customFormat="false" ht="12.75" hidden="true" customHeight="false" outlineLevel="0" collapsed="false">
      <c r="A335" s="21" t="s">
        <v>44</v>
      </c>
      <c r="B335" s="22" t="n">
        <v>36237</v>
      </c>
      <c r="C335" s="23" t="n">
        <v>-10000</v>
      </c>
      <c r="D335" s="42" t="n">
        <v>1324.5</v>
      </c>
      <c r="E335" s="25" t="n">
        <f aca="false">IF(C335&gt;0,-C335/10000*12.5,C335/10000*12.5)</f>
        <v>-12.5</v>
      </c>
      <c r="F335" s="42" t="n">
        <f aca="false">+Sheet2!D$9</f>
        <v>1340.25</v>
      </c>
      <c r="G335" s="24" t="n">
        <f aca="false">IF(C335&gt;0,F335-D335,D335-F335)</f>
        <v>-15.75</v>
      </c>
      <c r="H335" s="24" t="n">
        <f aca="false">-C335*G335/200+E335</f>
        <v>-800</v>
      </c>
      <c r="I335" s="26"/>
    </row>
    <row r="336" customFormat="false" ht="12.75" hidden="true" customHeight="false" outlineLevel="0" collapsed="false">
      <c r="A336" s="21" t="s">
        <v>44</v>
      </c>
      <c r="B336" s="22" t="n">
        <v>36237</v>
      </c>
      <c r="C336" s="23" t="n">
        <v>-10000</v>
      </c>
      <c r="D336" s="42" t="n">
        <v>1329.75</v>
      </c>
      <c r="E336" s="25" t="n">
        <f aca="false">IF(C336&gt;0,-C336/10000*12.5,C336/10000*12.5)</f>
        <v>-12.5</v>
      </c>
      <c r="F336" s="42" t="n">
        <f aca="false">+Sheet2!D$9</f>
        <v>1340.25</v>
      </c>
      <c r="G336" s="24" t="n">
        <f aca="false">IF(C336&gt;0,F336-D336,D336-F336)</f>
        <v>-10.5</v>
      </c>
      <c r="H336" s="24" t="n">
        <f aca="false">-C336*G336/200+E336</f>
        <v>-537.5</v>
      </c>
      <c r="I336" s="26"/>
    </row>
    <row r="337" customFormat="false" ht="12.75" hidden="true" customHeight="false" outlineLevel="0" collapsed="false">
      <c r="A337" s="21" t="s">
        <v>44</v>
      </c>
      <c r="B337" s="22" t="n">
        <v>36238</v>
      </c>
      <c r="C337" s="23" t="n">
        <v>-10000</v>
      </c>
      <c r="D337" s="42" t="n">
        <v>1327.5</v>
      </c>
      <c r="E337" s="25" t="n">
        <f aca="false">IF(C337&gt;0,-C337/10000*12.5,C337/10000*12.5)</f>
        <v>-12.5</v>
      </c>
      <c r="F337" s="42" t="n">
        <f aca="false">+Sheet2!D$9</f>
        <v>1340.25</v>
      </c>
      <c r="G337" s="24" t="n">
        <f aca="false">IF(C337&gt;0,F337-D337,D337-F337)</f>
        <v>-12.75</v>
      </c>
      <c r="H337" s="24" t="n">
        <f aca="false">-C337*G337/200+E337</f>
        <v>-650</v>
      </c>
      <c r="I337" s="26"/>
    </row>
    <row r="338" customFormat="false" ht="12.75" hidden="true" customHeight="false" outlineLevel="0" collapsed="false">
      <c r="A338" s="21" t="s">
        <v>44</v>
      </c>
      <c r="B338" s="22" t="n">
        <v>36238</v>
      </c>
      <c r="C338" s="23" t="n">
        <v>10000</v>
      </c>
      <c r="D338" s="42" t="n">
        <v>1331.25</v>
      </c>
      <c r="E338" s="25" t="n">
        <f aca="false">IF(C338&gt;0,-C338/10000*12.5,C338/10000*12.5)</f>
        <v>-12.5</v>
      </c>
      <c r="F338" s="42" t="n">
        <f aca="false">+Sheet2!D$9</f>
        <v>1340.25</v>
      </c>
      <c r="G338" s="24" t="n">
        <f aca="false">IF(C338&gt;0,F338-D338,D338-F338)</f>
        <v>9</v>
      </c>
      <c r="H338" s="24" t="n">
        <f aca="false">C338*G338/200+E338</f>
        <v>437.5</v>
      </c>
      <c r="I338" s="26"/>
    </row>
    <row r="339" customFormat="false" ht="12.75" hidden="true" customHeight="false" outlineLevel="0" collapsed="false">
      <c r="A339" s="21" t="s">
        <v>44</v>
      </c>
      <c r="B339" s="22" t="n">
        <v>36238</v>
      </c>
      <c r="C339" s="23" t="n">
        <v>-10000</v>
      </c>
      <c r="D339" s="42" t="n">
        <v>1324.75</v>
      </c>
      <c r="E339" s="25" t="n">
        <f aca="false">IF(C339&gt;0,-C339/10000*12.5,C339/10000*12.5)</f>
        <v>-12.5</v>
      </c>
      <c r="F339" s="42" t="n">
        <f aca="false">+Sheet2!D$9</f>
        <v>1340.25</v>
      </c>
      <c r="G339" s="24" t="n">
        <f aca="false">IF(C339&gt;0,F339-D339,D339-F339)</f>
        <v>-15.5</v>
      </c>
      <c r="H339" s="24" t="n">
        <f aca="false">-C339*G339/200+E339</f>
        <v>-787.5</v>
      </c>
      <c r="I339" s="26"/>
    </row>
    <row r="340" customFormat="false" ht="12.75" hidden="true" customHeight="false" outlineLevel="0" collapsed="false">
      <c r="A340" s="21" t="s">
        <v>44</v>
      </c>
      <c r="B340" s="22" t="n">
        <v>36238</v>
      </c>
      <c r="C340" s="23" t="n">
        <v>-10000</v>
      </c>
      <c r="D340" s="42" t="n">
        <v>1321</v>
      </c>
      <c r="E340" s="25" t="n">
        <f aca="false">IF(C340&gt;0,-C340/10000*12.5,C340/10000*12.5)</f>
        <v>-12.5</v>
      </c>
      <c r="F340" s="42" t="n">
        <f aca="false">+Sheet2!D$9</f>
        <v>1340.25</v>
      </c>
      <c r="G340" s="24" t="n">
        <f aca="false">IF(C340&gt;0,F340-D340,D340-F340)</f>
        <v>-19.25</v>
      </c>
      <c r="H340" s="24" t="n">
        <f aca="false">-C340*G340/200+E340</f>
        <v>-975</v>
      </c>
      <c r="I340" s="26"/>
    </row>
    <row r="341" customFormat="false" ht="12.75" hidden="true" customHeight="false" outlineLevel="0" collapsed="false">
      <c r="A341" s="21" t="s">
        <v>44</v>
      </c>
      <c r="B341" s="22" t="n">
        <v>36238</v>
      </c>
      <c r="C341" s="23" t="n">
        <v>10000</v>
      </c>
      <c r="D341" s="42" t="n">
        <v>1312.5</v>
      </c>
      <c r="E341" s="25" t="n">
        <f aca="false">IF(C341&gt;0,-C341/10000*12.5,C341/10000*12.5)</f>
        <v>-12.5</v>
      </c>
      <c r="F341" s="42" t="n">
        <f aca="false">+Sheet2!D$9</f>
        <v>1340.25</v>
      </c>
      <c r="G341" s="24" t="n">
        <f aca="false">IF(C341&gt;0,F341-D341,D341-F341)</f>
        <v>27.75</v>
      </c>
      <c r="H341" s="24" t="n">
        <f aca="false">C341*G341/200+E341</f>
        <v>1375</v>
      </c>
      <c r="I341" s="26"/>
    </row>
    <row r="342" customFormat="false" ht="12.75" hidden="true" customHeight="false" outlineLevel="0" collapsed="false">
      <c r="A342" s="21" t="s">
        <v>44</v>
      </c>
      <c r="B342" s="22" t="n">
        <v>36241</v>
      </c>
      <c r="C342" s="23" t="n">
        <v>10000</v>
      </c>
      <c r="D342" s="42" t="n">
        <v>1311.5</v>
      </c>
      <c r="E342" s="25" t="n">
        <f aca="false">IF(C342&gt;0,-C342/10000*12.5,C342/10000*12.5)</f>
        <v>-12.5</v>
      </c>
      <c r="F342" s="42" t="n">
        <f aca="false">+Sheet2!D$9</f>
        <v>1340.25</v>
      </c>
      <c r="G342" s="24" t="n">
        <f aca="false">IF(C342&gt;0,F342-D342,D342-F342)</f>
        <v>28.75</v>
      </c>
      <c r="H342" s="24" t="n">
        <f aca="false">C342*G342/200+E342</f>
        <v>1425</v>
      </c>
      <c r="I342" s="26"/>
    </row>
    <row r="343" customFormat="false" ht="12.75" hidden="true" customHeight="false" outlineLevel="0" collapsed="false">
      <c r="A343" s="21" t="s">
        <v>44</v>
      </c>
      <c r="B343" s="22" t="n">
        <v>36241</v>
      </c>
      <c r="C343" s="23" t="n">
        <v>10000</v>
      </c>
      <c r="D343" s="42" t="n">
        <v>1311.5</v>
      </c>
      <c r="E343" s="25" t="n">
        <f aca="false">IF(C343&gt;0,-C343/10000*12.5,C343/10000*12.5)</f>
        <v>-12.5</v>
      </c>
      <c r="F343" s="42" t="n">
        <f aca="false">+Sheet2!D$9</f>
        <v>1340.25</v>
      </c>
      <c r="G343" s="24" t="n">
        <f aca="false">IF(C343&gt;0,F343-D343,D343-F343)</f>
        <v>28.75</v>
      </c>
      <c r="H343" s="24" t="n">
        <f aca="false">C343*G343/200+E343</f>
        <v>1425</v>
      </c>
      <c r="I343" s="26"/>
    </row>
    <row r="344" customFormat="false" ht="12.75" hidden="true" customHeight="false" outlineLevel="0" collapsed="false">
      <c r="A344" s="21" t="s">
        <v>44</v>
      </c>
      <c r="B344" s="22" t="n">
        <v>36241</v>
      </c>
      <c r="C344" s="23" t="n">
        <v>-10000</v>
      </c>
      <c r="D344" s="42" t="n">
        <v>1311.25</v>
      </c>
      <c r="E344" s="25" t="n">
        <f aca="false">IF(C344&gt;0,-C344/10000*12.5,C344/10000*12.5)</f>
        <v>-12.5</v>
      </c>
      <c r="F344" s="42" t="n">
        <f aca="false">+Sheet2!D$9</f>
        <v>1340.25</v>
      </c>
      <c r="G344" s="24" t="n">
        <f aca="false">IF(C344&gt;0,F344-D344,D344-F344)</f>
        <v>-29</v>
      </c>
      <c r="H344" s="24" t="n">
        <f aca="false">-C344*G344/200+E344</f>
        <v>-1462.5</v>
      </c>
      <c r="I344" s="26"/>
    </row>
    <row r="345" customFormat="false" ht="12.75" hidden="true" customHeight="false" outlineLevel="0" collapsed="false">
      <c r="A345" s="21" t="s">
        <v>44</v>
      </c>
      <c r="B345" s="22" t="n">
        <v>36241</v>
      </c>
      <c r="C345" s="23" t="n">
        <v>-20000</v>
      </c>
      <c r="D345" s="42" t="n">
        <v>1308.75</v>
      </c>
      <c r="E345" s="25" t="n">
        <f aca="false">IF(C345&gt;0,-C345/10000*12.5,C345/10000*12.5)</f>
        <v>-25</v>
      </c>
      <c r="F345" s="42" t="n">
        <f aca="false">+Sheet2!D$9</f>
        <v>1340.25</v>
      </c>
      <c r="G345" s="24" t="n">
        <f aca="false">IF(C345&gt;0,F345-D345,D345-F345)</f>
        <v>-31.5</v>
      </c>
      <c r="H345" s="24" t="n">
        <f aca="false">-C345*G345/200+E345</f>
        <v>-3175</v>
      </c>
      <c r="I345" s="26"/>
    </row>
    <row r="346" customFormat="false" ht="12.75" hidden="true" customHeight="false" outlineLevel="0" collapsed="false">
      <c r="A346" s="21" t="s">
        <v>44</v>
      </c>
      <c r="B346" s="22" t="n">
        <v>36241</v>
      </c>
      <c r="C346" s="23" t="n">
        <v>20000</v>
      </c>
      <c r="D346" s="42" t="n">
        <v>1313</v>
      </c>
      <c r="E346" s="25" t="n">
        <f aca="false">IF(C346&gt;0,-C346/10000*12.5,C346/10000*12.5)</f>
        <v>-25</v>
      </c>
      <c r="F346" s="42" t="n">
        <f aca="false">+Sheet2!D$9</f>
        <v>1340.25</v>
      </c>
      <c r="G346" s="24" t="n">
        <f aca="false">IF(C346&gt;0,F346-D346,D346-F346)</f>
        <v>27.25</v>
      </c>
      <c r="H346" s="24" t="n">
        <f aca="false">C346*G346/200+E346</f>
        <v>2700</v>
      </c>
      <c r="I346" s="26"/>
    </row>
    <row r="347" customFormat="false" ht="12.75" hidden="true" customHeight="false" outlineLevel="0" collapsed="false">
      <c r="A347" s="21" t="s">
        <v>44</v>
      </c>
      <c r="B347" s="22" t="n">
        <v>36242</v>
      </c>
      <c r="C347" s="23" t="n">
        <v>-10000</v>
      </c>
      <c r="D347" s="42" t="n">
        <v>1307</v>
      </c>
      <c r="E347" s="25" t="n">
        <f aca="false">IF(C347&gt;0,-C347/10000*12.5,C347/10000*12.5)</f>
        <v>-12.5</v>
      </c>
      <c r="F347" s="42" t="n">
        <f aca="false">+Sheet2!D$9</f>
        <v>1340.25</v>
      </c>
      <c r="G347" s="24" t="n">
        <f aca="false">IF(C347&gt;0,F347-D347,D347-F347)</f>
        <v>-33.25</v>
      </c>
      <c r="H347" s="24" t="n">
        <f aca="false">-C347*G347/200+E347</f>
        <v>-1675</v>
      </c>
      <c r="I347" s="26"/>
    </row>
    <row r="348" customFormat="false" ht="12.75" hidden="true" customHeight="false" outlineLevel="0" collapsed="false">
      <c r="A348" s="21" t="s">
        <v>44</v>
      </c>
      <c r="B348" s="22" t="n">
        <v>36242</v>
      </c>
      <c r="C348" s="23" t="n">
        <v>-10000</v>
      </c>
      <c r="D348" s="42" t="n">
        <v>1304.75</v>
      </c>
      <c r="E348" s="25" t="n">
        <f aca="false">IF(C348&gt;0,-C348/10000*12.5,C348/10000*12.5)</f>
        <v>-12.5</v>
      </c>
      <c r="F348" s="42" t="n">
        <f aca="false">+Sheet2!D$9</f>
        <v>1340.25</v>
      </c>
      <c r="G348" s="24" t="n">
        <f aca="false">IF(C348&gt;0,F348-D348,D348-F348)</f>
        <v>-35.5</v>
      </c>
      <c r="H348" s="24" t="n">
        <f aca="false">-C348*G348/200+E348</f>
        <v>-1787.5</v>
      </c>
      <c r="I348" s="26"/>
    </row>
    <row r="349" customFormat="false" ht="12.75" hidden="true" customHeight="false" outlineLevel="0" collapsed="false">
      <c r="A349" s="21" t="s">
        <v>44</v>
      </c>
      <c r="B349" s="22" t="n">
        <v>36242</v>
      </c>
      <c r="C349" s="23" t="n">
        <v>10000</v>
      </c>
      <c r="D349" s="42" t="n">
        <v>1291.25</v>
      </c>
      <c r="E349" s="25" t="n">
        <f aca="false">IF(C349&gt;0,-C349/10000*12.5,C349/10000*12.5)</f>
        <v>-12.5</v>
      </c>
      <c r="F349" s="42" t="n">
        <f aca="false">+Sheet2!D$9</f>
        <v>1340.25</v>
      </c>
      <c r="G349" s="24" t="n">
        <f aca="false">IF(C349&gt;0,F349-D349,D349-F349)</f>
        <v>49</v>
      </c>
      <c r="H349" s="24" t="n">
        <f aca="false">C349*G349/200+E349</f>
        <v>2437.5</v>
      </c>
      <c r="I349" s="26"/>
    </row>
    <row r="350" customFormat="false" ht="12.75" hidden="true" customHeight="false" outlineLevel="0" collapsed="false">
      <c r="A350" s="21" t="s">
        <v>44</v>
      </c>
      <c r="B350" s="22" t="n">
        <v>36242</v>
      </c>
      <c r="C350" s="23" t="n">
        <v>10000</v>
      </c>
      <c r="D350" s="42" t="n">
        <v>1277.75</v>
      </c>
      <c r="E350" s="25" t="n">
        <f aca="false">IF(C350&gt;0,-C350/10000*12.5,C350/10000*12.5)</f>
        <v>-12.5</v>
      </c>
      <c r="F350" s="42" t="n">
        <f aca="false">+Sheet2!D$9</f>
        <v>1340.25</v>
      </c>
      <c r="G350" s="24" t="n">
        <f aca="false">IF(C350&gt;0,F350-D350,D350-F350)</f>
        <v>62.5</v>
      </c>
      <c r="H350" s="24" t="n">
        <f aca="false">C350*G350/200+E350</f>
        <v>3112.5</v>
      </c>
      <c r="I350" s="26"/>
    </row>
    <row r="351" customFormat="false" ht="12.75" hidden="true" customHeight="false" outlineLevel="0" collapsed="false">
      <c r="A351" s="21" t="s">
        <v>44</v>
      </c>
      <c r="B351" s="22" t="n">
        <v>36243</v>
      </c>
      <c r="C351" s="23" t="n">
        <v>-10000</v>
      </c>
      <c r="D351" s="42" t="n">
        <v>1273.5</v>
      </c>
      <c r="E351" s="25" t="n">
        <f aca="false">IF(C351&gt;0,-C351/10000*12.5,C351/10000*12.5)</f>
        <v>-12.5</v>
      </c>
      <c r="F351" s="42" t="n">
        <f aca="false">+Sheet2!D$9</f>
        <v>1340.25</v>
      </c>
      <c r="G351" s="24" t="n">
        <f aca="false">IF(C351&gt;0,F351-D351,D351-F351)</f>
        <v>-66.75</v>
      </c>
      <c r="H351" s="24" t="n">
        <f aca="false">-C351*G351/200+E351</f>
        <v>-3350</v>
      </c>
      <c r="I351" s="26"/>
    </row>
    <row r="352" customFormat="false" ht="12.75" hidden="true" customHeight="false" outlineLevel="0" collapsed="false">
      <c r="A352" s="21" t="s">
        <v>44</v>
      </c>
      <c r="B352" s="22" t="n">
        <v>36243</v>
      </c>
      <c r="C352" s="23" t="n">
        <v>-10000</v>
      </c>
      <c r="D352" s="42" t="n">
        <v>1275.5</v>
      </c>
      <c r="E352" s="25" t="n">
        <f aca="false">IF(C352&gt;0,-C352/10000*12.5,C352/10000*12.5)</f>
        <v>-12.5</v>
      </c>
      <c r="F352" s="42" t="n">
        <f aca="false">+Sheet2!D$9</f>
        <v>1340.25</v>
      </c>
      <c r="G352" s="24" t="n">
        <f aca="false">IF(C352&gt;0,F352-D352,D352-F352)</f>
        <v>-64.75</v>
      </c>
      <c r="H352" s="24" t="n">
        <f aca="false">-C352*G352/200+E352</f>
        <v>-3250</v>
      </c>
      <c r="I352" s="26"/>
    </row>
    <row r="353" customFormat="false" ht="12.75" hidden="true" customHeight="false" outlineLevel="0" collapsed="false">
      <c r="A353" s="21" t="s">
        <v>44</v>
      </c>
      <c r="B353" s="22" t="n">
        <v>36243</v>
      </c>
      <c r="C353" s="23" t="n">
        <v>10000</v>
      </c>
      <c r="D353" s="42" t="n">
        <v>1279</v>
      </c>
      <c r="E353" s="25" t="n">
        <f aca="false">IF(C353&gt;0,-C353/10000*12.5,C353/10000*12.5)</f>
        <v>-12.5</v>
      </c>
      <c r="F353" s="42" t="n">
        <f aca="false">+Sheet2!D$9</f>
        <v>1340.25</v>
      </c>
      <c r="G353" s="24" t="n">
        <f aca="false">IF(C353&gt;0,F353-D353,D353-F353)</f>
        <v>61.25</v>
      </c>
      <c r="H353" s="24" t="n">
        <f aca="false">C353*G353/200+E353</f>
        <v>3050</v>
      </c>
      <c r="I353" s="26"/>
    </row>
    <row r="354" customFormat="false" ht="12.75" hidden="true" customHeight="false" outlineLevel="0" collapsed="false">
      <c r="A354" s="21" t="s">
        <v>44</v>
      </c>
      <c r="B354" s="22" t="n">
        <v>36243</v>
      </c>
      <c r="C354" s="23" t="n">
        <v>10000</v>
      </c>
      <c r="D354" s="42" t="n">
        <v>1279.25</v>
      </c>
      <c r="E354" s="25" t="n">
        <f aca="false">IF(C354&gt;0,-C354/10000*12.5,C354/10000*12.5)</f>
        <v>-12.5</v>
      </c>
      <c r="F354" s="42" t="n">
        <f aca="false">+Sheet2!D$9</f>
        <v>1340.25</v>
      </c>
      <c r="G354" s="24" t="n">
        <f aca="false">IF(C354&gt;0,F354-D354,D354-F354)</f>
        <v>61</v>
      </c>
      <c r="H354" s="24" t="n">
        <f aca="false">C354*G354/200+E354</f>
        <v>3037.5</v>
      </c>
      <c r="I354" s="26"/>
    </row>
    <row r="355" customFormat="false" ht="12.75" hidden="true" customHeight="false" outlineLevel="0" collapsed="false">
      <c r="A355" s="21" t="s">
        <v>44</v>
      </c>
      <c r="B355" s="22" t="n">
        <v>36244</v>
      </c>
      <c r="C355" s="23" t="n">
        <v>-10000</v>
      </c>
      <c r="D355" s="42" t="n">
        <v>1296.5</v>
      </c>
      <c r="E355" s="25" t="n">
        <f aca="false">IF(C355&gt;0,-C355/10000*12.5,C355/10000*12.5)</f>
        <v>-12.5</v>
      </c>
      <c r="F355" s="42" t="n">
        <f aca="false">+Sheet2!D$9</f>
        <v>1340.25</v>
      </c>
      <c r="G355" s="24" t="n">
        <f aca="false">IF(C355&gt;0,F355-D355,D355-F355)</f>
        <v>-43.75</v>
      </c>
      <c r="H355" s="24" t="n">
        <f aca="false">-C355*G355/200+E355</f>
        <v>-2200</v>
      </c>
      <c r="I355" s="26"/>
    </row>
    <row r="356" customFormat="false" ht="12.75" hidden="true" customHeight="false" outlineLevel="0" collapsed="false">
      <c r="A356" s="21" t="s">
        <v>44</v>
      </c>
      <c r="B356" s="22" t="n">
        <v>36244</v>
      </c>
      <c r="C356" s="23" t="n">
        <v>-10000</v>
      </c>
      <c r="D356" s="42" t="n">
        <v>1299.5</v>
      </c>
      <c r="E356" s="25" t="n">
        <f aca="false">IF(C356&gt;0,-C356/10000*12.5,C356/10000*12.5)</f>
        <v>-12.5</v>
      </c>
      <c r="F356" s="42" t="n">
        <f aca="false">+Sheet2!D$9</f>
        <v>1340.25</v>
      </c>
      <c r="G356" s="24" t="n">
        <f aca="false">IF(C356&gt;0,F356-D356,D356-F356)</f>
        <v>-40.75</v>
      </c>
      <c r="H356" s="24" t="n">
        <f aca="false">-C356*G356/200+E356</f>
        <v>-2050</v>
      </c>
      <c r="I356" s="26"/>
    </row>
    <row r="357" customFormat="false" ht="12.75" hidden="true" customHeight="false" outlineLevel="0" collapsed="false">
      <c r="A357" s="21" t="s">
        <v>44</v>
      </c>
      <c r="B357" s="22" t="n">
        <v>36244</v>
      </c>
      <c r="C357" s="23" t="n">
        <v>10000</v>
      </c>
      <c r="D357" s="42" t="n">
        <v>1294.75</v>
      </c>
      <c r="E357" s="25" t="n">
        <f aca="false">IF(C357&gt;0,-C357/10000*12.5,C357/10000*12.5)</f>
        <v>-12.5</v>
      </c>
      <c r="F357" s="42" t="n">
        <f aca="false">+Sheet2!D$9</f>
        <v>1340.25</v>
      </c>
      <c r="G357" s="24" t="n">
        <f aca="false">IF(C357&gt;0,F357-D357,D357-F357)</f>
        <v>45.5</v>
      </c>
      <c r="H357" s="24" t="n">
        <f aca="false">C357*G357/200+E357</f>
        <v>2262.5</v>
      </c>
      <c r="I357" s="26"/>
    </row>
    <row r="358" customFormat="false" ht="12.75" hidden="true" customHeight="false" outlineLevel="0" collapsed="false">
      <c r="A358" s="21" t="s">
        <v>44</v>
      </c>
      <c r="B358" s="22" t="n">
        <v>36244</v>
      </c>
      <c r="C358" s="23" t="n">
        <v>10000</v>
      </c>
      <c r="D358" s="42" t="n">
        <v>1296.5</v>
      </c>
      <c r="E358" s="25" t="n">
        <f aca="false">IF(C358&gt;0,-C358/10000*12.5,C358/10000*12.5)</f>
        <v>-12.5</v>
      </c>
      <c r="F358" s="42" t="n">
        <f aca="false">+Sheet2!D$9</f>
        <v>1340.25</v>
      </c>
      <c r="G358" s="24" t="n">
        <f aca="false">IF(C358&gt;0,F358-D358,D358-F358)</f>
        <v>43.75</v>
      </c>
      <c r="H358" s="24" t="n">
        <f aca="false">C358*G358/200+E358</f>
        <v>2175</v>
      </c>
      <c r="I358" s="26"/>
    </row>
    <row r="359" customFormat="false" ht="12.75" hidden="true" customHeight="false" outlineLevel="0" collapsed="false">
      <c r="A359" s="21" t="s">
        <v>44</v>
      </c>
      <c r="B359" s="22" t="n">
        <v>36244</v>
      </c>
      <c r="C359" s="23" t="n">
        <v>10000</v>
      </c>
      <c r="D359" s="42" t="n">
        <v>1296.75</v>
      </c>
      <c r="E359" s="25" t="n">
        <f aca="false">IF(C359&gt;0,-C359/10000*12.5,C359/10000*12.5)</f>
        <v>-12.5</v>
      </c>
      <c r="F359" s="42" t="n">
        <f aca="false">+Sheet2!D$9</f>
        <v>1340.25</v>
      </c>
      <c r="G359" s="24" t="n">
        <f aca="false">IF(C359&gt;0,F359-D359,D359-F359)</f>
        <v>43.5</v>
      </c>
      <c r="H359" s="24" t="n">
        <f aca="false">C359*G359/200+E359</f>
        <v>2162.5</v>
      </c>
      <c r="I359" s="26"/>
    </row>
    <row r="360" customFormat="false" ht="12.75" hidden="true" customHeight="false" outlineLevel="0" collapsed="false">
      <c r="A360" s="21" t="s">
        <v>44</v>
      </c>
      <c r="B360" s="22" t="n">
        <v>36244</v>
      </c>
      <c r="C360" s="23" t="n">
        <v>10000</v>
      </c>
      <c r="D360" s="42" t="n">
        <v>1297</v>
      </c>
      <c r="E360" s="25" t="n">
        <f aca="false">IF(C360&gt;0,-C360/10000*12.5,C360/10000*12.5)</f>
        <v>-12.5</v>
      </c>
      <c r="F360" s="42" t="n">
        <f aca="false">+Sheet2!D$9</f>
        <v>1340.25</v>
      </c>
      <c r="G360" s="24" t="n">
        <f aca="false">IF(C360&gt;0,F360-D360,D360-F360)</f>
        <v>43.25</v>
      </c>
      <c r="H360" s="24" t="n">
        <f aca="false">C360*G360/200+E360</f>
        <v>2150</v>
      </c>
      <c r="I360" s="26"/>
    </row>
    <row r="361" customFormat="false" ht="12.75" hidden="true" customHeight="false" outlineLevel="0" collapsed="false">
      <c r="A361" s="21" t="s">
        <v>44</v>
      </c>
      <c r="B361" s="22" t="n">
        <v>36244</v>
      </c>
      <c r="C361" s="23" t="n">
        <v>-10000</v>
      </c>
      <c r="D361" s="42" t="n">
        <v>1302.5</v>
      </c>
      <c r="E361" s="25" t="n">
        <f aca="false">IF(C361&gt;0,-C361/10000*12.5,C361/10000*12.5)</f>
        <v>-12.5</v>
      </c>
      <c r="F361" s="42" t="n">
        <f aca="false">+Sheet2!D$9</f>
        <v>1340.25</v>
      </c>
      <c r="G361" s="24" t="n">
        <f aca="false">IF(C361&gt;0,F361-D361,D361-F361)</f>
        <v>-37.75</v>
      </c>
      <c r="H361" s="24" t="n">
        <f aca="false">-C361*G361/200+E361</f>
        <v>-1900</v>
      </c>
      <c r="I361" s="26"/>
    </row>
    <row r="362" customFormat="false" ht="12.75" hidden="true" customHeight="false" outlineLevel="0" collapsed="false">
      <c r="A362" s="21" t="s">
        <v>44</v>
      </c>
      <c r="B362" s="22" t="n">
        <v>36244</v>
      </c>
      <c r="C362" s="23" t="n">
        <v>-10000</v>
      </c>
      <c r="D362" s="42" t="n">
        <v>1303</v>
      </c>
      <c r="E362" s="25" t="n">
        <f aca="false">IF(C362&gt;0,-C362/10000*12.5,C362/10000*12.5)</f>
        <v>-12.5</v>
      </c>
      <c r="F362" s="42" t="n">
        <f aca="false">+Sheet2!D$9</f>
        <v>1340.25</v>
      </c>
      <c r="G362" s="24" t="n">
        <f aca="false">IF(C362&gt;0,F362-D362,D362-F362)</f>
        <v>-37.25</v>
      </c>
      <c r="H362" s="24" t="n">
        <f aca="false">-C362*G362/200+E362</f>
        <v>-1875</v>
      </c>
      <c r="I362" s="26"/>
    </row>
    <row r="363" customFormat="false" ht="12.75" hidden="true" customHeight="false" outlineLevel="0" collapsed="false">
      <c r="A363" s="21" t="s">
        <v>44</v>
      </c>
      <c r="B363" s="22" t="n">
        <v>36245</v>
      </c>
      <c r="C363" s="23" t="n">
        <v>-10000</v>
      </c>
      <c r="D363" s="42" t="n">
        <v>1296</v>
      </c>
      <c r="E363" s="25" t="n">
        <f aca="false">IF(C363&gt;0,-C363/10000*12.5,C363/10000*12.5)</f>
        <v>-12.5</v>
      </c>
      <c r="F363" s="42" t="n">
        <f aca="false">+Sheet2!D$9</f>
        <v>1340.25</v>
      </c>
      <c r="G363" s="24" t="n">
        <f aca="false">IF(C363&gt;0,F363-D363,D363-F363)</f>
        <v>-44.25</v>
      </c>
      <c r="H363" s="24" t="n">
        <f aca="false">-C363*G363/200+E363</f>
        <v>-2225</v>
      </c>
      <c r="I363" s="26"/>
    </row>
    <row r="364" customFormat="false" ht="12.75" hidden="true" customHeight="false" outlineLevel="0" collapsed="false">
      <c r="A364" s="21" t="s">
        <v>44</v>
      </c>
      <c r="B364" s="22" t="n">
        <v>36245</v>
      </c>
      <c r="C364" s="23" t="n">
        <v>-10000</v>
      </c>
      <c r="D364" s="42" t="n">
        <v>1298.5</v>
      </c>
      <c r="E364" s="25" t="n">
        <f aca="false">IF(C364&gt;0,-C364/10000*12.5,C364/10000*12.5)</f>
        <v>-12.5</v>
      </c>
      <c r="F364" s="42" t="n">
        <f aca="false">+Sheet2!D$9</f>
        <v>1340.25</v>
      </c>
      <c r="G364" s="24" t="n">
        <f aca="false">IF(C364&gt;0,F364-D364,D364-F364)</f>
        <v>-41.75</v>
      </c>
      <c r="H364" s="24" t="n">
        <f aca="false">-C364*G364/200+E364</f>
        <v>-2100</v>
      </c>
      <c r="I364" s="26"/>
    </row>
    <row r="365" customFormat="false" ht="12.75" hidden="true" customHeight="false" outlineLevel="0" collapsed="false">
      <c r="A365" s="21" t="s">
        <v>44</v>
      </c>
      <c r="B365" s="22" t="n">
        <v>36245</v>
      </c>
      <c r="C365" s="23" t="n">
        <v>-10000</v>
      </c>
      <c r="D365" s="42" t="n">
        <v>1293.75</v>
      </c>
      <c r="E365" s="25" t="n">
        <f aca="false">IF(C365&gt;0,-C365/10000*12.5,C365/10000*12.5)</f>
        <v>-12.5</v>
      </c>
      <c r="F365" s="42" t="n">
        <f aca="false">+Sheet2!D$9</f>
        <v>1340.25</v>
      </c>
      <c r="G365" s="24" t="n">
        <f aca="false">IF(C365&gt;0,F365-D365,D365-F365)</f>
        <v>-46.5</v>
      </c>
      <c r="H365" s="24" t="n">
        <f aca="false">-C365*G365/200+E365</f>
        <v>-2337.5</v>
      </c>
      <c r="I365" s="26"/>
    </row>
    <row r="366" customFormat="false" ht="12.75" hidden="true" customHeight="false" outlineLevel="0" collapsed="false">
      <c r="A366" s="21" t="s">
        <v>44</v>
      </c>
      <c r="B366" s="22" t="n">
        <v>36245</v>
      </c>
      <c r="C366" s="23" t="n">
        <v>10000</v>
      </c>
      <c r="D366" s="42" t="n">
        <v>1297.75</v>
      </c>
      <c r="E366" s="25" t="n">
        <f aca="false">IF(C366&gt;0,-C366/10000*12.5,C366/10000*12.5)</f>
        <v>-12.5</v>
      </c>
      <c r="F366" s="42" t="n">
        <f aca="false">+Sheet2!D$9</f>
        <v>1340.25</v>
      </c>
      <c r="G366" s="24" t="n">
        <f aca="false">IF(C366&gt;0,F366-D366,D366-F366)</f>
        <v>42.5</v>
      </c>
      <c r="H366" s="24" t="n">
        <f aca="false">C366*G366/200+E366</f>
        <v>2112.5</v>
      </c>
      <c r="I366" s="26"/>
    </row>
    <row r="367" customFormat="false" ht="12.75" hidden="true" customHeight="false" outlineLevel="0" collapsed="false">
      <c r="A367" s="21" t="s">
        <v>44</v>
      </c>
      <c r="B367" s="22" t="n">
        <v>36245</v>
      </c>
      <c r="C367" s="23" t="n">
        <v>20000</v>
      </c>
      <c r="D367" s="42" t="n">
        <v>1298.75</v>
      </c>
      <c r="E367" s="25" t="n">
        <f aca="false">IF(C367&gt;0,-C367/10000*12.5,C367/10000*12.5)</f>
        <v>-25</v>
      </c>
      <c r="F367" s="42" t="n">
        <f aca="false">+Sheet2!D$9</f>
        <v>1340.25</v>
      </c>
      <c r="G367" s="24" t="n">
        <f aca="false">IF(C367&gt;0,F367-D367,D367-F367)</f>
        <v>41.5</v>
      </c>
      <c r="H367" s="24" t="n">
        <f aca="false">C367*G367/200+E367</f>
        <v>4125</v>
      </c>
      <c r="I367" s="26"/>
    </row>
    <row r="368" customFormat="false" ht="12.75" hidden="true" customHeight="false" outlineLevel="0" collapsed="false">
      <c r="A368" s="21" t="s">
        <v>44</v>
      </c>
      <c r="B368" s="22" t="n">
        <v>36249</v>
      </c>
      <c r="C368" s="23" t="n">
        <v>-20000</v>
      </c>
      <c r="D368" s="42" t="n">
        <v>1315.75</v>
      </c>
      <c r="E368" s="25" t="n">
        <f aca="false">IF(C368&gt;0,-C368/10000*12.5,C368/10000*12.5)</f>
        <v>-25</v>
      </c>
      <c r="F368" s="42" t="n">
        <f aca="false">+Sheet2!D$9</f>
        <v>1340.25</v>
      </c>
      <c r="G368" s="24" t="n">
        <f aca="false">IF(C368&gt;0,F368-D368,D368-F368)</f>
        <v>-24.5</v>
      </c>
      <c r="H368" s="24" t="n">
        <f aca="false">-C368*G368/200+E368</f>
        <v>-2475</v>
      </c>
      <c r="I368" s="26"/>
    </row>
    <row r="369" customFormat="false" ht="12.75" hidden="true" customHeight="false" outlineLevel="0" collapsed="false">
      <c r="A369" s="21" t="s">
        <v>44</v>
      </c>
      <c r="B369" s="22" t="n">
        <v>36249</v>
      </c>
      <c r="C369" s="23" t="n">
        <v>-10000</v>
      </c>
      <c r="D369" s="42" t="n">
        <v>1315.5</v>
      </c>
      <c r="E369" s="25" t="n">
        <f aca="false">IF(C369&gt;0,-C369/10000*12.5,C369/10000*12.5)</f>
        <v>-12.5</v>
      </c>
      <c r="F369" s="42" t="n">
        <f aca="false">+Sheet2!D$9</f>
        <v>1340.25</v>
      </c>
      <c r="G369" s="24" t="n">
        <f aca="false">IF(C369&gt;0,F369-D369,D369-F369)</f>
        <v>-24.75</v>
      </c>
      <c r="H369" s="24" t="n">
        <f aca="false">-C369*G369/200+E369</f>
        <v>-1250</v>
      </c>
      <c r="I369" s="26"/>
    </row>
    <row r="370" customFormat="false" ht="12.75" hidden="true" customHeight="false" outlineLevel="0" collapsed="false">
      <c r="A370" s="21" t="s">
        <v>44</v>
      </c>
      <c r="B370" s="22" t="n">
        <v>36249</v>
      </c>
      <c r="C370" s="23" t="n">
        <v>10000</v>
      </c>
      <c r="D370" s="42" t="n">
        <v>1321</v>
      </c>
      <c r="E370" s="25" t="n">
        <f aca="false">IF(C370&gt;0,-C370/10000*12.5,C370/10000*12.5)</f>
        <v>-12.5</v>
      </c>
      <c r="F370" s="42" t="n">
        <f aca="false">+Sheet2!D$9</f>
        <v>1340.25</v>
      </c>
      <c r="G370" s="24" t="n">
        <f aca="false">IF(C370&gt;0,F370-D370,D370-F370)</f>
        <v>19.25</v>
      </c>
      <c r="H370" s="24" t="n">
        <f aca="false">C370*G370/200+E370</f>
        <v>950</v>
      </c>
      <c r="I370" s="26"/>
    </row>
    <row r="371" customFormat="false" ht="12.75" hidden="true" customHeight="false" outlineLevel="0" collapsed="false">
      <c r="A371" s="21" t="s">
        <v>44</v>
      </c>
      <c r="B371" s="22" t="n">
        <v>36249</v>
      </c>
      <c r="C371" s="23" t="n">
        <v>-20000</v>
      </c>
      <c r="D371" s="42" t="n">
        <v>1312.5</v>
      </c>
      <c r="E371" s="25" t="n">
        <f aca="false">IF(C371&gt;0,-C371/10000*12.5,C371/10000*12.5)</f>
        <v>-25</v>
      </c>
      <c r="F371" s="42" t="n">
        <f aca="false">+Sheet2!D$9</f>
        <v>1340.25</v>
      </c>
      <c r="G371" s="24" t="n">
        <f aca="false">IF(C371&gt;0,F371-D371,D371-F371)</f>
        <v>-27.75</v>
      </c>
      <c r="H371" s="24" t="n">
        <f aca="false">-C371*G371/200+E371</f>
        <v>-2800</v>
      </c>
      <c r="I371" s="26"/>
    </row>
    <row r="372" customFormat="false" ht="12.75" hidden="true" customHeight="false" outlineLevel="0" collapsed="false">
      <c r="A372" s="21" t="s">
        <v>44</v>
      </c>
      <c r="B372" s="22" t="n">
        <v>36249</v>
      </c>
      <c r="C372" s="23" t="n">
        <v>20000</v>
      </c>
      <c r="D372" s="42" t="n">
        <v>1316</v>
      </c>
      <c r="E372" s="25" t="n">
        <f aca="false">IF(C372&gt;0,-C372/10000*12.5,C372/10000*12.5)</f>
        <v>-25</v>
      </c>
      <c r="F372" s="42" t="n">
        <f aca="false">+Sheet2!D$9</f>
        <v>1340.25</v>
      </c>
      <c r="G372" s="24" t="n">
        <f aca="false">IF(C372&gt;0,F372-D372,D372-F372)</f>
        <v>24.25</v>
      </c>
      <c r="H372" s="24" t="n">
        <f aca="false">C372*G372/200+E372</f>
        <v>2400</v>
      </c>
      <c r="I372" s="26"/>
    </row>
    <row r="373" customFormat="false" ht="12.75" hidden="true" customHeight="false" outlineLevel="0" collapsed="false">
      <c r="A373" s="21" t="s">
        <v>44</v>
      </c>
      <c r="B373" s="22" t="n">
        <v>36250</v>
      </c>
      <c r="C373" s="23" t="n">
        <v>20000</v>
      </c>
      <c r="D373" s="42" t="n">
        <v>1321.75</v>
      </c>
      <c r="E373" s="25" t="n">
        <f aca="false">IF(C373&gt;0,-C373/10000*12.5,C373/10000*12.5)</f>
        <v>-25</v>
      </c>
      <c r="F373" s="42" t="n">
        <f aca="false">+Sheet2!D$9</f>
        <v>1340.25</v>
      </c>
      <c r="G373" s="24" t="n">
        <f aca="false">IF(C373&gt;0,F373-D373,D373-F373)</f>
        <v>18.5</v>
      </c>
      <c r="H373" s="24" t="n">
        <f aca="false">C373*G373/200+E373</f>
        <v>1825</v>
      </c>
      <c r="I373" s="26"/>
    </row>
    <row r="374" customFormat="false" ht="12.75" hidden="true" customHeight="false" outlineLevel="0" collapsed="false">
      <c r="A374" s="21" t="s">
        <v>44</v>
      </c>
      <c r="B374" s="22" t="n">
        <v>36250</v>
      </c>
      <c r="C374" s="23" t="n">
        <v>-20000</v>
      </c>
      <c r="D374" s="42" t="n">
        <v>1309</v>
      </c>
      <c r="E374" s="25" t="n">
        <f aca="false">IF(C374&gt;0,-C374/10000*12.5,C374/10000*12.5)</f>
        <v>-25</v>
      </c>
      <c r="F374" s="42" t="n">
        <f aca="false">+Sheet2!D$9</f>
        <v>1340.25</v>
      </c>
      <c r="G374" s="24" t="n">
        <f aca="false">IF(C374&gt;0,F374-D374,D374-F374)</f>
        <v>-31.25</v>
      </c>
      <c r="H374" s="24" t="n">
        <f aca="false">-C374*G374/200+E374</f>
        <v>-3150</v>
      </c>
      <c r="I374" s="26"/>
    </row>
    <row r="375" customFormat="false" ht="12.75" hidden="true" customHeight="false" outlineLevel="0" collapsed="false">
      <c r="A375" s="21" t="s">
        <v>44</v>
      </c>
      <c r="B375" s="22" t="n">
        <v>36251</v>
      </c>
      <c r="C375" s="23" t="n">
        <v>10000</v>
      </c>
      <c r="D375" s="42" t="n">
        <v>1303</v>
      </c>
      <c r="E375" s="25" t="n">
        <f aca="false">IF(C375&gt;0,-C375/10000*12.5,C375/10000*12.5)</f>
        <v>-12.5</v>
      </c>
      <c r="F375" s="42" t="n">
        <f aca="false">+Sheet2!D$9</f>
        <v>1340.25</v>
      </c>
      <c r="G375" s="24" t="n">
        <f aca="false">IF(C375&gt;0,F375-D375,D375-F375)</f>
        <v>37.25</v>
      </c>
      <c r="H375" s="24" t="n">
        <f aca="false">C375*G375/200+E375</f>
        <v>1850</v>
      </c>
      <c r="I375" s="26"/>
    </row>
    <row r="376" customFormat="false" ht="12.75" hidden="true" customHeight="false" outlineLevel="0" collapsed="false">
      <c r="A376" s="21" t="s">
        <v>44</v>
      </c>
      <c r="B376" s="22" t="n">
        <v>36251</v>
      </c>
      <c r="C376" s="23" t="n">
        <v>10000</v>
      </c>
      <c r="D376" s="42" t="n">
        <v>1302.5</v>
      </c>
      <c r="E376" s="25" t="n">
        <f aca="false">IF(C376&gt;0,-C376/10000*12.5,C376/10000*12.5)</f>
        <v>-12.5</v>
      </c>
      <c r="F376" s="42" t="n">
        <f aca="false">+Sheet2!D$9</f>
        <v>1340.25</v>
      </c>
      <c r="G376" s="24" t="n">
        <f aca="false">IF(C376&gt;0,F376-D376,D376-F376)</f>
        <v>37.75</v>
      </c>
      <c r="H376" s="24" t="n">
        <f aca="false">C376*G376/200+E376</f>
        <v>1875</v>
      </c>
      <c r="I376" s="26"/>
    </row>
    <row r="377" customFormat="false" ht="12.75" hidden="false" customHeight="false" outlineLevel="0" collapsed="false">
      <c r="A377" s="21" t="s">
        <v>44</v>
      </c>
      <c r="B377" s="22" t="n">
        <v>36256</v>
      </c>
      <c r="C377" s="23" t="n">
        <v>-20000</v>
      </c>
      <c r="D377" s="42" t="n">
        <v>1325.5</v>
      </c>
      <c r="E377" s="25" t="n">
        <f aca="false">IF(C377&gt;0,-C377/10000*12.5,C377/10000*12.5)</f>
        <v>-25</v>
      </c>
      <c r="F377" s="42" t="n">
        <f aca="false">+Sheet2!D$9</f>
        <v>1340.25</v>
      </c>
      <c r="G377" s="24" t="n">
        <f aca="false">IF(C377&gt;0,F377-D377,D377-F377)</f>
        <v>-14.75</v>
      </c>
      <c r="H377" s="24" t="n">
        <f aca="false">-C377*G377/200+E377</f>
        <v>-1500</v>
      </c>
      <c r="I377" s="26"/>
    </row>
    <row r="378" customFormat="false" ht="12.75" hidden="false" customHeight="false" outlineLevel="0" collapsed="false">
      <c r="A378" s="21" t="s">
        <v>44</v>
      </c>
      <c r="B378" s="22" t="n">
        <v>36256</v>
      </c>
      <c r="C378" s="23" t="n">
        <v>20000</v>
      </c>
      <c r="D378" s="42" t="n">
        <v>1326.75</v>
      </c>
      <c r="E378" s="25" t="n">
        <f aca="false">IF(C378&gt;0,-C378/10000*12.5,C378/10000*12.5)</f>
        <v>-25</v>
      </c>
      <c r="F378" s="42" t="n">
        <f aca="false">+Sheet2!D$9</f>
        <v>1340.25</v>
      </c>
      <c r="G378" s="24" t="n">
        <f aca="false">IF(C378&gt;0,F378-D378,D378-F378)</f>
        <v>13.5</v>
      </c>
      <c r="H378" s="24" t="n">
        <f aca="false">C378*G378/200+E378</f>
        <v>1325</v>
      </c>
      <c r="I378" s="26"/>
    </row>
    <row r="379" customFormat="false" ht="12.75" hidden="false" customHeight="false" outlineLevel="0" collapsed="false">
      <c r="A379" s="21" t="s">
        <v>44</v>
      </c>
      <c r="B379" s="22" t="n">
        <v>36256</v>
      </c>
      <c r="C379" s="23" t="n">
        <v>20000</v>
      </c>
      <c r="D379" s="42" t="n">
        <v>1330.75</v>
      </c>
      <c r="E379" s="25" t="n">
        <f aca="false">IF(C379&gt;0,-C379/10000*12.5,C379/10000*12.5)</f>
        <v>-25</v>
      </c>
      <c r="F379" s="42" t="n">
        <f aca="false">+Sheet2!D$9</f>
        <v>1340.25</v>
      </c>
      <c r="G379" s="24" t="n">
        <f aca="false">IF(C379&gt;0,F379-D379,D379-F379)</f>
        <v>9.5</v>
      </c>
      <c r="H379" s="24" t="n">
        <f aca="false">C379*G379/200+E379</f>
        <v>925</v>
      </c>
      <c r="I379" s="26"/>
    </row>
    <row r="380" customFormat="false" ht="12.75" hidden="false" customHeight="false" outlineLevel="0" collapsed="false">
      <c r="A380" s="21" t="s">
        <v>44</v>
      </c>
      <c r="B380" s="22" t="n">
        <v>36256</v>
      </c>
      <c r="C380" s="23" t="n">
        <v>-20000</v>
      </c>
      <c r="D380" s="42" t="n">
        <v>1330</v>
      </c>
      <c r="E380" s="25" t="n">
        <f aca="false">IF(C380&gt;0,-C380/10000*12.5,C380/10000*12.5)</f>
        <v>-25</v>
      </c>
      <c r="F380" s="42" t="n">
        <f aca="false">+Sheet2!D$9</f>
        <v>1340.25</v>
      </c>
      <c r="G380" s="24" t="n">
        <f aca="false">IF(C380&gt;0,F380-D380,D380-F380)</f>
        <v>-10.25</v>
      </c>
      <c r="H380" s="24" t="n">
        <f aca="false">-C380*G380/200+E380</f>
        <v>-1050</v>
      </c>
      <c r="I380" s="26"/>
    </row>
    <row r="381" customFormat="false" ht="12.75" hidden="false" customHeight="false" outlineLevel="0" collapsed="false">
      <c r="A381" s="21" t="s">
        <v>44</v>
      </c>
      <c r="B381" s="22" t="n">
        <v>36257</v>
      </c>
      <c r="C381" s="23" t="n">
        <v>-20000</v>
      </c>
      <c r="D381" s="42" t="n">
        <v>1338.5</v>
      </c>
      <c r="E381" s="25" t="n">
        <f aca="false">IF(C381&gt;0,-C381/10000*12.5,C381/10000*12.5)</f>
        <v>-25</v>
      </c>
      <c r="F381" s="42" t="n">
        <f aca="false">+Sheet2!D$9</f>
        <v>1340.25</v>
      </c>
      <c r="G381" s="24" t="n">
        <f aca="false">IF(C381&gt;0,F381-D381,D381-F381)</f>
        <v>-1.75</v>
      </c>
      <c r="H381" s="24" t="n">
        <f aca="false">-C381*G381/200+E381</f>
        <v>-200</v>
      </c>
      <c r="I381" s="26"/>
    </row>
    <row r="382" customFormat="false" ht="12.75" hidden="false" customHeight="false" outlineLevel="0" collapsed="false">
      <c r="A382" s="21" t="s">
        <v>44</v>
      </c>
      <c r="B382" s="22" t="n">
        <v>36256</v>
      </c>
      <c r="C382" s="23" t="n">
        <v>20000</v>
      </c>
      <c r="D382" s="42" t="n">
        <v>1338.5</v>
      </c>
      <c r="E382" s="25" t="n">
        <f aca="false">IF(C382&gt;0,-C382/10000*12.5,C382/10000*12.5)</f>
        <v>-25</v>
      </c>
      <c r="F382" s="42" t="n">
        <f aca="false">+Sheet2!D$9</f>
        <v>1340.25</v>
      </c>
      <c r="G382" s="24" t="n">
        <f aca="false">IF(C382&gt;0,F382-D382,D382-F382)</f>
        <v>1.75</v>
      </c>
      <c r="H382" s="24" t="n">
        <f aca="false">C382*G382/200+E382</f>
        <v>150</v>
      </c>
      <c r="I382" s="26"/>
    </row>
    <row r="383" customFormat="false" ht="12.75" hidden="false" customHeight="false" outlineLevel="0" collapsed="false">
      <c r="A383" s="21" t="s">
        <v>44</v>
      </c>
      <c r="B383" s="22" t="n">
        <v>36259</v>
      </c>
      <c r="C383" s="23" t="n">
        <v>-20000</v>
      </c>
      <c r="D383" s="42" t="n">
        <v>1350.75</v>
      </c>
      <c r="E383" s="25" t="n">
        <f aca="false">IF(C383&gt;0,-C383/10000*12.5,C383/10000*12.5)</f>
        <v>-25</v>
      </c>
      <c r="F383" s="42" t="n">
        <f aca="false">+Sheet2!D$9</f>
        <v>1340.25</v>
      </c>
      <c r="G383" s="24" t="n">
        <f aca="false">IF(C383&gt;0,F383-D383,D383-F383)</f>
        <v>10.5</v>
      </c>
      <c r="H383" s="24" t="n">
        <f aca="false">-C383*G383/200+E383</f>
        <v>1025</v>
      </c>
      <c r="I383" s="26"/>
    </row>
    <row r="384" customFormat="false" ht="12.75" hidden="false" customHeight="false" outlineLevel="0" collapsed="false">
      <c r="A384" s="21" t="s">
        <v>44</v>
      </c>
      <c r="B384" s="22" t="n">
        <v>36259</v>
      </c>
      <c r="C384" s="23" t="n">
        <v>20000</v>
      </c>
      <c r="D384" s="42" t="n">
        <v>1357.5</v>
      </c>
      <c r="E384" s="25" t="n">
        <f aca="false">IF(C384&gt;0,-C384/10000*12.5,C384/10000*12.5)</f>
        <v>-25</v>
      </c>
      <c r="F384" s="42" t="n">
        <f aca="false">+Sheet2!D$9</f>
        <v>1340.25</v>
      </c>
      <c r="G384" s="24" t="n">
        <f aca="false">IF(C384&gt;0,F384-D384,D384-F384)</f>
        <v>-17.25</v>
      </c>
      <c r="H384" s="24" t="n">
        <f aca="false">C384*G384/200+E384</f>
        <v>-1750</v>
      </c>
      <c r="I384" s="26"/>
    </row>
    <row r="385" customFormat="false" ht="12.75" hidden="false" customHeight="false" outlineLevel="0" collapsed="false">
      <c r="A385" s="21" t="s">
        <v>44</v>
      </c>
      <c r="B385" s="22" t="n">
        <v>36269</v>
      </c>
      <c r="C385" s="23" t="n">
        <v>-20000</v>
      </c>
      <c r="D385" s="42" t="n">
        <v>1320</v>
      </c>
      <c r="E385" s="25" t="n">
        <f aca="false">IF(C385&gt;0,-C385/10000*12.5,C385/10000*12.5)</f>
        <v>-25</v>
      </c>
      <c r="F385" s="42" t="n">
        <f aca="false">+Sheet2!D$9</f>
        <v>1340.25</v>
      </c>
      <c r="G385" s="24" t="n">
        <f aca="false">IF(C385&gt;0,F385-D385,D385-F385)</f>
        <v>-20.25</v>
      </c>
      <c r="H385" s="24" t="n">
        <f aca="false">-C385*G385/200+E385</f>
        <v>-2050</v>
      </c>
      <c r="I385" s="26"/>
    </row>
    <row r="386" customFormat="false" ht="12.75" hidden="false" customHeight="false" outlineLevel="0" collapsed="false">
      <c r="A386" s="21" t="s">
        <v>44</v>
      </c>
      <c r="B386" s="22" t="n">
        <v>36269</v>
      </c>
      <c r="C386" s="23" t="n">
        <v>-20000</v>
      </c>
      <c r="D386" s="42" t="n">
        <v>1313.75</v>
      </c>
      <c r="E386" s="25" t="n">
        <f aca="false">IF(C386&gt;0,-C386/10000*12.5,C386/10000*12.5)</f>
        <v>-25</v>
      </c>
      <c r="F386" s="42" t="n">
        <f aca="false">+Sheet2!D$9</f>
        <v>1340.25</v>
      </c>
      <c r="G386" s="24" t="n">
        <f aca="false">IF(C386&gt;0,F386-D386,D386-F386)</f>
        <v>-26.5</v>
      </c>
      <c r="H386" s="24" t="n">
        <f aca="false">-C386*G386/200+E386</f>
        <v>-2675</v>
      </c>
      <c r="I386" s="26"/>
    </row>
    <row r="387" customFormat="false" ht="12.75" hidden="false" customHeight="false" outlineLevel="0" collapsed="false">
      <c r="A387" s="21" t="s">
        <v>44</v>
      </c>
      <c r="B387" s="22" t="n">
        <v>36269</v>
      </c>
      <c r="C387" s="23" t="n">
        <v>20000</v>
      </c>
      <c r="D387" s="42" t="n">
        <v>1300</v>
      </c>
      <c r="E387" s="25" t="n">
        <f aca="false">IF(C387&gt;0,-C387/10000*12.5,C387/10000*12.5)</f>
        <v>-25</v>
      </c>
      <c r="F387" s="42" t="n">
        <f aca="false">+Sheet2!D$9</f>
        <v>1340.25</v>
      </c>
      <c r="G387" s="24" t="n">
        <f aca="false">IF(C387&gt;0,F387-D387,D387-F387)</f>
        <v>40.25</v>
      </c>
      <c r="H387" s="24" t="n">
        <f aca="false">C387*G387/200+E387</f>
        <v>4000</v>
      </c>
      <c r="I387" s="26"/>
    </row>
    <row r="388" customFormat="false" ht="12.75" hidden="false" customHeight="false" outlineLevel="0" collapsed="false">
      <c r="A388" s="21" t="s">
        <v>44</v>
      </c>
      <c r="B388" s="22" t="n">
        <v>36270</v>
      </c>
      <c r="C388" s="23" t="n">
        <v>-20000</v>
      </c>
      <c r="D388" s="42" t="n">
        <v>1300.75</v>
      </c>
      <c r="E388" s="25" t="n">
        <f aca="false">IF(C388&gt;0,-C388/10000*12.5,C388/10000*12.5)</f>
        <v>-25</v>
      </c>
      <c r="F388" s="42" t="n">
        <f aca="false">+Sheet2!D$9</f>
        <v>1340.25</v>
      </c>
      <c r="G388" s="24" t="n">
        <f aca="false">IF(C388&gt;0,F388-D388,D388-F388)</f>
        <v>-39.5</v>
      </c>
      <c r="H388" s="24" t="n">
        <f aca="false">-C388*G388/200+E388</f>
        <v>-3975</v>
      </c>
      <c r="I388" s="26"/>
    </row>
    <row r="389" customFormat="false" ht="12.75" hidden="false" customHeight="false" outlineLevel="0" collapsed="false">
      <c r="A389" s="21" t="s">
        <v>44</v>
      </c>
      <c r="B389" s="22" t="n">
        <v>36270</v>
      </c>
      <c r="C389" s="23" t="n">
        <v>-20000</v>
      </c>
      <c r="D389" s="42" t="n">
        <v>1310.25</v>
      </c>
      <c r="E389" s="25" t="n">
        <f aca="false">IF(C389&gt;0,-C389/10000*12.5,C389/10000*12.5)</f>
        <v>-25</v>
      </c>
      <c r="F389" s="42" t="n">
        <f aca="false">+Sheet2!D$9</f>
        <v>1340.25</v>
      </c>
      <c r="G389" s="24" t="n">
        <f aca="false">IF(C389&gt;0,F389-D389,D389-F389)</f>
        <v>-30</v>
      </c>
      <c r="H389" s="24" t="n">
        <f aca="false">-C389*G389/200+E389</f>
        <v>-3025</v>
      </c>
      <c r="I389" s="26"/>
    </row>
    <row r="390" customFormat="false" ht="12.75" hidden="false" customHeight="false" outlineLevel="0" collapsed="false">
      <c r="A390" s="21" t="s">
        <v>44</v>
      </c>
      <c r="B390" s="22" t="n">
        <v>36270</v>
      </c>
      <c r="C390" s="23" t="n">
        <v>20000</v>
      </c>
      <c r="D390" s="42" t="n">
        <v>1311.75</v>
      </c>
      <c r="E390" s="25" t="n">
        <f aca="false">IF(C390&gt;0,-C390/10000*12.5,C390/10000*12.5)</f>
        <v>-25</v>
      </c>
      <c r="F390" s="42" t="n">
        <f aca="false">+Sheet2!D$9</f>
        <v>1340.25</v>
      </c>
      <c r="G390" s="24" t="n">
        <f aca="false">IF(C390&gt;0,F390-D390,D390-F390)</f>
        <v>28.5</v>
      </c>
      <c r="H390" s="24" t="n">
        <f aca="false">C390*G390/200+E390</f>
        <v>2825</v>
      </c>
      <c r="I390" s="26"/>
    </row>
    <row r="391" customFormat="false" ht="12.75" hidden="false" customHeight="false" outlineLevel="0" collapsed="false">
      <c r="A391" s="21" t="s">
        <v>44</v>
      </c>
      <c r="B391" s="22" t="n">
        <v>36270</v>
      </c>
      <c r="C391" s="23" t="n">
        <v>20000</v>
      </c>
      <c r="D391" s="42" t="n">
        <v>1316.75</v>
      </c>
      <c r="E391" s="25" t="n">
        <f aca="false">IF(C391&gt;0,-C391/10000*12.5,C391/10000*12.5)</f>
        <v>-25</v>
      </c>
      <c r="F391" s="42" t="n">
        <f aca="false">+Sheet2!D$9</f>
        <v>1340.25</v>
      </c>
      <c r="G391" s="24" t="n">
        <f aca="false">IF(C391&gt;0,F391-D391,D391-F391)</f>
        <v>23.5</v>
      </c>
      <c r="H391" s="24" t="n">
        <f aca="false">C391*G391/200+E391</f>
        <v>2325</v>
      </c>
      <c r="I391" s="26"/>
    </row>
    <row r="392" customFormat="false" ht="12.75" hidden="false" customHeight="false" outlineLevel="0" collapsed="false">
      <c r="A392" s="21" t="s">
        <v>44</v>
      </c>
      <c r="B392" s="22" t="n">
        <v>36270</v>
      </c>
      <c r="C392" s="23" t="n">
        <v>20000</v>
      </c>
      <c r="D392" s="42" t="n">
        <v>1315.75</v>
      </c>
      <c r="E392" s="25" t="n">
        <f aca="false">IF(C392&gt;0,-C392/10000*12.5,C392/10000*12.5)</f>
        <v>-25</v>
      </c>
      <c r="F392" s="42" t="n">
        <f aca="false">+Sheet2!D$9</f>
        <v>1340.25</v>
      </c>
      <c r="G392" s="24" t="n">
        <f aca="false">IF(C392&gt;0,F392-D392,D392-F392)</f>
        <v>24.5</v>
      </c>
      <c r="H392" s="24" t="n">
        <f aca="false">C392*G392/200+E392</f>
        <v>2425</v>
      </c>
      <c r="I392" s="26"/>
    </row>
    <row r="393" customFormat="false" ht="12.75" hidden="false" customHeight="false" outlineLevel="0" collapsed="false">
      <c r="A393" s="21" t="s">
        <v>44</v>
      </c>
      <c r="B393" s="22" t="n">
        <v>36280</v>
      </c>
      <c r="C393" s="23" t="n">
        <v>-20000</v>
      </c>
      <c r="D393" s="42" t="n">
        <v>1334.75</v>
      </c>
      <c r="E393" s="25" t="n">
        <f aca="false">IF(C393&gt;0,-C393/10000*12.5,C393/10000*12.5)</f>
        <v>-25</v>
      </c>
      <c r="F393" s="42" t="n">
        <f aca="false">+Sheet2!D$9</f>
        <v>1340.25</v>
      </c>
      <c r="G393" s="24" t="n">
        <f aca="false">IF(C393&gt;0,F393-D393,D393-F393)</f>
        <v>-5.5</v>
      </c>
      <c r="H393" s="24" t="n">
        <f aca="false">-C393*G393/200+E393</f>
        <v>-575</v>
      </c>
      <c r="I393" s="26"/>
    </row>
    <row r="394" customFormat="false" ht="12.75" hidden="false" customHeight="false" outlineLevel="0" collapsed="false">
      <c r="A394" s="21" t="s">
        <v>44</v>
      </c>
      <c r="B394" s="22" t="n">
        <v>36283</v>
      </c>
      <c r="C394" s="23" t="n">
        <v>20000</v>
      </c>
      <c r="D394" s="42" t="n">
        <v>1339.25</v>
      </c>
      <c r="E394" s="25" t="n">
        <f aca="false">IF(C394&gt;0,-C394/10000*12.5,C394/10000*12.5)</f>
        <v>-25</v>
      </c>
      <c r="F394" s="42" t="n">
        <f aca="false">+Sheet2!D$9</f>
        <v>1340.25</v>
      </c>
      <c r="G394" s="24" t="n">
        <f aca="false">IF(C394&gt;0,F394-D394,D394-F394)</f>
        <v>1</v>
      </c>
      <c r="H394" s="24" t="n">
        <f aca="false">C394*G394/200+E394</f>
        <v>75</v>
      </c>
      <c r="I394" s="26"/>
    </row>
    <row r="395" customFormat="false" ht="12.75" hidden="false" customHeight="false" outlineLevel="0" collapsed="false">
      <c r="A395" s="21" t="s">
        <v>44</v>
      </c>
      <c r="B395" s="22" t="n">
        <v>36283</v>
      </c>
      <c r="C395" s="23" t="n">
        <v>20000</v>
      </c>
      <c r="D395" s="42" t="n">
        <v>1344</v>
      </c>
      <c r="E395" s="25" t="n">
        <f aca="false">IF(C395&gt;0,-C395/10000*12.5,C395/10000*12.5)</f>
        <v>-25</v>
      </c>
      <c r="F395" s="42" t="n">
        <f aca="false">+Sheet2!D$9</f>
        <v>1340.25</v>
      </c>
      <c r="G395" s="24" t="n">
        <f aca="false">IF(C395&gt;0,F395-D395,D395-F395)</f>
        <v>-3.75</v>
      </c>
      <c r="H395" s="24" t="n">
        <f aca="false">C395*G395/200+E395</f>
        <v>-400</v>
      </c>
      <c r="I395" s="26"/>
    </row>
    <row r="396" customFormat="false" ht="12.75" hidden="false" customHeight="false" outlineLevel="0" collapsed="false">
      <c r="A396" s="21" t="s">
        <v>44</v>
      </c>
      <c r="B396" s="22" t="n">
        <v>36283</v>
      </c>
      <c r="C396" s="23" t="n">
        <v>20000</v>
      </c>
      <c r="D396" s="42" t="n">
        <v>1347</v>
      </c>
      <c r="E396" s="25" t="n">
        <f aca="false">IF(C396&gt;0,-C396/10000*12.5,C396/10000*12.5)</f>
        <v>-25</v>
      </c>
      <c r="F396" s="42" t="n">
        <f aca="false">+Sheet2!D$9</f>
        <v>1340.25</v>
      </c>
      <c r="G396" s="24" t="n">
        <f aca="false">IF(C396&gt;0,F396-D396,D396-F396)</f>
        <v>-6.75</v>
      </c>
      <c r="H396" s="24" t="n">
        <f aca="false">C396*G396/200+E396</f>
        <v>-700</v>
      </c>
      <c r="I396" s="26"/>
    </row>
    <row r="397" customFormat="false" ht="12.75" hidden="false" customHeight="false" outlineLevel="0" collapsed="false">
      <c r="A397" s="21" t="s">
        <v>44</v>
      </c>
      <c r="B397" s="22" t="n">
        <v>36283</v>
      </c>
      <c r="C397" s="23" t="n">
        <v>-40000</v>
      </c>
      <c r="D397" s="42" t="n">
        <v>1347</v>
      </c>
      <c r="E397" s="25" t="n">
        <f aca="false">IF(C397&gt;0,-C397/10000*12.5,C397/10000*12.5)</f>
        <v>-50</v>
      </c>
      <c r="F397" s="42" t="n">
        <f aca="false">+Sheet2!D$9</f>
        <v>1340.25</v>
      </c>
      <c r="G397" s="24" t="n">
        <f aca="false">IF(C397&gt;0,F397-D397,D397-F397)</f>
        <v>6.75</v>
      </c>
      <c r="H397" s="24" t="n">
        <f aca="false">-C397*G397/200+E397</f>
        <v>1300</v>
      </c>
      <c r="I397" s="26"/>
    </row>
    <row r="398" customFormat="false" ht="12.75" hidden="false" customHeight="false" outlineLevel="0" collapsed="false">
      <c r="A398" s="21" t="s">
        <v>44</v>
      </c>
      <c r="B398" s="22" t="n">
        <v>36291</v>
      </c>
      <c r="C398" s="23" t="n">
        <v>-20000</v>
      </c>
      <c r="D398" s="42" t="n">
        <v>1352</v>
      </c>
      <c r="E398" s="25" t="n">
        <f aca="false">IF(C398&gt;0,-C398/10000*12.5,C398/10000*12.5)</f>
        <v>-25</v>
      </c>
      <c r="F398" s="42" t="n">
        <f aca="false">+Sheet2!D$9</f>
        <v>1340.25</v>
      </c>
      <c r="G398" s="24" t="n">
        <f aca="false">IF(C398&gt;0,F398-D398,D398-F398)</f>
        <v>11.75</v>
      </c>
      <c r="H398" s="24" t="n">
        <f aca="false">-C398*G398/200+E398</f>
        <v>1150</v>
      </c>
      <c r="I398" s="26"/>
    </row>
    <row r="399" customFormat="false" ht="12.75" hidden="false" customHeight="false" outlineLevel="0" collapsed="false">
      <c r="A399" s="21" t="s">
        <v>44</v>
      </c>
      <c r="B399" s="22" t="n">
        <v>36291</v>
      </c>
      <c r="C399" s="23" t="n">
        <v>20000</v>
      </c>
      <c r="D399" s="42" t="n">
        <v>1360</v>
      </c>
      <c r="E399" s="25" t="n">
        <f aca="false">IF(C399&gt;0,-C399/10000*12.5,C399/10000*12.5)</f>
        <v>-25</v>
      </c>
      <c r="F399" s="42" t="n">
        <f aca="false">+Sheet2!D$9</f>
        <v>1340.25</v>
      </c>
      <c r="G399" s="24" t="n">
        <f aca="false">IF(C399&gt;0,F399-D399,D399-F399)</f>
        <v>-19.75</v>
      </c>
      <c r="H399" s="24" t="n">
        <f aca="false">C399*G399/200+E399</f>
        <v>-2000</v>
      </c>
      <c r="I399" s="26"/>
    </row>
    <row r="400" customFormat="false" ht="12.75" hidden="false" customHeight="false" outlineLevel="0" collapsed="false">
      <c r="J400" s="29" t="n">
        <f aca="false">SUM(H229:H400)</f>
        <v>-8150</v>
      </c>
      <c r="K400" s="30" t="s">
        <v>45</v>
      </c>
    </row>
    <row r="401" customFormat="false" ht="12.75" hidden="false" customHeight="false" outlineLevel="0" collapsed="false">
      <c r="J401" s="31" t="n">
        <f aca="false">SUM(C229:C400)/10000</f>
        <v>0</v>
      </c>
      <c r="K401" s="30" t="s">
        <v>16</v>
      </c>
    </row>
    <row r="405" customFormat="false" ht="12.75" hidden="false" customHeight="false" outlineLevel="0" collapsed="false">
      <c r="H405" s="4" t="n">
        <f aca="false">+H407-H408</f>
        <v>-4842.49999999996</v>
      </c>
    </row>
    <row r="406" customFormat="false" ht="12.75" hidden="false" customHeight="false" outlineLevel="0" collapsed="false">
      <c r="G406" s="43" t="s">
        <v>46</v>
      </c>
      <c r="H406" s="44" t="n">
        <f aca="false">SUM(H7:H402)</f>
        <v>-15969.55</v>
      </c>
    </row>
    <row r="407" customFormat="false" ht="12.75" hidden="false" customHeight="false" outlineLevel="0" collapsed="false">
      <c r="F407" s="43" t="s">
        <v>47</v>
      </c>
      <c r="G407" s="43"/>
      <c r="H407" s="44" t="n">
        <f aca="false">15000+H406+2481.55</f>
        <v>1512.00000000004</v>
      </c>
      <c r="I407" s="4"/>
    </row>
    <row r="408" customFormat="false" ht="12.75" hidden="false" customHeight="false" outlineLevel="0" collapsed="false">
      <c r="H408" s="4" t="n">
        <v>6354.5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4" min="1" style="45" width="10.71"/>
    <col collapsed="false" customWidth="true" hidden="true" outlineLevel="0" max="6" min="5" style="45" width="10.71"/>
    <col collapsed="false" customWidth="true" hidden="false" outlineLevel="0" max="7" min="7" style="45" width="10.71"/>
    <col collapsed="false" customWidth="true" hidden="true" outlineLevel="0" max="8" min="8" style="45" width="10.71"/>
    <col collapsed="false" customWidth="true" hidden="false" outlineLevel="0" max="9" min="9" style="45" width="10.71"/>
    <col collapsed="false" customWidth="true" hidden="true" outlineLevel="0" max="13" min="10" style="45" width="10.71"/>
    <col collapsed="false" customWidth="true" hidden="false" outlineLevel="0" max="16" min="14" style="45" width="10.71"/>
    <col collapsed="false" customWidth="false" hidden="false" outlineLevel="0" max="257" min="17" style="45" width="9.14"/>
  </cols>
  <sheetData>
    <row r="1" customFormat="false" ht="12.75" hidden="false" customHeight="false" outlineLevel="0" collapsed="false">
      <c r="A1" s="46" t="n">
        <f aca="false">Sheet1!$H$405</f>
        <v>-4842.49999999996</v>
      </c>
      <c r="D1" s="47"/>
    </row>
    <row r="2" customFormat="false" ht="12.75" hidden="false" customHeight="false" outlineLevel="0" collapsed="false">
      <c r="A2" s="48" t="n">
        <f aca="false">+O2</f>
        <v>1512.00000000004</v>
      </c>
      <c r="B2" s="49" t="n">
        <f aca="false">IF(B3&lt;0,B3*1080,-B3*1080)</f>
        <v>-0</v>
      </c>
      <c r="C2" s="49" t="n">
        <f aca="false">IF(C3&lt;0,C3*2700,-C3*2700)</f>
        <v>-0</v>
      </c>
      <c r="D2" s="49" t="n">
        <f aca="false">IF(D3&lt;0,D3*4125,-D3*4125)</f>
        <v>-0</v>
      </c>
      <c r="E2" s="49" t="n">
        <f aca="false">IF(E3&lt;0,E3*1000,-E3*1000)</f>
        <v>-0</v>
      </c>
      <c r="F2" s="49" t="n">
        <f aca="false">IF(F3&lt;0,F3*1000,-F3*1000)</f>
        <v>-0</v>
      </c>
      <c r="G2" s="49" t="n">
        <f aca="false">IF(G3&lt;0,G3*405,-G3*405)</f>
        <v>-0</v>
      </c>
      <c r="H2" s="49" t="n">
        <f aca="false">IF(H3&lt;0,H3*540,-H3*540)</f>
        <v>-0</v>
      </c>
      <c r="I2" s="49" t="n">
        <f aca="false">IF(I3&lt;0,I3*777,-I3*777)</f>
        <v>-0</v>
      </c>
      <c r="J2" s="49" t="n">
        <f aca="false">IF(J3&lt;0,J3*560,-J3*560)</f>
        <v>-0</v>
      </c>
      <c r="K2" s="49" t="n">
        <f aca="false">IF(K3&lt;0,K3*560,-K3*560)</f>
        <v>-0</v>
      </c>
      <c r="L2" s="49" t="n">
        <f aca="false">IF(L3&lt;0,L3*1114,-L3*1114)</f>
        <v>-0</v>
      </c>
      <c r="M2" s="49" t="n">
        <f aca="false">IF(M3&lt;0,M3*1620,-M3*1620)</f>
        <v>-0</v>
      </c>
      <c r="N2" s="49" t="n">
        <f aca="false">SUM(B2:M2)</f>
        <v>0</v>
      </c>
      <c r="O2" s="49" t="n">
        <f aca="false">+Sheet1!H407</f>
        <v>1512.00000000004</v>
      </c>
      <c r="P2" s="49" t="n">
        <f aca="false">+O2+N2</f>
        <v>1512.00000000004</v>
      </c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</row>
    <row r="3" customFormat="false" ht="12.75" hidden="false" customHeight="false" outlineLevel="0" collapsed="false">
      <c r="A3" s="50"/>
      <c r="B3" s="49" t="n">
        <f aca="false">+Sheet1!J28</f>
        <v>0</v>
      </c>
      <c r="C3" s="49" t="n">
        <f aca="false">+Sheet1!J228</f>
        <v>0</v>
      </c>
      <c r="D3" s="49" t="n">
        <f aca="false">+Sheet1!J401</f>
        <v>0</v>
      </c>
      <c r="E3" s="49" t="n">
        <f aca="false">+Sheet1!J103</f>
        <v>0</v>
      </c>
      <c r="F3" s="49" t="n">
        <f aca="false">+Sheet1!J108</f>
        <v>0</v>
      </c>
      <c r="G3" s="49" t="n">
        <f aca="false">+Sheet1!J68</f>
        <v>0</v>
      </c>
      <c r="H3" s="49" t="n">
        <f aca="false">+Sheet1!J33</f>
        <v>0</v>
      </c>
      <c r="I3" s="49" t="n">
        <f aca="false">+Sheet1!J152</f>
        <v>0</v>
      </c>
      <c r="J3" s="49" t="n">
        <f aca="false">+Sheet1!J85</f>
        <v>0</v>
      </c>
      <c r="K3" s="49" t="n">
        <v>0</v>
      </c>
      <c r="L3" s="49" t="n">
        <f aca="false">+Sheet1!J164</f>
        <v>0</v>
      </c>
      <c r="M3" s="49" t="n">
        <f aca="false">+Sheet1!J157</f>
        <v>0</v>
      </c>
      <c r="T3" s="51"/>
      <c r="U3" s="52" t="s">
        <v>48</v>
      </c>
      <c r="V3" s="53"/>
      <c r="W3" s="51"/>
      <c r="X3" s="54" t="s">
        <v>49</v>
      </c>
    </row>
    <row r="4" customFormat="false" ht="12.75" hidden="false" customHeight="false" outlineLevel="0" collapsed="false">
      <c r="B4" s="55" t="s">
        <v>14</v>
      </c>
      <c r="C4" s="55" t="s">
        <v>41</v>
      </c>
      <c r="D4" s="55" t="s">
        <v>50</v>
      </c>
      <c r="E4" s="55" t="s">
        <v>29</v>
      </c>
      <c r="F4" s="55" t="s">
        <v>32</v>
      </c>
      <c r="G4" s="55" t="s">
        <v>20</v>
      </c>
      <c r="H4" s="55" t="s">
        <v>17</v>
      </c>
      <c r="I4" s="55" t="s">
        <v>34</v>
      </c>
      <c r="J4" s="55" t="s">
        <v>27</v>
      </c>
      <c r="K4" s="55" t="s">
        <v>51</v>
      </c>
      <c r="L4" s="55" t="s">
        <v>38</v>
      </c>
      <c r="M4" s="55" t="s">
        <v>36</v>
      </c>
      <c r="P4" s="55" t="s">
        <v>52</v>
      </c>
      <c r="Q4" s="55" t="s">
        <v>53</v>
      </c>
      <c r="R4" s="55" t="s">
        <v>54</v>
      </c>
      <c r="T4" s="56" t="s">
        <v>55</v>
      </c>
      <c r="U4" s="57" t="n">
        <v>231</v>
      </c>
      <c r="V4" s="53"/>
      <c r="W4" s="56" t="s">
        <v>55</v>
      </c>
      <c r="X4" s="57" t="n">
        <v>2.39</v>
      </c>
    </row>
    <row r="5" customFormat="false" ht="12.75" hidden="false" customHeight="false" outlineLevel="0" collapsed="false">
      <c r="A5" s="58" t="s">
        <v>56</v>
      </c>
      <c r="B5" s="59" t="n">
        <f aca="false">DDE("TWINDDE","TelerateItems","SN9.CB CLOSE")</f>
        <v>469.25</v>
      </c>
      <c r="C5" s="60" t="n">
        <f aca="false">DDE("TWINDDE","TelerateItems","USM9.CB CLOSE")</f>
        <v>117.46875</v>
      </c>
      <c r="D5" s="61" t="n">
        <f aca="false">DDE("TWINDDE","TelerateItems","ES.1.IM CLOSE")</f>
        <v>1341</v>
      </c>
      <c r="E5" s="61" t="str">
        <f aca="false">DDE("TWINDDE","TelerateItems","CTK9.NC CLOSE")</f>
        <v>+NA+</v>
      </c>
      <c r="F5" s="61" t="n">
        <f aca="false">DDE("TWINDDE","TelerateItems","FCK9.CM CLOSE")</f>
        <v>70.775</v>
      </c>
      <c r="G5" s="61" t="n">
        <f aca="false">DDE("TWINDDE","TelerateItems","C.2.CB CLOSE")</f>
        <v>221.75</v>
      </c>
      <c r="H5" s="61" t="n">
        <f aca="false">DDE("TWINDDE","TelerateItems","W.1.CB CLOSE")</f>
        <v>253</v>
      </c>
      <c r="I5" s="62" t="n">
        <f aca="false">DDE("TWINDDE","TelerateItems","LC.1.CM CLOSE")</f>
        <v>61.9</v>
      </c>
      <c r="J5" s="61" t="n">
        <f aca="false">DDE("TWINDDE","TelerateItems","SB11.1.CS CLOSE")</f>
        <v>4.9</v>
      </c>
      <c r="K5" s="61" t="n">
        <f aca="false">DDE("TWINDDE","TelerateItems","SF.1.IM CLOSE")*100</f>
        <v>66.73</v>
      </c>
      <c r="L5" s="63" t="n">
        <f aca="false">DDE("TWINDDE","TelerateItems","DMM9.IM CLOSE")</f>
        <v>0.5465</v>
      </c>
      <c r="M5" s="62" t="n">
        <f aca="false">DDE("TWINDDE","TelerateItems","SI.1.CO CLOSE")</f>
        <v>5.364</v>
      </c>
      <c r="O5" s="64"/>
      <c r="P5" s="62" t="n">
        <f aca="false">DDE("TWINDDE","TelerateItems","NGM9.NY CLOSE")</f>
        <v>2.343</v>
      </c>
      <c r="Q5" s="62" t="n">
        <f aca="false">DDE("TWINDDE","TelerateItems","NGN9.NY CLOSE")</f>
        <v>2.372</v>
      </c>
      <c r="R5" s="62" t="n">
        <f aca="false">DDE("TWINDDE","TelerateItems","NGQ9.NY CLOSE")</f>
        <v>2.39</v>
      </c>
      <c r="T5" s="56" t="s">
        <v>57</v>
      </c>
      <c r="U5" s="57" t="n">
        <v>217</v>
      </c>
      <c r="V5" s="53"/>
      <c r="W5" s="56" t="s">
        <v>57</v>
      </c>
      <c r="X5" s="57" t="n">
        <v>2.205</v>
      </c>
    </row>
    <row r="6" customFormat="false" ht="12.75" hidden="false" customHeight="false" outlineLevel="0" collapsed="false">
      <c r="A6" s="58" t="s">
        <v>58</v>
      </c>
      <c r="B6" s="65" t="n">
        <f aca="false">DDE("TWINDDE","TelerateItems","SN9.CB OPEN")</f>
        <v>471</v>
      </c>
      <c r="C6" s="66" t="n">
        <f aca="false">DDE("TWINDDE","TelerateItems","USM9.CB OPEN")</f>
        <v>117.25</v>
      </c>
      <c r="D6" s="61" t="n">
        <f aca="false">DDE("TWINDDE","TelerateItems","ES.1.IM OPEN")</f>
        <v>1341.25</v>
      </c>
      <c r="E6" s="61" t="str">
        <f aca="false">DDE("TWINDDE","TelerateItems","CTK9.NC OPEN")</f>
        <v>+NA+</v>
      </c>
      <c r="F6" s="61" t="n">
        <f aca="false">DDE("TWINDDE","TelerateItems","FCK9.CM OPEN")</f>
        <v>70.975</v>
      </c>
      <c r="G6" s="61" t="n">
        <f aca="false">DDE("TWINDDE","TelerateItems","C.2.CB OPEN")</f>
        <v>222</v>
      </c>
      <c r="H6" s="61" t="n">
        <f aca="false">DDE("TWINDDE","TelerateItems","WK9.CB OPEN")</f>
        <v>253</v>
      </c>
      <c r="I6" s="62" t="n">
        <f aca="false">DDE("TWINDDE","TelerateItems","LC.1.CM OPEN")</f>
        <v>62.125</v>
      </c>
      <c r="J6" s="61" t="n">
        <f aca="false">DDE("TWINDDE","TelerateItems","SB11.1.CS OPEN")</f>
        <v>4.91</v>
      </c>
      <c r="K6" s="61" t="n">
        <f aca="false">DDE("TWINDDE","TelerateItems","SF.1.IM OPEN")*100</f>
        <v>66.75</v>
      </c>
      <c r="L6" s="63" t="n">
        <f aca="false">DDE("TWINDDE","TelerateItems","DMM9.IM OPEN")</f>
        <v>0.5464</v>
      </c>
      <c r="M6" s="62" t="n">
        <f aca="false">DDE("TWINDDE","TelerateItems","SI.1.CO OPEN")</f>
        <v>0</v>
      </c>
      <c r="O6" s="64"/>
      <c r="P6" s="62" t="n">
        <f aca="false">DDE("TWINDDE","TelerateItems","NGM9.NY OPEN")</f>
        <v>2.34</v>
      </c>
      <c r="Q6" s="62" t="n">
        <f aca="false">DDE("TWINDDE","TelerateItems","NGN9.NY OPEN")</f>
        <v>2.36</v>
      </c>
      <c r="R6" s="62" t="n">
        <f aca="false">DDE("TWINDDE","TelerateItems","NGQ9.NY OPEN")</f>
        <v>2.38</v>
      </c>
      <c r="T6" s="56" t="s">
        <v>59</v>
      </c>
      <c r="U6" s="57" t="n">
        <f aca="false">+U4-U5</f>
        <v>14</v>
      </c>
      <c r="V6" s="67"/>
      <c r="W6" s="56" t="s">
        <v>59</v>
      </c>
      <c r="X6" s="57" t="n">
        <f aca="false">+X4-X5</f>
        <v>0.185</v>
      </c>
    </row>
    <row r="7" customFormat="false" ht="12.75" hidden="false" customHeight="false" outlineLevel="0" collapsed="false">
      <c r="A7" s="58" t="s">
        <v>55</v>
      </c>
      <c r="B7" s="59" t="n">
        <f aca="false">DDE("TWINDDE","TelerateItems","SN9.CB HIGH")</f>
        <v>473</v>
      </c>
      <c r="C7" s="60" t="n">
        <f aca="false">DDE("TWINDDE","TelerateItems","USM9.CB HIGH")</f>
        <v>117.71875</v>
      </c>
      <c r="D7" s="61" t="n">
        <f aca="false">DDE("TWINDDE","TelerateItems","ES.1.IM HIGH")</f>
        <v>1341.25</v>
      </c>
      <c r="E7" s="61" t="str">
        <f aca="false">DDE("TWINDDE","TelerateItems","CTK9.NC HIGH")</f>
        <v>+NA+</v>
      </c>
      <c r="F7" s="61" t="n">
        <f aca="false">DDE("TWINDDE","TelerateItems","FCK9.CM HIGH")</f>
        <v>71.1</v>
      </c>
      <c r="G7" s="61" t="n">
        <f aca="false">DDE("TWINDDE","TelerateItems","C.2.CB HIGH")</f>
        <v>225</v>
      </c>
      <c r="H7" s="61" t="n">
        <f aca="false">DDE("TWINDDE","TelerateItems","WK9.CB HIGH")</f>
        <v>256.5</v>
      </c>
      <c r="I7" s="62" t="n">
        <f aca="false">DDE("TWINDDE","TelerateItems","LC.1.CM HIGH")</f>
        <v>62.3</v>
      </c>
      <c r="J7" s="61" t="n">
        <f aca="false">DDE("TWINDDE","TelerateItems","SB11.1.CS HIGH")</f>
        <v>5.05</v>
      </c>
      <c r="K7" s="61" t="n">
        <f aca="false">DDE("TWINDDE","TelerateItems","SF.1.IM HIGH")*100</f>
        <v>66.75</v>
      </c>
      <c r="L7" s="63" t="n">
        <f aca="false">DDE("TWINDDE","TelerateItems","DMM9.IM HIGH")</f>
        <v>0.5466</v>
      </c>
      <c r="M7" s="62" t="n">
        <f aca="false">DDE("TWINDDE","TelerateItems","SI.1.CO HIGH")</f>
        <v>0</v>
      </c>
      <c r="P7" s="62" t="n">
        <f aca="false">DDE("TWINDDE","TelerateItems","NGM9.NY HIGH")</f>
        <v>2.34</v>
      </c>
      <c r="Q7" s="62" t="n">
        <f aca="false">DDE("TWINDDE","TelerateItems","NGN9.NY HIGH")</f>
        <v>2.364</v>
      </c>
      <c r="R7" s="62" t="n">
        <f aca="false">DDE("TWINDDE","TelerateItems","NGQ9.NY HIGH")</f>
        <v>2.382</v>
      </c>
      <c r="T7" s="56"/>
      <c r="U7" s="57"/>
      <c r="V7" s="53"/>
      <c r="W7" s="56"/>
      <c r="X7" s="57"/>
    </row>
    <row r="8" customFormat="false" ht="12.75" hidden="false" customHeight="false" outlineLevel="0" collapsed="false">
      <c r="A8" s="58" t="s">
        <v>57</v>
      </c>
      <c r="B8" s="59" t="n">
        <f aca="false">DDE("TWINDDE","TelerateItems","SN9.CB LOW")</f>
        <v>469</v>
      </c>
      <c r="C8" s="60" t="n">
        <f aca="false">DDE("TWINDDE","TelerateItems","USM9.CB LOW")</f>
        <v>117.21875</v>
      </c>
      <c r="D8" s="61" t="n">
        <f aca="false">DDE("TWINDDE","TelerateItems","ES.1.IM LOW")</f>
        <v>1339</v>
      </c>
      <c r="E8" s="61" t="str">
        <f aca="false">DDE("TWINDDE","TelerateItems","CTK9.NC LOW")</f>
        <v>+NA+</v>
      </c>
      <c r="F8" s="61" t="n">
        <f aca="false">DDE("TWINDDE","TelerateItems","FCK9.CM LOW")</f>
        <v>70.5</v>
      </c>
      <c r="G8" s="61" t="n">
        <f aca="false">DDE("TWINDDE","TelerateItems","C.2.CB LOW")</f>
        <v>222</v>
      </c>
      <c r="H8" s="61" t="n">
        <f aca="false">DDE("TWINDDE","TelerateItems","WK9.CB LOW")</f>
        <v>253</v>
      </c>
      <c r="I8" s="62" t="n">
        <f aca="false">DDE("TWINDDE","TelerateItems","LC.1.CM LOW")</f>
        <v>61.825</v>
      </c>
      <c r="J8" s="61" t="n">
        <f aca="false">DDE("TWINDDE","TelerateItems","SB11.1.CS LOW")</f>
        <v>4.61</v>
      </c>
      <c r="K8" s="61" t="n">
        <f aca="false">DDE("TWINDDE","TelerateItems","SF.1.IM LOW")*100</f>
        <v>66.73</v>
      </c>
      <c r="L8" s="63" t="n">
        <f aca="false">DDE("TWINDDE","TelerateItems","DMM9.IM LOW")</f>
        <v>0.5464</v>
      </c>
      <c r="M8" s="62" t="n">
        <f aca="false">DDE("TWINDDE","TelerateItems","SI.1.CO LOW")</f>
        <v>0</v>
      </c>
      <c r="P8" s="62" t="n">
        <f aca="false">DDE("TWINDDE","TelerateItems","NGM9.NY LOW")</f>
        <v>2.315</v>
      </c>
      <c r="Q8" s="62" t="n">
        <f aca="false">DDE("TWINDDE","TelerateItems","NGN9.NY LOW")</f>
        <v>2.341</v>
      </c>
      <c r="R8" s="62" t="n">
        <f aca="false">DDE("TWINDDE","TelerateItems","NGQ9.NY LOW")</f>
        <v>2.375</v>
      </c>
      <c r="T8" s="68" t="n">
        <v>0.236</v>
      </c>
      <c r="U8" s="57" t="n">
        <f aca="false">(U$6*T8)+U$5</f>
        <v>220.304</v>
      </c>
      <c r="V8" s="53"/>
      <c r="W8" s="68" t="n">
        <v>0.236</v>
      </c>
      <c r="X8" s="57" t="n">
        <f aca="false">+X$4-(X$6*W8)</f>
        <v>2.34634</v>
      </c>
    </row>
    <row r="9" customFormat="false" ht="12.75" hidden="false" customHeight="false" outlineLevel="0" collapsed="false">
      <c r="A9" s="58" t="s">
        <v>60</v>
      </c>
      <c r="B9" s="69" t="n">
        <f aca="false">DDE("TWINDDE","TelerateItems","SN9.CB LAST")</f>
        <v>470.75</v>
      </c>
      <c r="C9" s="70" t="n">
        <f aca="false">DDE("TWINDDE","TelerateItems","USM9.CB LAST")</f>
        <v>117.53125</v>
      </c>
      <c r="D9" s="71" t="n">
        <f aca="false">DDE("TWINDDE","TelerateItems","ES.1.IM LAST")</f>
        <v>1340.25</v>
      </c>
      <c r="E9" s="72" t="n">
        <v>25</v>
      </c>
      <c r="F9" s="72" t="n">
        <v>25</v>
      </c>
      <c r="G9" s="69" t="n">
        <f aca="false">DDE("TWINDDE","TelerateItems","C.2.CB LAST")</f>
        <v>223.75</v>
      </c>
      <c r="H9" s="72" t="n">
        <v>265</v>
      </c>
      <c r="I9" s="73" t="n">
        <f aca="false">DDE("TWINDDE","TelerateItems","LC.1.CM LAST")</f>
        <v>62.15</v>
      </c>
      <c r="J9" s="72" t="n">
        <v>25</v>
      </c>
      <c r="K9" s="72" t="n">
        <v>25</v>
      </c>
      <c r="L9" s="74" t="n">
        <f aca="false">DDE("TWINDDE","TelerateItems","DMM9.IM LAST")</f>
        <v>0.5465</v>
      </c>
      <c r="M9" s="75" t="n">
        <v>25</v>
      </c>
      <c r="N9" s="76"/>
      <c r="O9" s="77"/>
      <c r="P9" s="73" t="n">
        <f aca="false">DDE("TWINDDE","TelerateItems","NGM9.NY LAST")</f>
        <v>2.33</v>
      </c>
      <c r="Q9" s="73" t="n">
        <f aca="false">DDE("TWINDDE","TelerateItems","NGN9.NY LAST")</f>
        <v>2.357</v>
      </c>
      <c r="R9" s="73" t="n">
        <f aca="false">DDE("TWINDDE","TelerateItems","NGQ9.NY LAST")</f>
        <v>2.375</v>
      </c>
      <c r="T9" s="68" t="n">
        <v>0.382</v>
      </c>
      <c r="U9" s="57" t="n">
        <f aca="false">(U$6*T9)+U$5</f>
        <v>222.348</v>
      </c>
      <c r="V9" s="53"/>
      <c r="W9" s="68" t="n">
        <v>0.382</v>
      </c>
      <c r="X9" s="57" t="n">
        <f aca="false">+X$4-(X$6*W9)</f>
        <v>2.31933</v>
      </c>
    </row>
    <row r="10" customFormat="false" ht="12.75" hidden="false" customHeight="false" outlineLevel="0" collapsed="false">
      <c r="A10" s="58" t="s">
        <v>61</v>
      </c>
      <c r="B10" s="78" t="n">
        <f aca="false">DDE("TWINDDE","TelerateItems","SN9.CB NET_CHNG")</f>
        <v>1.5</v>
      </c>
      <c r="C10" s="79" t="n">
        <f aca="false">DDE("TWINDDE","TelerateItems","USM9.CB NET_CHNG")</f>
        <v>0.0625</v>
      </c>
      <c r="D10" s="47" t="n">
        <f aca="false">DDE("TWINDDE","TelerateItems","ES.1.IM NET_CHNG")</f>
        <v>-0.75</v>
      </c>
      <c r="E10" s="61" t="str">
        <f aca="false">DDE("TWINDDE","TelerateItems","CTK9.NC NET_CHNG")</f>
        <v>+NA+</v>
      </c>
      <c r="F10" s="61" t="n">
        <f aca="false">DDE("TWINDDE","TelerateItems","FCK9.CM NET_CHNG")</f>
        <v>0.15</v>
      </c>
      <c r="G10" s="61" t="n">
        <f aca="false">DDE("TWINDDE","TelerateItems","C.2.CB NET_CHNG")</f>
        <v>2</v>
      </c>
      <c r="H10" s="61" t="n">
        <f aca="false">DDE("TWINDDE","TelerateItems","WK9.CB NET_CHNG")</f>
        <v>2.25</v>
      </c>
      <c r="I10" s="62" t="n">
        <f aca="false">DDE("TWINDDE","TelerateItems","LC.1.CM NET_CHNG")</f>
        <v>0.25</v>
      </c>
      <c r="J10" s="61" t="n">
        <f aca="false">DDE("TWINDDE","TelerateItems","SB11.1.CS NET_CHNG")</f>
        <v>-0.27</v>
      </c>
      <c r="K10" s="61" t="n">
        <f aca="false">DDE("TWINDDE","TelerateItems","SF.1.IM NET_CHNG")*100</f>
        <v>0.01</v>
      </c>
      <c r="L10" s="63" t="n">
        <f aca="false">DDE("TWINDDE","TelerateItems","DMM9.IM NET_CHNG")</f>
        <v>0</v>
      </c>
      <c r="M10" s="62" t="n">
        <f aca="false">DDE("TWINDDE","TelerateItems","SI.1.CO NET_CHNG")</f>
        <v>0</v>
      </c>
      <c r="O10" s="80"/>
      <c r="P10" s="62" t="n">
        <f aca="false">DDE("TWINDDE","TelerateItems","NGM9.NY NET_CHNG")</f>
        <v>-0.013</v>
      </c>
      <c r="Q10" s="62" t="n">
        <f aca="false">DDE("TWINDDE","TelerateItems","NGN9.NY NET_CHNG")</f>
        <v>-0.015</v>
      </c>
      <c r="R10" s="62" t="n">
        <f aca="false">DDE("TWINDDE","TelerateItems","NGQ9.NY NET_CHNG")</f>
        <v>-0.015</v>
      </c>
      <c r="T10" s="68" t="n">
        <v>0.5</v>
      </c>
      <c r="U10" s="57" t="n">
        <f aca="false">(U$6*T10)+U$5</f>
        <v>224</v>
      </c>
      <c r="V10" s="53"/>
      <c r="W10" s="68" t="n">
        <v>0.5</v>
      </c>
      <c r="X10" s="57" t="n">
        <f aca="false">+X$4-(X$6*W10)</f>
        <v>2.2975</v>
      </c>
    </row>
    <row r="11" customFormat="false" ht="12.75" hidden="false" customHeight="false" outlineLevel="0" collapsed="false">
      <c r="A11" s="49"/>
      <c r="B11" s="49"/>
      <c r="C11" s="64"/>
      <c r="D11" s="81"/>
      <c r="E11" s="49"/>
      <c r="F11" s="64"/>
      <c r="G11" s="49"/>
      <c r="H11" s="64"/>
      <c r="I11" s="49"/>
      <c r="L11" s="49"/>
      <c r="T11" s="68" t="n">
        <v>0.618</v>
      </c>
      <c r="U11" s="57" t="n">
        <f aca="false">(U$6*T11)+U$5</f>
        <v>225.652</v>
      </c>
      <c r="V11" s="53"/>
      <c r="W11" s="68" t="n">
        <v>0.618</v>
      </c>
      <c r="X11" s="57" t="n">
        <f aca="false">+X$4-(X$6*W11)</f>
        <v>2.27567</v>
      </c>
    </row>
    <row r="12" customFormat="false" ht="12.75" hidden="false" customHeight="false" outlineLevel="0" collapsed="false">
      <c r="B12" s="80"/>
      <c r="C12" s="82"/>
      <c r="D12" s="83"/>
      <c r="E12" s="84"/>
      <c r="G12" s="80"/>
      <c r="H12" s="83"/>
      <c r="I12" s="80"/>
      <c r="M12" s="85" t="n">
        <f aca="false">Sheet1!$H$405</f>
        <v>-4842.49999999996</v>
      </c>
      <c r="T12" s="86" t="n">
        <v>0.764</v>
      </c>
      <c r="U12" s="87" t="n">
        <f aca="false">(U$6*T12)+U$5</f>
        <v>227.696</v>
      </c>
      <c r="V12" s="53"/>
      <c r="W12" s="86" t="n">
        <v>0.764</v>
      </c>
      <c r="X12" s="87" t="n">
        <f aca="false">+X$4-(X$6*W12)</f>
        <v>2.24866</v>
      </c>
    </row>
    <row r="13" customFormat="false" ht="12.75" hidden="false" customHeight="false" outlineLevel="0" collapsed="false">
      <c r="B13" s="88"/>
      <c r="C13" s="83"/>
      <c r="D13" s="83"/>
      <c r="G13" s="47"/>
      <c r="H13" s="83"/>
      <c r="I13" s="83"/>
      <c r="M13" s="89" t="str">
        <f aca="false">IF(L8&lt;54.95,"****"," ")</f>
        <v>****</v>
      </c>
    </row>
    <row r="14" customFormat="false" ht="12.75" hidden="false" customHeight="false" outlineLevel="0" collapsed="false">
      <c r="E14" s="90"/>
    </row>
    <row r="15" customFormat="false" ht="12.75" hidden="false" customHeight="false" outlineLevel="0" collapsed="false">
      <c r="D15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9: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91" width="9.14"/>
  </cols>
  <sheetData>
    <row r="9" customFormat="false" ht="12.75" hidden="false" customHeight="false" outlineLevel="0" collapsed="false">
      <c r="D9" s="92" t="s">
        <v>62</v>
      </c>
      <c r="E9" s="92" t="n">
        <v>300</v>
      </c>
      <c r="F9" s="93" t="n">
        <v>11.125</v>
      </c>
      <c r="G9" s="92" t="n">
        <f aca="false">+F9*E9</f>
        <v>3337.5</v>
      </c>
      <c r="H9" s="92" t="n">
        <f aca="false">-E9</f>
        <v>-300</v>
      </c>
      <c r="I9" s="93" t="n">
        <v>11.125</v>
      </c>
      <c r="J9" s="92" t="n">
        <f aca="false">+I9*H9</f>
        <v>-3337.5</v>
      </c>
    </row>
    <row r="10" customFormat="false" ht="12.75" hidden="false" customHeight="false" outlineLevel="0" collapsed="false">
      <c r="D10" s="92" t="s">
        <v>63</v>
      </c>
      <c r="E10" s="92" t="n">
        <v>200</v>
      </c>
      <c r="F10" s="93" t="n">
        <v>102.625</v>
      </c>
      <c r="G10" s="92" t="n">
        <f aca="false">+F10*E10</f>
        <v>20525</v>
      </c>
      <c r="H10" s="92"/>
      <c r="I10" s="93"/>
      <c r="J10" s="92" t="n">
        <f aca="false">+I10*H10</f>
        <v>0</v>
      </c>
    </row>
    <row r="11" customFormat="false" ht="12.75" hidden="false" customHeight="false" outlineLevel="0" collapsed="false">
      <c r="D11" s="92" t="s">
        <v>64</v>
      </c>
      <c r="E11" s="92" t="n">
        <v>100</v>
      </c>
      <c r="F11" s="93" t="n">
        <v>165</v>
      </c>
      <c r="G11" s="92" t="n">
        <f aca="false">+F11*E11</f>
        <v>16500</v>
      </c>
      <c r="H11" s="92"/>
      <c r="I11" s="93"/>
      <c r="J11" s="92" t="n">
        <f aca="false">+I11*H11</f>
        <v>0</v>
      </c>
    </row>
    <row r="12" customFormat="false" ht="12.75" hidden="false" customHeight="false" outlineLevel="0" collapsed="false">
      <c r="D12" s="92" t="s">
        <v>65</v>
      </c>
      <c r="E12" s="92" t="n">
        <v>200</v>
      </c>
      <c r="F12" s="93" t="n">
        <v>14.1875</v>
      </c>
      <c r="G12" s="92" t="n">
        <f aca="false">+F12*E12</f>
        <v>2837.5</v>
      </c>
      <c r="H12" s="92" t="n">
        <f aca="false">-E12</f>
        <v>-200</v>
      </c>
      <c r="I12" s="93" t="n">
        <v>12.375</v>
      </c>
      <c r="J12" s="92" t="n">
        <f aca="false">+I12*H12</f>
        <v>-2475</v>
      </c>
    </row>
    <row r="13" customFormat="false" ht="12.75" hidden="false" customHeight="false" outlineLevel="0" collapsed="false">
      <c r="D13" s="92" t="s">
        <v>66</v>
      </c>
      <c r="E13" s="92" t="n">
        <v>200</v>
      </c>
      <c r="F13" s="93" t="n">
        <v>43.625</v>
      </c>
      <c r="G13" s="92" t="n">
        <f aca="false">+F13*E13</f>
        <v>8725</v>
      </c>
      <c r="H13" s="92"/>
      <c r="I13" s="93"/>
      <c r="J13" s="92" t="n">
        <f aca="false">+I13*H13</f>
        <v>0</v>
      </c>
    </row>
    <row r="14" customFormat="false" ht="12.75" hidden="false" customHeight="false" outlineLevel="0" collapsed="false">
      <c r="D14" s="92" t="s">
        <v>67</v>
      </c>
      <c r="E14" s="92" t="n">
        <v>200</v>
      </c>
      <c r="F14" s="93" t="n">
        <v>100.4375</v>
      </c>
      <c r="G14" s="92" t="n">
        <f aca="false">+F14*E14</f>
        <v>20087.5</v>
      </c>
      <c r="H14" s="92"/>
      <c r="I14" s="93"/>
      <c r="J14" s="92" t="n">
        <f aca="false">+I14*H14</f>
        <v>0</v>
      </c>
    </row>
    <row r="15" customFormat="false" ht="12.75" hidden="false" customHeight="false" outlineLevel="0" collapsed="false">
      <c r="D15" s="92" t="s">
        <v>68</v>
      </c>
      <c r="E15" s="92" t="n">
        <v>100</v>
      </c>
      <c r="F15" s="93" t="n">
        <v>7.625</v>
      </c>
      <c r="G15" s="92" t="n">
        <f aca="false">+F15*E15</f>
        <v>762.5</v>
      </c>
      <c r="H15" s="92" t="n">
        <f aca="false">-E15</f>
        <v>-100</v>
      </c>
      <c r="I15" s="93" t="n">
        <v>7.6875</v>
      </c>
      <c r="J15" s="92" t="n">
        <f aca="false">+I15*H15</f>
        <v>-768.75</v>
      </c>
    </row>
    <row r="16" customFormat="false" ht="12.75" hidden="false" customHeight="false" outlineLevel="0" collapsed="false">
      <c r="D16" s="92" t="s">
        <v>69</v>
      </c>
      <c r="E16" s="92" t="n">
        <v>200</v>
      </c>
      <c r="F16" s="93" t="n">
        <v>48.125</v>
      </c>
      <c r="G16" s="92" t="n">
        <f aca="false">+F16*E16</f>
        <v>9625</v>
      </c>
      <c r="H16" s="92"/>
      <c r="I16" s="93"/>
      <c r="J16" s="92" t="n">
        <f aca="false">+I16*H16</f>
        <v>0</v>
      </c>
    </row>
    <row r="17" customFormat="false" ht="12.75" hidden="false" customHeight="false" outlineLevel="0" collapsed="false">
      <c r="D17" s="92" t="s">
        <v>70</v>
      </c>
      <c r="E17" s="92" t="n">
        <v>1500</v>
      </c>
      <c r="F17" s="93" t="n">
        <v>5.0625</v>
      </c>
      <c r="G17" s="92" t="n">
        <f aca="false">+F17*E17</f>
        <v>7593.75</v>
      </c>
      <c r="H17" s="92" t="n">
        <f aca="false">-E17</f>
        <v>-1500</v>
      </c>
      <c r="I17" s="93" t="n">
        <v>4.875</v>
      </c>
      <c r="J17" s="92" t="n">
        <f aca="false">+I17*H17</f>
        <v>-7312.5</v>
      </c>
    </row>
    <row r="18" customFormat="false" ht="12.75" hidden="false" customHeight="false" outlineLevel="0" collapsed="false">
      <c r="D18" s="92" t="s">
        <v>71</v>
      </c>
      <c r="E18" s="92" t="n">
        <v>200</v>
      </c>
      <c r="F18" s="93" t="n">
        <v>25.375</v>
      </c>
      <c r="G18" s="92" t="n">
        <f aca="false">+F18*E18</f>
        <v>5075</v>
      </c>
      <c r="H18" s="92"/>
      <c r="I18" s="93"/>
      <c r="J18" s="92" t="n">
        <f aca="false">+I18*H18</f>
        <v>0</v>
      </c>
    </row>
    <row r="19" customFormat="false" ht="12.75" hidden="false" customHeight="false" outlineLevel="0" collapsed="false">
      <c r="D19" s="92" t="s">
        <v>72</v>
      </c>
      <c r="E19" s="92" t="n">
        <v>1000</v>
      </c>
      <c r="F19" s="93" t="n">
        <v>6.875</v>
      </c>
      <c r="G19" s="92" t="n">
        <f aca="false">+F19*E19</f>
        <v>6875</v>
      </c>
      <c r="H19" s="92" t="n">
        <v>-1000</v>
      </c>
      <c r="I19" s="93" t="n">
        <v>6.875</v>
      </c>
      <c r="J19" s="92" t="n">
        <f aca="false">+I19*H19</f>
        <v>-6875</v>
      </c>
    </row>
    <row r="20" customFormat="false" ht="12.75" hidden="false" customHeight="false" outlineLevel="0" collapsed="false">
      <c r="D20" s="92" t="s">
        <v>73</v>
      </c>
      <c r="E20" s="92" t="n">
        <v>200</v>
      </c>
      <c r="F20" s="93" t="n">
        <v>99.875</v>
      </c>
      <c r="G20" s="92" t="n">
        <f aca="false">+F20*E20</f>
        <v>19975</v>
      </c>
      <c r="H20" s="92"/>
      <c r="I20" s="93"/>
      <c r="J20" s="92" t="n">
        <f aca="false">+I20*H20</f>
        <v>0</v>
      </c>
    </row>
    <row r="21" customFormat="false" ht="12.75" hidden="false" customHeight="false" outlineLevel="0" collapsed="false">
      <c r="D21" s="92" t="s">
        <v>74</v>
      </c>
      <c r="E21" s="92" t="n">
        <v>200</v>
      </c>
      <c r="F21" s="93" t="n">
        <v>70.75</v>
      </c>
      <c r="G21" s="92" t="n">
        <f aca="false">+F21*E21</f>
        <v>14150</v>
      </c>
      <c r="H21" s="92"/>
      <c r="I21" s="93"/>
      <c r="J21" s="92" t="n">
        <f aca="false">+I21*H21</f>
        <v>0</v>
      </c>
    </row>
    <row r="22" customFormat="false" ht="12.75" hidden="false" customHeight="false" outlineLevel="0" collapsed="false">
      <c r="D22" s="92" t="s">
        <v>75</v>
      </c>
      <c r="E22" s="92" t="n">
        <v>300</v>
      </c>
      <c r="F22" s="93" t="n">
        <v>43.625</v>
      </c>
      <c r="G22" s="92" t="n">
        <f aca="false">+F22*E22</f>
        <v>13087.5</v>
      </c>
      <c r="H22" s="92"/>
      <c r="I22" s="93"/>
      <c r="J22" s="92" t="n">
        <f aca="false">+I22*H22</f>
        <v>0</v>
      </c>
    </row>
    <row r="23" customFormat="false" ht="12.75" hidden="false" customHeight="false" outlineLevel="0" collapsed="false">
      <c r="D23" s="92" t="s">
        <v>76</v>
      </c>
      <c r="E23" s="92" t="n">
        <v>200</v>
      </c>
      <c r="F23" s="93" t="n">
        <v>42.5</v>
      </c>
      <c r="G23" s="92" t="n">
        <f aca="false">+F23*E23</f>
        <v>8500</v>
      </c>
      <c r="H23" s="92"/>
      <c r="I23" s="93"/>
      <c r="J23" s="92" t="n">
        <f aca="false">+I23*H23</f>
        <v>0</v>
      </c>
    </row>
    <row r="24" customFormat="false" ht="12.75" hidden="false" customHeight="false" outlineLevel="0" collapsed="false">
      <c r="D24" s="92" t="s">
        <v>77</v>
      </c>
      <c r="E24" s="92" t="n">
        <v>500</v>
      </c>
      <c r="F24" s="93" t="n">
        <v>34.1875</v>
      </c>
      <c r="G24" s="92" t="n">
        <f aca="false">+F24*E24</f>
        <v>17093.75</v>
      </c>
      <c r="H24" s="92" t="n">
        <v>-200</v>
      </c>
      <c r="I24" s="93" t="n">
        <v>34.9375</v>
      </c>
      <c r="J24" s="92" t="n">
        <f aca="false">+I24*H24</f>
        <v>-6987.5</v>
      </c>
    </row>
    <row r="25" customFormat="false" ht="12.75" hidden="false" customHeight="false" outlineLevel="0" collapsed="false">
      <c r="D25" s="92" t="s">
        <v>78</v>
      </c>
      <c r="E25" s="92" t="n">
        <v>500</v>
      </c>
      <c r="F25" s="93" t="n">
        <v>7.8125</v>
      </c>
      <c r="G25" s="92" t="n">
        <f aca="false">+F25*E25</f>
        <v>3906.25</v>
      </c>
      <c r="H25" s="92" t="n">
        <v>-500</v>
      </c>
      <c r="I25" s="93" t="n">
        <v>7.625</v>
      </c>
      <c r="J25" s="92" t="n">
        <f aca="false">+I25*H25</f>
        <v>-3812.5</v>
      </c>
    </row>
    <row r="26" customFormat="false" ht="12.75" hidden="false" customHeight="false" outlineLevel="0" collapsed="false">
      <c r="D26" s="92" t="s">
        <v>79</v>
      </c>
      <c r="E26" s="92" t="n">
        <v>100</v>
      </c>
      <c r="F26" s="93" t="n">
        <f aca="false">345/2</f>
        <v>172.5</v>
      </c>
      <c r="G26" s="92" t="n">
        <f aca="false">+F26*E26</f>
        <v>17250</v>
      </c>
      <c r="H26" s="92"/>
      <c r="I26" s="93"/>
      <c r="J26" s="92" t="n">
        <f aca="false">+I26*H26</f>
        <v>0</v>
      </c>
    </row>
    <row r="27" customFormat="false" ht="12.75" hidden="false" customHeight="false" outlineLevel="0" collapsed="false">
      <c r="D27" s="92" t="s">
        <v>80</v>
      </c>
      <c r="E27" s="92" t="n">
        <v>3</v>
      </c>
      <c r="F27" s="93" t="n">
        <v>5.25</v>
      </c>
      <c r="G27" s="92" t="n">
        <f aca="false">+F27*E27*100</f>
        <v>1575</v>
      </c>
      <c r="H27" s="92" t="n">
        <v>-3</v>
      </c>
      <c r="I27" s="93" t="n">
        <v>5.125</v>
      </c>
      <c r="J27" s="92" t="n">
        <f aca="false">+I27*H27*100</f>
        <v>-1537.5</v>
      </c>
    </row>
    <row r="28" customFormat="false" ht="12.75" hidden="false" customHeight="false" outlineLevel="0" collapsed="false">
      <c r="D28" s="92"/>
      <c r="E28" s="92"/>
      <c r="F28" s="92"/>
      <c r="G28" s="92"/>
      <c r="H28" s="92"/>
      <c r="I28" s="92"/>
      <c r="J28" s="92"/>
    </row>
    <row r="29" customFormat="false" ht="12.75" hidden="false" customHeight="false" outlineLevel="0" collapsed="false">
      <c r="D29" s="92"/>
      <c r="E29" s="92"/>
      <c r="F29" s="92" t="n">
        <f aca="false">+G29+J29</f>
        <v>164375</v>
      </c>
      <c r="G29" s="92" t="n">
        <f aca="false">SUM(G9:G28)</f>
        <v>197481.25</v>
      </c>
      <c r="H29" s="92"/>
      <c r="I29" s="92"/>
      <c r="J29" s="92" t="n">
        <f aca="false">SUM(J9:J28)</f>
        <v>-33106.25</v>
      </c>
    </row>
    <row r="30" customFormat="false" ht="12.75" hidden="false" customHeight="false" outlineLevel="0" collapsed="false">
      <c r="D30" s="92"/>
      <c r="E30" s="92"/>
      <c r="F30" s="92"/>
      <c r="G30" s="92"/>
      <c r="H30" s="92"/>
      <c r="I30" s="92"/>
      <c r="J30" s="92"/>
    </row>
    <row r="31" customFormat="false" ht="12.75" hidden="false" customHeight="false" outlineLevel="0" collapsed="false">
      <c r="D31" s="92" t="str">
        <f aca="false">+D10</f>
        <v>AIG</v>
      </c>
      <c r="E31" s="92" t="n">
        <f aca="false">+E10</f>
        <v>200</v>
      </c>
      <c r="F31" s="93" t="n">
        <f aca="false">+F10</f>
        <v>102.625</v>
      </c>
      <c r="G31" s="92" t="n">
        <f aca="false">+G10</f>
        <v>20525</v>
      </c>
      <c r="H31" s="92" t="n">
        <f aca="false">+H10</f>
        <v>0</v>
      </c>
      <c r="I31" s="92" t="n">
        <f aca="false">+I10</f>
        <v>0</v>
      </c>
      <c r="J31" s="92" t="n">
        <f aca="false">+J10</f>
        <v>0</v>
      </c>
    </row>
    <row r="32" customFormat="false" ht="12.75" hidden="false" customHeight="false" outlineLevel="0" collapsed="false">
      <c r="D32" s="92" t="str">
        <f aca="false">+D11</f>
        <v>AOL</v>
      </c>
      <c r="E32" s="92" t="n">
        <f aca="false">+E11</f>
        <v>100</v>
      </c>
      <c r="F32" s="93" t="n">
        <f aca="false">+F11</f>
        <v>165</v>
      </c>
      <c r="G32" s="92" t="n">
        <f aca="false">+G11</f>
        <v>16500</v>
      </c>
      <c r="H32" s="92" t="n">
        <f aca="false">+H11</f>
        <v>0</v>
      </c>
      <c r="I32" s="92" t="n">
        <f aca="false">+I11</f>
        <v>0</v>
      </c>
      <c r="J32" s="92" t="n">
        <f aca="false">+J11</f>
        <v>0</v>
      </c>
    </row>
    <row r="33" customFormat="false" ht="12.75" hidden="false" customHeight="false" outlineLevel="0" collapsed="false">
      <c r="D33" s="92" t="str">
        <f aca="false">+D13</f>
        <v>CPQ</v>
      </c>
      <c r="E33" s="92" t="n">
        <f aca="false">+E13</f>
        <v>200</v>
      </c>
      <c r="F33" s="93" t="n">
        <f aca="false">+F13</f>
        <v>43.625</v>
      </c>
      <c r="G33" s="92" t="n">
        <f aca="false">+G13</f>
        <v>8725</v>
      </c>
      <c r="H33" s="92" t="n">
        <f aca="false">+H13</f>
        <v>0</v>
      </c>
      <c r="I33" s="92" t="n">
        <f aca="false">+I13</f>
        <v>0</v>
      </c>
      <c r="J33" s="92" t="n">
        <f aca="false">+J13</f>
        <v>0</v>
      </c>
    </row>
    <row r="34" customFormat="false" ht="12.75" hidden="false" customHeight="false" outlineLevel="0" collapsed="false">
      <c r="D34" s="92" t="str">
        <f aca="false">+D14</f>
        <v>DELL</v>
      </c>
      <c r="E34" s="92" t="n">
        <f aca="false">+E14</f>
        <v>200</v>
      </c>
      <c r="F34" s="93" t="n">
        <f aca="false">+F14</f>
        <v>100.4375</v>
      </c>
      <c r="G34" s="92" t="n">
        <f aca="false">+G14</f>
        <v>20087.5</v>
      </c>
      <c r="H34" s="92" t="n">
        <f aca="false">+H14</f>
        <v>0</v>
      </c>
      <c r="I34" s="92" t="n">
        <f aca="false">+I14</f>
        <v>0</v>
      </c>
      <c r="J34" s="92" t="n">
        <f aca="false">+J14</f>
        <v>0</v>
      </c>
    </row>
    <row r="35" customFormat="false" ht="12.75" hidden="false" customHeight="false" outlineLevel="0" collapsed="false">
      <c r="D35" s="92" t="str">
        <f aca="false">+D16</f>
        <v>EDS</v>
      </c>
      <c r="E35" s="92" t="n">
        <f aca="false">+E16</f>
        <v>200</v>
      </c>
      <c r="F35" s="93" t="n">
        <f aca="false">+F16</f>
        <v>48.125</v>
      </c>
      <c r="G35" s="92" t="n">
        <f aca="false">+G16</f>
        <v>9625</v>
      </c>
      <c r="H35" s="92" t="n">
        <f aca="false">+H16</f>
        <v>0</v>
      </c>
      <c r="I35" s="92" t="n">
        <f aca="false">+I16</f>
        <v>0</v>
      </c>
      <c r="J35" s="92" t="n">
        <f aca="false">+J16</f>
        <v>0</v>
      </c>
    </row>
    <row r="36" customFormat="false" ht="12.75" hidden="false" customHeight="false" outlineLevel="0" collapsed="false">
      <c r="D36" s="92" t="str">
        <f aca="false">+D18</f>
        <v>ENMD</v>
      </c>
      <c r="E36" s="92" t="n">
        <f aca="false">+E18</f>
        <v>200</v>
      </c>
      <c r="F36" s="93" t="n">
        <f aca="false">+F18</f>
        <v>25.375</v>
      </c>
      <c r="G36" s="92" t="n">
        <f aca="false">+G18</f>
        <v>5075</v>
      </c>
      <c r="H36" s="92" t="n">
        <f aca="false">+H18</f>
        <v>0</v>
      </c>
      <c r="I36" s="92" t="n">
        <f aca="false">+I18</f>
        <v>0</v>
      </c>
      <c r="J36" s="92" t="n">
        <f aca="false">+J18</f>
        <v>0</v>
      </c>
    </row>
    <row r="37" customFormat="false" ht="12.75" hidden="false" customHeight="false" outlineLevel="0" collapsed="false">
      <c r="D37" s="92" t="str">
        <f aca="false">+D20</f>
        <v>LU</v>
      </c>
      <c r="E37" s="92" t="n">
        <f aca="false">+E20</f>
        <v>200</v>
      </c>
      <c r="F37" s="93" t="n">
        <f aca="false">+F20</f>
        <v>99.875</v>
      </c>
      <c r="G37" s="92" t="n">
        <f aca="false">+G20</f>
        <v>19975</v>
      </c>
      <c r="H37" s="92" t="n">
        <f aca="false">+H20</f>
        <v>0</v>
      </c>
      <c r="I37" s="92" t="n">
        <f aca="false">+I20</f>
        <v>0</v>
      </c>
      <c r="J37" s="92" t="n">
        <f aca="false">+J20</f>
        <v>0</v>
      </c>
    </row>
    <row r="38" customFormat="false" ht="12.75" hidden="false" customHeight="false" outlineLevel="0" collapsed="false">
      <c r="D38" s="92" t="str">
        <f aca="false">+D21</f>
        <v>MER</v>
      </c>
      <c r="E38" s="92" t="n">
        <f aca="false">+E21</f>
        <v>200</v>
      </c>
      <c r="F38" s="93" t="n">
        <f aca="false">+F21</f>
        <v>70.75</v>
      </c>
      <c r="G38" s="92" t="n">
        <f aca="false">+G21</f>
        <v>14150</v>
      </c>
      <c r="H38" s="92" t="n">
        <f aca="false">+H21</f>
        <v>0</v>
      </c>
      <c r="I38" s="92" t="n">
        <f aca="false">+I21</f>
        <v>0</v>
      </c>
      <c r="J38" s="92" t="n">
        <f aca="false">+J21</f>
        <v>0</v>
      </c>
    </row>
    <row r="39" customFormat="false" ht="12.75" hidden="false" customHeight="false" outlineLevel="0" collapsed="false">
      <c r="D39" s="92" t="str">
        <f aca="false">+D22</f>
        <v>ONSL</v>
      </c>
      <c r="E39" s="92" t="n">
        <f aca="false">+E22</f>
        <v>300</v>
      </c>
      <c r="F39" s="93" t="n">
        <f aca="false">+F22</f>
        <v>43.625</v>
      </c>
      <c r="G39" s="92" t="n">
        <f aca="false">+G22</f>
        <v>13087.5</v>
      </c>
      <c r="H39" s="92" t="n">
        <f aca="false">+H22</f>
        <v>0</v>
      </c>
      <c r="I39" s="92" t="n">
        <f aca="false">+I22</f>
        <v>0</v>
      </c>
      <c r="J39" s="92" t="n">
        <f aca="false">+J22</f>
        <v>0</v>
      </c>
    </row>
    <row r="40" customFormat="false" ht="12.75" hidden="false" customHeight="false" outlineLevel="0" collapsed="false">
      <c r="D40" s="92" t="str">
        <f aca="false">+D23</f>
        <v>SFE</v>
      </c>
      <c r="E40" s="92" t="n">
        <f aca="false">+E23</f>
        <v>200</v>
      </c>
      <c r="F40" s="93" t="n">
        <f aca="false">+F23</f>
        <v>42.5</v>
      </c>
      <c r="G40" s="92" t="n">
        <f aca="false">+G23</f>
        <v>8500</v>
      </c>
      <c r="H40" s="92" t="n">
        <f aca="false">+H23</f>
        <v>0</v>
      </c>
      <c r="I40" s="92" t="n">
        <f aca="false">+I23</f>
        <v>0</v>
      </c>
      <c r="J40" s="92" t="n">
        <f aca="false">+J23</f>
        <v>0</v>
      </c>
    </row>
    <row r="41" customFormat="false" ht="12.75" hidden="false" customHeight="false" outlineLevel="0" collapsed="false">
      <c r="D41" s="92" t="str">
        <f aca="false">+D26</f>
        <v>YHOO</v>
      </c>
      <c r="E41" s="92" t="n">
        <f aca="false">+E26</f>
        <v>100</v>
      </c>
      <c r="F41" s="93" t="n">
        <f aca="false">+F26</f>
        <v>172.5</v>
      </c>
      <c r="G41" s="92" t="n">
        <f aca="false">+G26</f>
        <v>17250</v>
      </c>
      <c r="H41" s="92" t="n">
        <f aca="false">+H26</f>
        <v>0</v>
      </c>
      <c r="I41" s="92" t="n">
        <f aca="false">+I26</f>
        <v>0</v>
      </c>
      <c r="J41" s="92" t="n">
        <f aca="false">+J26</f>
        <v>0</v>
      </c>
    </row>
    <row r="42" customFormat="false" ht="12.75" hidden="false" customHeight="false" outlineLevel="0" collapsed="false">
      <c r="D42" s="94"/>
      <c r="E42" s="94"/>
      <c r="F42" s="94"/>
      <c r="G42" s="94"/>
      <c r="H42" s="94"/>
      <c r="I42" s="94"/>
      <c r="J42" s="94"/>
    </row>
    <row r="43" customFormat="false" ht="12.75" hidden="false" customHeight="false" outlineLevel="0" collapsed="false">
      <c r="D43" s="94"/>
      <c r="E43" s="94"/>
      <c r="F43" s="94"/>
      <c r="G43" s="92" t="n">
        <f aca="false">SUM(G31:G42)</f>
        <v>153500</v>
      </c>
      <c r="H43" s="94"/>
      <c r="I43" s="94"/>
      <c r="J43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1999-01-04T18:38:28Z</dcterms:created>
  <dc:creator>Fletcher Sturm</dc:creator>
  <dc:description/>
  <dc:language>en-US</dc:language>
  <cp:lastModifiedBy>Fletcher Sturm</cp:lastModifiedBy>
  <cp:revision>0</cp:revision>
  <dc:subject/>
  <dc:title/>
</cp:coreProperties>
</file>