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Cost Details" sheetId="4" state="visible" r:id="rId6"/>
    <sheet name="Price_Technical Assumption" sheetId="5" state="visible" r:id="rId7"/>
    <sheet name="Fuel Oil Curve" sheetId="6" state="visible" r:id="rId8"/>
    <sheet name="Summary" sheetId="7" state="visible" r:id="rId9"/>
    <sheet name="IS" sheetId="8" state="visible" r:id="rId10"/>
    <sheet name="Revised Debt" sheetId="9" state="visible" r:id="rId11"/>
    <sheet name="BS" sheetId="10" state="hidden" r:id="rId12"/>
    <sheet name="Returns Analysis" sheetId="11" state="visible" r:id="rId13"/>
    <sheet name="Debt" sheetId="12" state="visible" r:id="rId14"/>
    <sheet name="Depreciation" sheetId="13" state="visible" r:id="rId15"/>
    <sheet name="Taxes" sheetId="14" state="visible" r:id="rId16"/>
    <sheet name="IDC" sheetId="15" state="visible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Assumptions!$A$3:$P$82</definedName>
    <definedName function="false" hidden="false" localSheetId="9" name="_xlnm.Print_Area" vbProcedure="false">BS!$A$2:$AH$9</definedName>
    <definedName function="false" hidden="false" localSheetId="9" name="_xlnm.Print_Titles" vbProcedure="false">BS!$A:$A</definedName>
    <definedName function="false" hidden="false" localSheetId="11" name="_xlnm.Print_Area" vbProcedure="false">Debt!$A$2:$AF$69</definedName>
    <definedName function="false" hidden="false" localSheetId="11" name="_xlnm.Print_Titles" vbProcedure="false">Debt!$A:$A</definedName>
    <definedName function="false" hidden="false" localSheetId="12" name="_xlnm.Print_Area" vbProcedure="false">Depreciation!$A$2:$AH$50</definedName>
    <definedName function="false" hidden="false" localSheetId="12" name="_xlnm.Print_Titles" vbProcedure="false">Depreciation!$A:$A</definedName>
    <definedName function="false" hidden="false" localSheetId="14" name="_xlnm.Print_Area" vbProcedure="false">IDC!$A$2:$L$59</definedName>
    <definedName function="false" hidden="false" localSheetId="7" name="_xlnm.Print_Area" vbProcedure="false">IS!$A$2:$Q$45</definedName>
    <definedName function="false" hidden="false" localSheetId="7" name="_xlnm.Print_Titles" vbProcedure="false">IS!$A:$A</definedName>
    <definedName function="false" hidden="false" localSheetId="4" name="_xlnm.Print_Titles" vbProcedure="false">'Price_Technical Assumption'!$A:$B</definedName>
    <definedName function="false" hidden="false" localSheetId="10" name="_xlnm.Print_Titles" vbProcedure="false">'Returns Analysis'!$A:$A</definedName>
    <definedName function="false" hidden="false" localSheetId="13" name="_xlnm.Print_Area" vbProcedure="false">Taxes!$A$2:$AF$41</definedName>
    <definedName function="false" hidden="false" localSheetId="13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MOB from Scot Chambers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11</xdr:rowOff>
              </xdr:from>
              <xdr:to>
                <xdr:col>2</xdr:col>
                <xdr:colOff>1</xdr:colOff>
                <xdr:row>41</xdr:row>
                <xdr:rowOff>21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3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4 SCR's for a 4 on 1 or 5 SCR's for a 5 on 1 configuration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11</xdr:rowOff>
              </xdr:from>
              <xdr:to>
                <xdr:col>4</xdr:col>
                <xdr:colOff>18</xdr:colOff>
                <xdr:row>28</xdr:row>
                <xdr:rowOff>20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11</xdr:rowOff>
              </xdr:from>
              <xdr:to>
                <xdr:col>4</xdr:col>
                <xdr:colOff>18</xdr:colOff>
                <xdr:row>41</xdr:row>
                <xdr:rowOff>21</xdr:rowOff>
              </xdr:to>
            </anchor>
          </commentPr>
        </mc:Choice>
        <mc:Fallback/>
      </mc:AlternateContent>
    </comment>
    <comment ref="C5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11</xdr:rowOff>
              </xdr:from>
              <xdr:to>
                <xdr:col>4</xdr:col>
                <xdr:colOff>18</xdr:colOff>
                <xdr:row>59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9</xdr:row>
                <xdr:rowOff>11</xdr:rowOff>
              </xdr:from>
              <xdr:to>
                <xdr:col>9</xdr:col>
                <xdr:colOff>107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11</xdr:row>
                <xdr:rowOff>11</xdr:rowOff>
              </xdr:from>
              <xdr:to>
                <xdr:col>9</xdr:col>
                <xdr:colOff>107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from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12</xdr:row>
                <xdr:rowOff>11</xdr:rowOff>
              </xdr:from>
              <xdr:to>
                <xdr:col>9</xdr:col>
                <xdr:colOff>75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given by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13</xdr:row>
                <xdr:rowOff>11</xdr:rowOff>
              </xdr:from>
              <xdr:to>
                <xdr:col>9</xdr:col>
                <xdr:colOff>75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59</xdr:row>
                <xdr:rowOff>18</xdr:rowOff>
              </xdr:from>
              <xdr:to>
                <xdr:col>9</xdr:col>
                <xdr:colOff>107</xdr:colOff>
                <xdr:row>63</xdr:row>
                <xdr:rowOff>8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70</xdr:row>
                <xdr:rowOff>12</xdr:rowOff>
              </xdr:from>
              <xdr:to>
                <xdr:col>8</xdr:col>
                <xdr:colOff>112</xdr:colOff>
                <xdr:row>73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238</xdr:colOff>
                <xdr:row>36</xdr:row>
                <xdr:rowOff>11</xdr:rowOff>
              </xdr:from>
              <xdr:to>
                <xdr:col>12</xdr:col>
                <xdr:colOff>25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238</xdr:colOff>
                <xdr:row>41</xdr:row>
                <xdr:rowOff>13</xdr:rowOff>
              </xdr:from>
              <xdr:to>
                <xdr:col>12</xdr:col>
                <xdr:colOff>25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40</xdr:colOff>
                <xdr:row>53</xdr:row>
                <xdr:rowOff>11</xdr:rowOff>
              </xdr:from>
              <xdr:to>
                <xdr:col>14</xdr:col>
                <xdr:colOff>79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<sst xmlns="http://schemas.openxmlformats.org/spreadsheetml/2006/main" count="714" uniqueCount="577">
  <si>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</si>
  <si>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</si>
  <si>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</si>
  <si>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</si>
  <si>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</si>
  <si>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</si>
  <si>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</si>
  <si>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</si>
  <si>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</si>
  <si>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</si>
  <si>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</si>
  <si>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</si>
  <si>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</si>
  <si>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</si>
  <si>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</si>
  <si>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</si>
  <si>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</si>
  <si>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</si>
  <si>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</si>
  <si>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</si>
  <si>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</si>
  <si>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</si>
  <si>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</si>
  <si>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</si>
  <si>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</si>
  <si>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</si>
  <si>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</si>
  <si>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</si>
  <si>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</si>
  <si>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</si>
  <si>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</si>
  <si>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</si>
  <si>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</si>
  <si>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</si>
  <si>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</si>
  <si>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</si>
  <si>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</si>
  <si>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</si>
  <si>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</si>
  <si>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</si>
  <si>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</si>
  <si>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</si>
  <si>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</si>
  <si>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</si>
  <si>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</si>
  <si>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</si>
  <si>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</si>
  <si>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</si>
  <si>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</si>
  <si>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</si>
  <si>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</si>
  <si>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</si>
  <si>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</si>
  <si>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</si>
  <si>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</si>
  <si>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</si>
  <si>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</si>
  <si>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</si>
  <si>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</si>
  <si>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</si>
  <si>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</si>
  <si>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</si>
  <si>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</si>
  <si>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</si>
  <si>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</si>
  <si>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</si>
  <si>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</si>
  <si>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</si>
  <si>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</si>
  <si>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Homestead, Florida</t>
  </si>
  <si>
    <t xml:space="preserve">Combine-Cycle Configuration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</si>
  <si>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</si>
  <si>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</si>
  <si>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</si>
  <si>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</si>
  <si>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</si>
  <si>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</si>
  <si>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</si>
  <si>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</si>
  <si>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</si>
  <si>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</si>
  <si>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</si>
  <si>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</si>
  <si>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</si>
  <si>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</si>
  <si>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</si>
  <si>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</si>
  <si>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</si>
  <si>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</si>
  <si>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</si>
  <si>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</si>
  <si>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</si>
  <si>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</si>
  <si>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</si>
  <si>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</si>
  <si>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</si>
  <si>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</si>
  <si>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STG + HRSG</t>
  </si>
  <si>
    <t xml:space="preserve">Combined Facility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</si>
  <si>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</si>
  <si>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</si>
  <si>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</si>
  <si>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</si>
  <si>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</si>
  <si>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</si>
  <si>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</si>
  <si>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</si>
  <si>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</si>
  <si>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</si>
  <si>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</si>
  <si>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</si>
  <si>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</si>
  <si>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</si>
  <si>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</si>
  <si>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</si>
  <si>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</si>
  <si>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</si>
  <si>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</si>
  <si>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</si>
  <si>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</si>
  <si>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</si>
  <si>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</si>
  <si>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</si>
  <si>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Chemicals</t>
  </si>
  <si>
    <t xml:space="preserve">No. of Construction Months</t>
  </si>
  <si>
    <t xml:space="preserve">Maintenance Expenses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</si>
  <si>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</si>
  <si>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</si>
  <si>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</si>
  <si>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</si>
  <si>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</si>
  <si>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</si>
  <si>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</si>
  <si>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</si>
  <si>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</si>
  <si>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</si>
  <si>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Payroll &amp; Burden</t>
  </si>
  <si>
    <t xml:space="preserve">  Turbine (with Carrying Cost)</t>
  </si>
  <si>
    <t xml:space="preserve">Location (State)</t>
  </si>
  <si>
    <t xml:space="preserve">FL</t>
  </si>
  <si>
    <t xml:space="preserve">B.I. Insurance</t>
  </si>
  <si>
    <t xml:space="preserve">  Fin Fan Cooler</t>
  </si>
  <si>
    <t xml:space="preserve">SG&amp;A </t>
  </si>
  <si>
    <t xml:space="preserve">  CTG Freight</t>
  </si>
  <si>
    <t xml:space="preserve">Residual Value (at year 20)</t>
  </si>
  <si>
    <t xml:space="preserve">Start Charge</t>
  </si>
  <si>
    <t xml:space="preserve">  Project Management</t>
  </si>
  <si>
    <t xml:space="preserve">  Indirect Costs</t>
  </si>
  <si>
    <t xml:space="preserve">% of Initial Project Cost</t>
  </si>
  <si>
    <t xml:space="preserve">Admin and Operations Expenses</t>
  </si>
  <si>
    <t xml:space="preserve">  Engineered Equipment</t>
  </si>
  <si>
    <t xml:space="preserve">O&amp;M Fees plus capital exp.</t>
  </si>
  <si>
    <t xml:space="preserve">  Construction</t>
  </si>
  <si>
    <t xml:space="preserve">Total Fixed Escalating Cost</t>
  </si>
  <si>
    <t xml:space="preserve">  SCR</t>
  </si>
  <si>
    <t xml:space="preserve">FINANCING ASSUMPTIONS:</t>
  </si>
  <si>
    <t xml:space="preserve">  Dual Fuel </t>
  </si>
  <si>
    <t xml:space="preserve">DEBT</t>
  </si>
  <si>
    <t xml:space="preserve">Construction Loan</t>
  </si>
  <si>
    <t xml:space="preserve">Non-Escalated Costs:</t>
  </si>
  <si>
    <t xml:space="preserve">  Engineering Labor</t>
  </si>
  <si>
    <t xml:space="preserve">Debt Issued </t>
  </si>
  <si>
    <t xml:space="preserve">  Owner's Adder (With Switchyard, T-lines, Gas Lines)</t>
  </si>
  <si>
    <t xml:space="preserve">Treasury Rate as of:</t>
  </si>
  <si>
    <t xml:space="preserve">Property Tax</t>
  </si>
  <si>
    <t xml:space="preserve">  Startup</t>
  </si>
  <si>
    <t xml:space="preserve">Franchise Tax</t>
  </si>
  <si>
    <t xml:space="preserve">  Overhead &amp; Fees - Nepco</t>
  </si>
  <si>
    <t xml:space="preserve">Amount ('000 $)</t>
  </si>
  <si>
    <t xml:space="preserve">Gross Receipts Tax</t>
  </si>
  <si>
    <t xml:space="preserve">  Bulk Material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</si>
  <si>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</si>
  <si>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</si>
  <si>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</si>
  <si>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</si>
  <si>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</si>
  <si>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</si>
  <si>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</si>
  <si>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</si>
  <si>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Year</t>
  </si>
  <si>
    <t xml:space="preserve">Method</t>
  </si>
  <si>
    <t xml:space="preserve">Residual (%)</t>
  </si>
  <si>
    <t xml:space="preserve">  Fixed G&amp;A</t>
  </si>
  <si>
    <t xml:space="preserve">Spread (%)</t>
  </si>
  <si>
    <t xml:space="preserve">Federal &amp; State Tax Depreciation</t>
  </si>
  <si>
    <t xml:space="preserve">  EE&amp;CC Program Management</t>
  </si>
  <si>
    <t xml:space="preserve">All-In Rate (%)</t>
  </si>
  <si>
    <t xml:space="preserve">EPC Costs </t>
  </si>
  <si>
    <t xml:space="preserve">MACRS</t>
  </si>
  <si>
    <t xml:space="preserve">  Mobilization Expenses</t>
  </si>
  <si>
    <t xml:space="preserve">Start-Up Cost</t>
  </si>
  <si>
    <t xml:space="preserve">SL</t>
  </si>
  <si>
    <t xml:space="preserve">  Environmental Permitting</t>
  </si>
  <si>
    <t xml:space="preserve">Maximum DSR Amount (000 $)</t>
  </si>
  <si>
    <t xml:space="preserve">(months/year)</t>
  </si>
  <si>
    <t xml:space="preserve">Transaction Costs </t>
  </si>
  <si>
    <t xml:space="preserve">  Insurance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</si>
  <si>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</si>
  <si>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</si>
  <si>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</si>
  <si>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</si>
  <si>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</si>
  <si>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</si>
  <si>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</si>
  <si>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</si>
  <si>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</si>
  <si>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</si>
  <si>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t xml:space="preserve">  IDC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</si>
  <si>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</si>
  <si>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</si>
  <si>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Nepco Margin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</si>
  <si>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</si>
  <si>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</si>
  <si>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</si>
  <si>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Contingency</t>
  </si>
  <si>
    <t xml:space="preserve">State Income Tax Rate (average %)</t>
  </si>
  <si>
    <t xml:space="preserve">(Project Specific)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</si>
  <si>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</si>
  <si>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</si>
  <si>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</si>
  <si>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</si>
  <si>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Financing Costs:</t>
  </si>
  <si>
    <t xml:space="preserve">Capacity Charge ($/kW-mo.)</t>
  </si>
  <si>
    <t xml:space="preserve">Sales &amp; Used Tax Rate on Fuel (%)</t>
  </si>
  <si>
    <t xml:space="preserve">  Lender's Engineer</t>
  </si>
  <si>
    <t xml:space="preserve">Sales &amp; Used Tax Rate on Hard Cost (%)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</si>
  <si>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</si>
  <si>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</si>
  <si>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</si>
  <si>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</si>
  <si>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</si>
  <si>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</si>
  <si>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</si>
  <si>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</si>
  <si>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</si>
  <si>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</si>
  <si>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Evaporative Cooler (MW)</t>
  </si>
  <si>
    <t xml:space="preserve">Avg.</t>
  </si>
  <si>
    <t xml:space="preserve">Min</t>
  </si>
  <si>
    <t xml:space="preserve">Net Output (MW)</t>
  </si>
  <si>
    <t xml:space="preserve">No. of Starts per year</t>
  </si>
  <si>
    <t xml:space="preserve">Pre-Tax Enron Equity Returns</t>
  </si>
  <si>
    <t xml:space="preserve">IRR</t>
  </si>
  <si>
    <t xml:space="preserve">NPV</t>
  </si>
  <si>
    <t xml:space="preserve">Available PSIG</t>
  </si>
  <si>
    <t xml:space="preserve">20 Yrs After-Tax Cashflow with Zero Residual Value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</si>
  <si>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</si>
  <si>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</si>
  <si>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</si>
  <si>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</si>
  <si>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</si>
  <si>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</si>
  <si>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Combined Cycle</t>
  </si>
  <si>
    <t xml:space="preserve">Turbines</t>
  </si>
  <si>
    <t xml:space="preserve">MW's</t>
  </si>
  <si>
    <t xml:space="preserve">(000's)</t>
  </si>
  <si>
    <t xml:space="preserve">Project Management:</t>
  </si>
  <si>
    <t xml:space="preserve">  Home Office</t>
  </si>
  <si>
    <t xml:space="preserve">  Salaried Staff</t>
  </si>
  <si>
    <t xml:space="preserve">  Hourly Staff</t>
  </si>
  <si>
    <t xml:space="preserve">Indirect Costs:</t>
  </si>
  <si>
    <t xml:space="preserve">  Equipment Costs</t>
  </si>
  <si>
    <t xml:space="preserve">  Small Tools</t>
  </si>
  <si>
    <t xml:space="preserve">  Temp Facilities</t>
  </si>
  <si>
    <t xml:space="preserve">  GC Other</t>
  </si>
  <si>
    <t xml:space="preserve">  Per Diems</t>
  </si>
  <si>
    <t xml:space="preserve">  Tax/Bond</t>
  </si>
  <si>
    <t xml:space="preserve">Engineering:</t>
  </si>
  <si>
    <t xml:space="preserve">  Engr. Labor</t>
  </si>
  <si>
    <t xml:space="preserve">Procurement:</t>
  </si>
  <si>
    <t xml:space="preserve">  Major Equipment</t>
  </si>
  <si>
    <t xml:space="preserve">  CTG's</t>
  </si>
  <si>
    <t xml:space="preserve">  SCR's</t>
  </si>
  <si>
    <t xml:space="preserve">  Duel Fuel</t>
  </si>
  <si>
    <t xml:space="preserve">  HRSG's</t>
  </si>
  <si>
    <t xml:space="preserve">  STG - 75 MW</t>
  </si>
  <si>
    <t xml:space="preserve">Engineered Equipment</t>
  </si>
  <si>
    <t xml:space="preserve">  Buildings</t>
  </si>
  <si>
    <t xml:space="preserve">  Valves and specials</t>
  </si>
  <si>
    <t xml:space="preserve">  Bus Duct</t>
  </si>
  <si>
    <t xml:space="preserve">  Dry Transformers</t>
  </si>
  <si>
    <t xml:space="preserve">  Step-up transformers</t>
  </si>
  <si>
    <t xml:space="preserve">  Power Dist. Xformers</t>
  </si>
  <si>
    <t xml:space="preserve">  600V MCC</t>
  </si>
  <si>
    <t xml:space="preserve">  600V swgr</t>
  </si>
  <si>
    <t xml:space="preserve">  5kV swgr</t>
  </si>
  <si>
    <t xml:space="preserve">  15kV swgr</t>
  </si>
  <si>
    <t xml:space="preserve">  Control Panel</t>
  </si>
  <si>
    <t xml:space="preserve">  HV Device</t>
  </si>
  <si>
    <t xml:space="preserve">  DCS</t>
  </si>
  <si>
    <t xml:space="preserve">  UPS</t>
  </si>
  <si>
    <t xml:space="preserve">  Fld. Mntd Instr.</t>
  </si>
  <si>
    <t xml:space="preserve">  CEMS</t>
  </si>
  <si>
    <t xml:space="preserve">  Control Valves</t>
  </si>
  <si>
    <t xml:space="preserve">  Pumps</t>
  </si>
  <si>
    <t xml:space="preserve">  Cooling Tower</t>
  </si>
  <si>
    <t xml:space="preserve">  Fin Fan Coolers</t>
  </si>
  <si>
    <t xml:space="preserve">  APC equipment</t>
  </si>
  <si>
    <t xml:space="preserve">  Gas Compression</t>
  </si>
  <si>
    <t xml:space="preserve">  Fuel Gas Filter</t>
  </si>
  <si>
    <t xml:space="preserve">  Chillers</t>
  </si>
  <si>
    <t xml:space="preserve">  Water Treatment</t>
  </si>
  <si>
    <t xml:space="preserve">  Oil/Water Seperator</t>
  </si>
  <si>
    <t xml:space="preserve">  Vender Reps</t>
  </si>
  <si>
    <t xml:space="preserve">  Tank Farm/Oil Filter</t>
  </si>
  <si>
    <t xml:space="preserve">  FLD/shop vessels</t>
  </si>
  <si>
    <t xml:space="preserve">  Other</t>
  </si>
  <si>
    <t xml:space="preserve">Construction</t>
  </si>
  <si>
    <t xml:space="preserve">  site</t>
  </si>
  <si>
    <t xml:space="preserve">  u/g electrical</t>
  </si>
  <si>
    <t xml:space="preserve">  u/g piping</t>
  </si>
  <si>
    <t xml:space="preserve">  concrete</t>
  </si>
  <si>
    <t xml:space="preserve">  grout</t>
  </si>
  <si>
    <t xml:space="preserve">  steel</t>
  </si>
  <si>
    <t xml:space="preserve">  architectual</t>
  </si>
  <si>
    <t xml:space="preserve">  buildings</t>
  </si>
  <si>
    <t xml:space="preserve">  a/g piping</t>
  </si>
  <si>
    <t xml:space="preserve">  a/g eletrical</t>
  </si>
  <si>
    <t xml:space="preserve">  instrumentation</t>
  </si>
  <si>
    <t xml:space="preserve">  insulation</t>
  </si>
  <si>
    <t xml:space="preserve">  painting</t>
  </si>
  <si>
    <t xml:space="preserve">  mech. Equipment</t>
  </si>
  <si>
    <t xml:space="preserve">Startup</t>
  </si>
  <si>
    <t xml:space="preserve">  startup</t>
  </si>
  <si>
    <t xml:space="preserve">  oper training</t>
  </si>
  <si>
    <t xml:space="preserve">  initial fill/spares</t>
  </si>
  <si>
    <t xml:space="preserve">  manuels</t>
  </si>
  <si>
    <t xml:space="preserve">  startup support</t>
  </si>
  <si>
    <t xml:space="preserve">Warranty</t>
  </si>
  <si>
    <t xml:space="preserve">Owner Adds</t>
  </si>
  <si>
    <t xml:space="preserve">  sales and Used Tax</t>
  </si>
  <si>
    <t xml:space="preserve">  SCR air attemperation</t>
  </si>
  <si>
    <t xml:space="preserve">  Remote control</t>
  </si>
  <si>
    <t xml:space="preserve">  ENA Remote Monitoring</t>
  </si>
  <si>
    <t xml:space="preserve">  Switchyard</t>
  </si>
  <si>
    <t xml:space="preserve">  Transmission lines</t>
  </si>
  <si>
    <t xml:space="preserve">  Gas Line</t>
  </si>
  <si>
    <t xml:space="preserve">  Admin Buildings</t>
  </si>
  <si>
    <t xml:space="preserve">  Builders Risk</t>
  </si>
  <si>
    <t xml:space="preserve">Subtotal Costs</t>
  </si>
  <si>
    <t xml:space="preserve">Total Costs</t>
  </si>
  <si>
    <t xml:space="preserve">  Margin</t>
  </si>
  <si>
    <t xml:space="preserve">Total EPC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</si>
  <si>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</si>
  <si>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</si>
  <si>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</si>
  <si>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</si>
  <si>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</si>
  <si>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</si>
  <si>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</si>
  <si>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(Fuel Oil # 2 Curve)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</si>
  <si>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</si>
  <si>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</si>
  <si>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</si>
  <si>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</si>
  <si>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</si>
  <si>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</si>
  <si>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</si>
  <si>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</si>
  <si>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</si>
  <si>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</si>
  <si>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$/Mmbtu</t>
  </si>
  <si>
    <t xml:space="preserve">Avg. Annual</t>
  </si>
  <si>
    <t xml:space="preserve">Date</t>
  </si>
  <si>
    <t xml:space="preserve">Oil</t>
  </si>
  <si>
    <t xml:space="preserve">Price</t>
  </si>
  <si>
    <t xml:space="preserve">Florida Project Return Analysis</t>
  </si>
  <si>
    <t xml:space="preserve">Capacity Price</t>
  </si>
  <si>
    <t xml:space="preserve">Return</t>
  </si>
  <si>
    <t xml:space="preserve">NPV (000's)</t>
  </si>
  <si>
    <t xml:space="preserve">Plant starting June 2001 (SC)</t>
  </si>
  <si>
    <t xml:space="preserve">Desk's Current Capacity Price (Bid)</t>
  </si>
  <si>
    <t xml:space="preserve">12% Return Target</t>
  </si>
  <si>
    <t xml:space="preserve">12% Return Target (NPV Breakeven)</t>
  </si>
  <si>
    <t xml:space="preserve">30 Year SL with 10% Residual</t>
  </si>
  <si>
    <t xml:space="preserve">Notes:</t>
  </si>
  <si>
    <t xml:space="preserve">Pricing Starts Summer 2001 with 5-year term</t>
  </si>
  <si>
    <t xml:space="preserve">Total Project Cost (000's):</t>
  </si>
  <si>
    <t xml:space="preserve">Total Project Installed cost: (kW)</t>
  </si>
  <si>
    <t xml:space="preserve">Debt/Equity: 70%/30%</t>
  </si>
  <si>
    <t xml:space="preserve">8% Interest Rate with 20 Yr. Debt &amp; Amort.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</si>
  <si>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</si>
  <si>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</si>
  <si>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</si>
  <si>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</si>
  <si>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</si>
  <si>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</si>
  <si>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</si>
  <si>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</si>
  <si>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</si>
  <si>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</si>
  <si>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</si>
  <si>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Major Maintenance</t>
  </si>
  <si>
    <t xml:space="preserve">Insurance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</si>
  <si>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</si>
  <si>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</si>
  <si>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</si>
  <si>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</si>
  <si>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</si>
  <si>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</si>
  <si>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</si>
  <si>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</si>
  <si>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</si>
  <si>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</si>
  <si>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</si>
  <si>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</si>
  <si>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After Tax Free Cash Flow:</t>
  </si>
  <si>
    <t xml:space="preserve">Net Income + Depreciation</t>
  </si>
  <si>
    <t xml:space="preserve">  - Principal Payments</t>
  </si>
  <si>
    <t xml:space="preserve">  - CapEx or Working Capital Needs</t>
  </si>
  <si>
    <t xml:space="preserve">Free Cash Flow to Equity</t>
  </si>
  <si>
    <t xml:space="preserve">NPV @ 12%</t>
  </si>
  <si>
    <t xml:space="preserve">Total Project Cost</t>
  </si>
  <si>
    <t xml:space="preserve">Total Debt</t>
  </si>
  <si>
    <t xml:space="preserve">Debt Term (yrs)</t>
  </si>
  <si>
    <t xml:space="preserve">Debt (%)</t>
  </si>
  <si>
    <t xml:space="preserve">Equity (%)</t>
  </si>
  <si>
    <t xml:space="preserve">Rate (%)</t>
  </si>
  <si>
    <t xml:space="preserve">Princ Amort Sched (yrs)</t>
  </si>
  <si>
    <t xml:space="preserve">Equity ($)</t>
  </si>
  <si>
    <t xml:space="preserve">Capacity (MW)</t>
  </si>
  <si>
    <t xml:space="preserve">Capacity Pmt ($/kw-mo)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</si>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</sst>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_(\$* #,##0_);_(\$* \(#,##0\);_(\$* \-??_);_(@_)"/>
    <numFmt numFmtId="245" formatCode="#,##0.0_);[RED]\(#,##0.0\)"/>
    <numFmt numFmtId="246" formatCode="_(* #,##0_);_(* \(#,##0\);_(* \-??_);_(@_)"/>
    <numFmt numFmtId="247" formatCode="_(* #,##0.0_);_(* \(#,##0.0\);_(* \-??_);_(@_)"/>
    <numFmt numFmtId="248" formatCode="_(* #,##0.000_);_(* \(#,##0.000\);_(* \-??_);_(@_)"/>
    <numFmt numFmtId="249" formatCode="d\-mmm\-yy"/>
    <numFmt numFmtId="250" formatCode="0.00\x"/>
    <numFmt numFmtId="251" formatCode="0.000%"/>
    <numFmt numFmtId="252" formatCode="\$#,##0.00_);&quot;($&quot;#,##0.00\)"/>
    <numFmt numFmtId="253" formatCode="0.0"/>
    <numFmt numFmtId="254" formatCode="m/d/yy"/>
    <numFmt numFmtId="255" formatCode="[$-409]m/d/yyyy\ h:mm"/>
    <numFmt numFmtId="256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7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0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9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5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7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2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5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9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9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8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6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4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9720</xdr:rowOff>
        </xdr:from>
        <xdr:to>
          <xdr:col>9</xdr:col>
          <xdr:colOff>1440</xdr:colOff>
          <xdr:row>60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4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426</v>
      </c>
      <c r="B4" s="342"/>
      <c r="C4" s="342"/>
    </row>
    <row r="6" customFormat="false" ht="12.75" hidden="false" customHeight="false" outlineLevel="0" collapsed="false">
      <c r="C6" s="343" t="n">
        <v>0</v>
      </c>
      <c r="D6" s="344" t="n">
        <f aca="false">'Price_Technical Assumption'!D7</f>
        <v>0.666666666666667</v>
      </c>
      <c r="E6" s="344" t="n">
        <f aca="false">'Price_Technical Assumption'!E7</f>
        <v>1.66666666666667</v>
      </c>
      <c r="F6" s="344" t="n">
        <f aca="false">'Price_Technical Assumption'!F7</f>
        <v>2.66666666666667</v>
      </c>
      <c r="G6" s="344" t="n">
        <f aca="false">'Price_Technical Assumption'!G7</f>
        <v>3.66666666666667</v>
      </c>
      <c r="H6" s="344" t="n">
        <f aca="false">'Price_Technical Assumption'!H7</f>
        <v>4.66666666666667</v>
      </c>
      <c r="I6" s="344" t="n">
        <f aca="false">'Price_Technical Assumption'!I7</f>
        <v>5.66666666666667</v>
      </c>
      <c r="J6" s="344" t="n">
        <f aca="false">'Price_Technical Assumption'!J7</f>
        <v>6.66666666666667</v>
      </c>
      <c r="K6" s="344" t="n">
        <f aca="false">'Price_Technical Assumption'!K7</f>
        <v>7.66666666666667</v>
      </c>
      <c r="L6" s="344" t="n">
        <f aca="false">'Price_Technical Assumption'!L7</f>
        <v>8.66666666666667</v>
      </c>
      <c r="M6" s="344" t="n">
        <f aca="false">'Price_Technical Assumption'!M7</f>
        <v>9.66666666666667</v>
      </c>
      <c r="N6" s="344" t="n">
        <f aca="false">'Price_Technical Assumption'!N7</f>
        <v>10.6666666666667</v>
      </c>
      <c r="O6" s="344" t="n">
        <f aca="false">'Price_Technical Assumption'!O7</f>
        <v>11.6666666666667</v>
      </c>
      <c r="P6" s="344" t="n">
        <f aca="false">'Price_Technical Assumption'!P7</f>
        <v>12.6666666666667</v>
      </c>
      <c r="Q6" s="344" t="n">
        <f aca="false">'Price_Technical Assumption'!Q7</f>
        <v>13.6666666666667</v>
      </c>
      <c r="R6" s="344" t="n">
        <f aca="false">'Price_Technical Assumption'!R7</f>
        <v>14.6666666666667</v>
      </c>
      <c r="S6" s="344" t="n">
        <f aca="false">'Price_Technical Assumption'!S7</f>
        <v>15.6666666666667</v>
      </c>
      <c r="T6" s="344" t="n">
        <f aca="false">'Price_Technical Assumption'!T7</f>
        <v>16.6666666666667</v>
      </c>
      <c r="U6" s="344" t="n">
        <f aca="false">'Price_Technical Assumption'!U7</f>
        <v>17.6666666666667</v>
      </c>
      <c r="V6" s="344" t="n">
        <f aca="false">'Price_Technical Assumption'!V7</f>
        <v>18.6666666666667</v>
      </c>
      <c r="W6" s="344" t="n">
        <f aca="false">'Price_Technical Assumption'!W7</f>
        <v>19.6666666666667</v>
      </c>
      <c r="X6" s="344" t="n">
        <f aca="false">'Price_Technical Assumption'!X7</f>
        <v>20.6666666666667</v>
      </c>
      <c r="Y6" s="344" t="n">
        <f aca="false">'Price_Technical Assumption'!Y7</f>
        <v>21.6666666666667</v>
      </c>
      <c r="Z6" s="344" t="n">
        <f aca="false">'Price_Technical Assumption'!Z7</f>
        <v>22.6666666666667</v>
      </c>
      <c r="AA6" s="344" t="n">
        <f aca="false">'Price_Technical Assumption'!AA7</f>
        <v>23.6666666666667</v>
      </c>
      <c r="AB6" s="344" t="n">
        <f aca="false">'Price_Technical Assumption'!AB7</f>
        <v>24.6666666666667</v>
      </c>
      <c r="AC6" s="344" t="n">
        <f aca="false">'Price_Technical Assumption'!AC7</f>
        <v>25.6666666666667</v>
      </c>
      <c r="AD6" s="344" t="n">
        <f aca="false">'Price_Technical Assumption'!AD7</f>
        <v>26.6666666666667</v>
      </c>
      <c r="AE6" s="344" t="n">
        <f aca="false">'Price_Technical Assumption'!AE7</f>
        <v>27.6666666666667</v>
      </c>
      <c r="AF6" s="344" t="n">
        <f aca="false">'Price_Technical Assumption'!AF7</f>
        <v>28.6666666666667</v>
      </c>
      <c r="AG6" s="344" t="n">
        <f aca="false">'Price_Technical Assumption'!AG7</f>
        <v>29.6666666666667</v>
      </c>
      <c r="AH6" s="34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382</v>
      </c>
      <c r="B7" s="303"/>
      <c r="C7" s="345" t="s">
        <v>427</v>
      </c>
      <c r="D7" s="303" t="n">
        <f aca="false">'Price_Technical Assumption'!D8</f>
        <v>2001</v>
      </c>
      <c r="E7" s="303" t="n">
        <f aca="false">'Price_Technical Assumption'!E8</f>
        <v>2002</v>
      </c>
      <c r="F7" s="303" t="n">
        <f aca="false">'Price_Technical Assumption'!F8</f>
        <v>2003</v>
      </c>
      <c r="G7" s="303" t="n">
        <f aca="false">'Price_Technical Assumption'!G8</f>
        <v>2004</v>
      </c>
      <c r="H7" s="303" t="n">
        <f aca="false">'Price_Technical Assumption'!H8</f>
        <v>2005</v>
      </c>
      <c r="I7" s="303" t="n">
        <f aca="false">'Price_Technical Assumption'!I8</f>
        <v>2006</v>
      </c>
      <c r="J7" s="303" t="n">
        <f aca="false">'Price_Technical Assumption'!J8</f>
        <v>2007</v>
      </c>
      <c r="K7" s="303" t="n">
        <f aca="false">'Price_Technical Assumption'!K8</f>
        <v>2008</v>
      </c>
      <c r="L7" s="303" t="n">
        <f aca="false">'Price_Technical Assumption'!L8</f>
        <v>2009</v>
      </c>
      <c r="M7" s="303" t="n">
        <f aca="false">'Price_Technical Assumption'!M8</f>
        <v>2010</v>
      </c>
      <c r="N7" s="303" t="n">
        <f aca="false">'Price_Technical Assumption'!N8</f>
        <v>2011</v>
      </c>
      <c r="O7" s="303" t="n">
        <f aca="false">'Price_Technical Assumption'!O8</f>
        <v>2012</v>
      </c>
      <c r="P7" s="303" t="n">
        <f aca="false">'Price_Technical Assumption'!P8</f>
        <v>2013</v>
      </c>
      <c r="Q7" s="303" t="n">
        <f aca="false">'Price_Technical Assumption'!Q8</f>
        <v>2014</v>
      </c>
      <c r="R7" s="303" t="n">
        <f aca="false">'Price_Technical Assumption'!R8</f>
        <v>2015</v>
      </c>
      <c r="S7" s="303" t="n">
        <f aca="false">'Price_Technical Assumption'!S8</f>
        <v>2016</v>
      </c>
      <c r="T7" s="303" t="n">
        <f aca="false">'Price_Technical Assumption'!T8</f>
        <v>2017</v>
      </c>
      <c r="U7" s="303" t="n">
        <f aca="false">'Price_Technical Assumption'!U8</f>
        <v>2018</v>
      </c>
      <c r="V7" s="303" t="n">
        <f aca="false">'Price_Technical Assumption'!V8</f>
        <v>2019</v>
      </c>
      <c r="W7" s="303" t="n">
        <f aca="false">'Price_Technical Assumption'!W8</f>
        <v>2020</v>
      </c>
      <c r="X7" s="303" t="n">
        <f aca="false">'Price_Technical Assumption'!X8</f>
        <v>2021</v>
      </c>
      <c r="Y7" s="303" t="n">
        <f aca="false">'Price_Technical Assumption'!Y8</f>
        <v>2022</v>
      </c>
      <c r="Z7" s="303" t="n">
        <f aca="false">'Price_Technical Assumption'!Z8</f>
        <v>2023</v>
      </c>
      <c r="AA7" s="303" t="n">
        <f aca="false">'Price_Technical Assumption'!AA8</f>
        <v>2024</v>
      </c>
      <c r="AB7" s="303" t="n">
        <f aca="false">'Price_Technical Assumption'!AB8</f>
        <v>2025</v>
      </c>
      <c r="AC7" s="303" t="n">
        <f aca="false">'Price_Technical Assumption'!AC8</f>
        <v>2026</v>
      </c>
      <c r="AD7" s="303" t="n">
        <f aca="false">'Price_Technical Assumption'!AD8</f>
        <v>2027</v>
      </c>
      <c r="AE7" s="303" t="n">
        <f aca="false">'Price_Technical Assumption'!AE8</f>
        <v>2028</v>
      </c>
      <c r="AF7" s="303" t="n">
        <f aca="false">'Price_Technical Assumption'!AF8</f>
        <v>2029</v>
      </c>
      <c r="AG7" s="303" t="n">
        <f aca="false">'Price_Technical Assumption'!AG8</f>
        <v>2030</v>
      </c>
      <c r="AH7" s="303" t="n">
        <f aca="false">'Price_Technical Assumption'!AH8</f>
        <v>2031</v>
      </c>
    </row>
    <row r="8" customFormat="false" ht="12.75" hidden="false" customHeight="false" outlineLevel="0" collapsed="false">
      <c r="A8" s="304"/>
      <c r="C8" s="346"/>
      <c r="D8" s="347" t="n">
        <f aca="false">Assumptions!H17+365.25*Assumptions!H18/12</f>
        <v>37255.5</v>
      </c>
      <c r="E8" s="347" t="n">
        <f aca="false">D8+365.25</f>
        <v>37620.75</v>
      </c>
      <c r="F8" s="347" t="n">
        <f aca="false">E8+365.25</f>
        <v>37986</v>
      </c>
      <c r="G8" s="347" t="n">
        <f aca="false">F8+365.25</f>
        <v>38351.25</v>
      </c>
      <c r="H8" s="347" t="n">
        <f aca="false">G8+365.25</f>
        <v>38716.5</v>
      </c>
      <c r="I8" s="347" t="n">
        <f aca="false">H8+365.25</f>
        <v>39081.75</v>
      </c>
      <c r="J8" s="347" t="n">
        <f aca="false">I8+365.25</f>
        <v>39447</v>
      </c>
      <c r="K8" s="347" t="n">
        <f aca="false">J8+365.25</f>
        <v>39812.25</v>
      </c>
      <c r="L8" s="347" t="n">
        <f aca="false">K8+365.25</f>
        <v>40177.5</v>
      </c>
      <c r="M8" s="347" t="n">
        <f aca="false">L8+365.25</f>
        <v>40542.75</v>
      </c>
      <c r="N8" s="347" t="n">
        <f aca="false">M8+365.25</f>
        <v>40908</v>
      </c>
      <c r="O8" s="347" t="n">
        <f aca="false">N8+365.25</f>
        <v>41273.25</v>
      </c>
      <c r="P8" s="347" t="n">
        <f aca="false">O8+365.25</f>
        <v>41638.5</v>
      </c>
      <c r="Q8" s="347" t="n">
        <f aca="false">P8+365.25</f>
        <v>42003.75</v>
      </c>
      <c r="R8" s="347" t="n">
        <f aca="false">Q8+365.25</f>
        <v>42369</v>
      </c>
      <c r="S8" s="347" t="n">
        <f aca="false">R8+365.25</f>
        <v>42734.25</v>
      </c>
      <c r="T8" s="347" t="n">
        <f aca="false">S8+365.25</f>
        <v>43099.5</v>
      </c>
      <c r="U8" s="347" t="n">
        <f aca="false">T8+365.25</f>
        <v>43464.75</v>
      </c>
      <c r="V8" s="347" t="n">
        <f aca="false">U8+365.25</f>
        <v>43830</v>
      </c>
      <c r="W8" s="347" t="n">
        <f aca="false">V8+365.25</f>
        <v>44195.25</v>
      </c>
      <c r="X8" s="347" t="n">
        <f aca="false">W8+365.25</f>
        <v>44560.5</v>
      </c>
      <c r="Y8" s="347" t="n">
        <f aca="false">X8+365.25</f>
        <v>44925.75</v>
      </c>
      <c r="Z8" s="347" t="n">
        <f aca="false">Y8+365.25</f>
        <v>45291</v>
      </c>
      <c r="AA8" s="347" t="n">
        <f aca="false">Z8+365.25</f>
        <v>45656.25</v>
      </c>
      <c r="AB8" s="347" t="n">
        <f aca="false">AA8+365.25</f>
        <v>46021.5</v>
      </c>
      <c r="AC8" s="347" t="n">
        <f aca="false">AB8+365.25</f>
        <v>46386.75</v>
      </c>
      <c r="AD8" s="347" t="n">
        <f aca="false">AC8+365.25</f>
        <v>46752</v>
      </c>
      <c r="AE8" s="347" t="n">
        <f aca="false">AD8+365.25</f>
        <v>47117.25</v>
      </c>
      <c r="AF8" s="347" t="n">
        <f aca="false">AE8+365.25</f>
        <v>47482.5</v>
      </c>
      <c r="AG8" s="347" t="n">
        <f aca="false">AF8+365.25</f>
        <v>47847.75</v>
      </c>
      <c r="AH8" s="347" t="n">
        <f aca="false">AG8+365.25</f>
        <v>48213</v>
      </c>
    </row>
    <row r="9" customFormat="false" ht="12.75" hidden="false" customHeight="false" outlineLevel="0" collapsed="false">
      <c r="A9" s="306" t="s">
        <v>428</v>
      </c>
      <c r="B9" s="1"/>
      <c r="C9" s="348"/>
      <c r="D9" s="282"/>
      <c r="E9" s="282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</row>
    <row r="10" customFormat="false" ht="12.75" hidden="false" customHeight="false" outlineLevel="0" collapsed="false">
      <c r="A10" s="306"/>
      <c r="B10" s="1"/>
      <c r="C10" s="348"/>
      <c r="D10" s="282"/>
      <c r="E10" s="282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</row>
    <row r="11" customFormat="false" ht="12.75" hidden="false" customHeight="false" outlineLevel="0" collapsed="false">
      <c r="A11" s="188" t="s">
        <v>429</v>
      </c>
      <c r="B11" s="1"/>
      <c r="C11" s="350" t="n">
        <v>0</v>
      </c>
      <c r="D11" s="188" t="n">
        <v>0</v>
      </c>
      <c r="E11" s="188" t="n">
        <v>0</v>
      </c>
      <c r="F11" s="188" t="n">
        <v>0</v>
      </c>
      <c r="G11" s="188" t="n">
        <v>0</v>
      </c>
      <c r="H11" s="188" t="n">
        <v>0</v>
      </c>
      <c r="I11" s="188" t="n">
        <v>0</v>
      </c>
      <c r="J11" s="188" t="n">
        <v>0</v>
      </c>
      <c r="K11" s="188" t="n">
        <v>0</v>
      </c>
      <c r="L11" s="188" t="n">
        <v>0</v>
      </c>
      <c r="M11" s="188" t="n">
        <v>0</v>
      </c>
      <c r="N11" s="188" t="n">
        <v>0</v>
      </c>
      <c r="O11" s="188" t="n">
        <v>0</v>
      </c>
      <c r="P11" s="188" t="n">
        <v>0</v>
      </c>
      <c r="Q11" s="188" t="n">
        <v>0</v>
      </c>
      <c r="R11" s="188" t="n">
        <v>0</v>
      </c>
      <c r="S11" s="188" t="n">
        <v>0</v>
      </c>
      <c r="T11" s="188" t="n">
        <v>0</v>
      </c>
      <c r="U11" s="188" t="n">
        <v>0</v>
      </c>
      <c r="V11" s="188" t="n">
        <v>0</v>
      </c>
      <c r="W11" s="188" t="n">
        <v>0</v>
      </c>
      <c r="X11" s="188" t="n">
        <v>0</v>
      </c>
      <c r="Y11" s="188" t="n">
        <v>0</v>
      </c>
      <c r="Z11" s="188" t="n">
        <v>0</v>
      </c>
      <c r="AA11" s="188" t="n">
        <v>0</v>
      </c>
      <c r="AB11" s="188" t="n">
        <v>0</v>
      </c>
      <c r="AC11" s="188" t="n">
        <v>0</v>
      </c>
      <c r="AD11" s="188" t="n">
        <v>0</v>
      </c>
      <c r="AE11" s="188" t="n">
        <v>0</v>
      </c>
      <c r="AF11" s="188" t="n">
        <v>0</v>
      </c>
      <c r="AG11" s="188" t="n">
        <v>0</v>
      </c>
      <c r="AH11" s="188" t="n">
        <v>0</v>
      </c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</row>
    <row r="12" customFormat="false" ht="12.75" hidden="false" customHeight="false" outlineLevel="0" collapsed="false">
      <c r="A12" s="188" t="s">
        <v>430</v>
      </c>
      <c r="B12" s="1"/>
      <c r="C12" s="350" t="n">
        <v>0</v>
      </c>
      <c r="D12" s="188" t="n">
        <v>0</v>
      </c>
      <c r="E12" s="188" t="n">
        <v>0</v>
      </c>
      <c r="F12" s="188" t="n">
        <v>0</v>
      </c>
      <c r="G12" s="188" t="n">
        <v>0</v>
      </c>
      <c r="H12" s="188" t="n">
        <v>0</v>
      </c>
      <c r="I12" s="188" t="n">
        <v>0</v>
      </c>
      <c r="J12" s="188" t="n">
        <v>0</v>
      </c>
      <c r="K12" s="188" t="n">
        <v>0</v>
      </c>
      <c r="L12" s="188" t="n">
        <v>0</v>
      </c>
      <c r="M12" s="188" t="n">
        <v>0</v>
      </c>
      <c r="N12" s="188" t="n">
        <v>0</v>
      </c>
      <c r="O12" s="188" t="n">
        <v>0</v>
      </c>
      <c r="P12" s="188" t="n">
        <v>0</v>
      </c>
      <c r="Q12" s="188" t="n">
        <v>0</v>
      </c>
      <c r="R12" s="188" t="n">
        <v>0</v>
      </c>
      <c r="S12" s="188" t="n">
        <v>0</v>
      </c>
      <c r="T12" s="188" t="n">
        <v>0</v>
      </c>
      <c r="U12" s="188" t="n">
        <v>0</v>
      </c>
      <c r="V12" s="188" t="n">
        <v>0</v>
      </c>
      <c r="W12" s="188" t="n">
        <v>0</v>
      </c>
      <c r="X12" s="188" t="n">
        <v>0</v>
      </c>
      <c r="Y12" s="188" t="n">
        <v>0</v>
      </c>
      <c r="Z12" s="188" t="n">
        <v>0</v>
      </c>
      <c r="AA12" s="188" t="n">
        <v>0</v>
      </c>
      <c r="AB12" s="188" t="n">
        <v>0</v>
      </c>
      <c r="AC12" s="188" t="n">
        <v>0</v>
      </c>
      <c r="AD12" s="188" t="n">
        <v>0</v>
      </c>
      <c r="AE12" s="188" t="n">
        <v>0</v>
      </c>
      <c r="AF12" s="188" t="n">
        <v>0</v>
      </c>
      <c r="AG12" s="188" t="n">
        <v>0</v>
      </c>
      <c r="AH12" s="188" t="n">
        <v>0</v>
      </c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</row>
    <row r="13" customFormat="false" ht="12.75" hidden="false" customHeight="false" outlineLevel="0" collapsed="false">
      <c r="A13" s="188" t="s">
        <v>431</v>
      </c>
      <c r="B13" s="1"/>
      <c r="C13" s="350" t="n">
        <v>0</v>
      </c>
      <c r="D13" s="188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188" t="n">
        <v>0</v>
      </c>
      <c r="S13" s="188" t="n">
        <v>0</v>
      </c>
      <c r="T13" s="188" t="n">
        <v>0</v>
      </c>
      <c r="U13" s="188" t="n">
        <v>0</v>
      </c>
      <c r="V13" s="188" t="n">
        <v>0</v>
      </c>
      <c r="W13" s="188" t="n">
        <v>0</v>
      </c>
      <c r="X13" s="188" t="n">
        <v>0</v>
      </c>
      <c r="Y13" s="188" t="n">
        <v>0</v>
      </c>
      <c r="Z13" s="188" t="n">
        <v>0</v>
      </c>
      <c r="AA13" s="188" t="n">
        <v>0</v>
      </c>
      <c r="AB13" s="188" t="n">
        <v>0</v>
      </c>
      <c r="AC13" s="188" t="n">
        <v>0</v>
      </c>
      <c r="AD13" s="188" t="n">
        <v>0</v>
      </c>
      <c r="AE13" s="188" t="n">
        <v>0</v>
      </c>
      <c r="AF13" s="188" t="n">
        <v>0</v>
      </c>
      <c r="AG13" s="188" t="n">
        <v>0</v>
      </c>
      <c r="AH13" s="188" t="n">
        <v>0</v>
      </c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</row>
    <row r="14" customFormat="false" ht="12.75" hidden="false" customHeight="false" outlineLevel="0" collapsed="false">
      <c r="A14" s="188" t="s">
        <v>432</v>
      </c>
      <c r="B14" s="1"/>
      <c r="C14" s="350" t="n">
        <v>0</v>
      </c>
      <c r="D14" s="188" t="n">
        <v>0</v>
      </c>
      <c r="E14" s="188" t="n">
        <v>0</v>
      </c>
      <c r="F14" s="188" t="n">
        <v>0</v>
      </c>
      <c r="G14" s="188" t="n">
        <v>0</v>
      </c>
      <c r="H14" s="188" t="n">
        <v>0</v>
      </c>
      <c r="I14" s="188" t="n">
        <v>0</v>
      </c>
      <c r="J14" s="188" t="n">
        <v>0</v>
      </c>
      <c r="K14" s="188" t="n">
        <v>0</v>
      </c>
      <c r="L14" s="188" t="n">
        <v>0</v>
      </c>
      <c r="M14" s="188" t="n">
        <v>0</v>
      </c>
      <c r="N14" s="188" t="n">
        <v>0</v>
      </c>
      <c r="O14" s="188" t="n">
        <v>0</v>
      </c>
      <c r="P14" s="188" t="n">
        <v>0</v>
      </c>
      <c r="Q14" s="188" t="n">
        <v>0</v>
      </c>
      <c r="R14" s="188" t="n">
        <v>0</v>
      </c>
      <c r="S14" s="188" t="n">
        <v>0</v>
      </c>
      <c r="T14" s="188" t="n">
        <v>0</v>
      </c>
      <c r="U14" s="188" t="n">
        <v>0</v>
      </c>
      <c r="V14" s="188" t="n">
        <v>0</v>
      </c>
      <c r="W14" s="188" t="n">
        <v>0</v>
      </c>
      <c r="X14" s="188" t="n">
        <v>0</v>
      </c>
      <c r="Y14" s="188" t="n">
        <v>0</v>
      </c>
      <c r="Z14" s="188" t="n">
        <v>0</v>
      </c>
      <c r="AA14" s="188" t="n">
        <v>0</v>
      </c>
      <c r="AB14" s="188" t="n">
        <v>0</v>
      </c>
      <c r="AC14" s="188" t="n">
        <v>0</v>
      </c>
      <c r="AD14" s="188" t="n">
        <v>0</v>
      </c>
      <c r="AE14" s="188" t="n">
        <v>0</v>
      </c>
      <c r="AF14" s="188" t="n">
        <v>0</v>
      </c>
      <c r="AG14" s="188" t="n">
        <v>0</v>
      </c>
      <c r="AH14" s="188" t="n">
        <v>0</v>
      </c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</row>
    <row r="15" customFormat="false" ht="12.75" hidden="false" customHeight="false" outlineLevel="0" collapsed="false">
      <c r="A15" s="352" t="s">
        <v>433</v>
      </c>
      <c r="B15" s="121"/>
      <c r="C15" s="353" t="n">
        <v>0</v>
      </c>
      <c r="D15" s="352" t="n">
        <v>0</v>
      </c>
      <c r="E15" s="352" t="n">
        <v>0</v>
      </c>
      <c r="F15" s="352" t="n">
        <v>0</v>
      </c>
      <c r="G15" s="352" t="n">
        <v>0</v>
      </c>
      <c r="H15" s="352" t="n">
        <v>0</v>
      </c>
      <c r="I15" s="352" t="n">
        <v>0</v>
      </c>
      <c r="J15" s="352" t="n">
        <v>0</v>
      </c>
      <c r="K15" s="352" t="n">
        <v>0</v>
      </c>
      <c r="L15" s="352" t="n">
        <v>0</v>
      </c>
      <c r="M15" s="352" t="n">
        <v>0</v>
      </c>
      <c r="N15" s="352" t="n">
        <v>0</v>
      </c>
      <c r="O15" s="352" t="n">
        <v>0</v>
      </c>
      <c r="P15" s="352" t="n">
        <v>0</v>
      </c>
      <c r="Q15" s="352" t="n">
        <v>0</v>
      </c>
      <c r="R15" s="352" t="n">
        <v>0</v>
      </c>
      <c r="S15" s="352" t="n">
        <v>0</v>
      </c>
      <c r="T15" s="352" t="n">
        <v>0</v>
      </c>
      <c r="U15" s="352" t="n">
        <v>0</v>
      </c>
      <c r="V15" s="352" t="n">
        <v>0</v>
      </c>
      <c r="W15" s="352" t="n">
        <v>0</v>
      </c>
      <c r="X15" s="352" t="n">
        <v>0</v>
      </c>
      <c r="Y15" s="352" t="n">
        <v>0</v>
      </c>
      <c r="Z15" s="352" t="n">
        <v>0</v>
      </c>
      <c r="AA15" s="352" t="n">
        <v>0</v>
      </c>
      <c r="AB15" s="352" t="n">
        <v>0</v>
      </c>
      <c r="AC15" s="352" t="n">
        <v>0</v>
      </c>
      <c r="AD15" s="352" t="n">
        <v>0</v>
      </c>
      <c r="AE15" s="352" t="n">
        <v>0</v>
      </c>
      <c r="AF15" s="352" t="n">
        <v>0</v>
      </c>
      <c r="AG15" s="352" t="n">
        <v>0</v>
      </c>
      <c r="AH15" s="352" t="n">
        <v>0</v>
      </c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</row>
    <row r="16" customFormat="false" ht="12.75" hidden="false" customHeight="false" outlineLevel="0" collapsed="false">
      <c r="A16" s="188" t="s">
        <v>434</v>
      </c>
      <c r="B16" s="1"/>
      <c r="C16" s="350"/>
      <c r="D16" s="188" t="n">
        <f aca="false">SUM(D11:D15)</f>
        <v>0</v>
      </c>
      <c r="E16" s="188" t="n">
        <f aca="false">SUM(E11:E15)</f>
        <v>0</v>
      </c>
      <c r="F16" s="188" t="n">
        <f aca="false">SUM(F11:F15)</f>
        <v>0</v>
      </c>
      <c r="G16" s="188" t="n">
        <f aca="false">SUM(G11:G15)</f>
        <v>0</v>
      </c>
      <c r="H16" s="188" t="n">
        <f aca="false">SUM(H11:H15)</f>
        <v>0</v>
      </c>
      <c r="I16" s="188" t="n">
        <f aca="false">SUM(I11:I15)</f>
        <v>0</v>
      </c>
      <c r="J16" s="188" t="n">
        <f aca="false">SUM(J11:J15)</f>
        <v>0</v>
      </c>
      <c r="K16" s="188" t="n">
        <f aca="false">SUM(K11:K15)</f>
        <v>0</v>
      </c>
      <c r="L16" s="188" t="n">
        <f aca="false">SUM(L11:L15)</f>
        <v>0</v>
      </c>
      <c r="M16" s="188" t="n">
        <f aca="false">SUM(M11:M15)</f>
        <v>0</v>
      </c>
      <c r="N16" s="188" t="n">
        <f aca="false">SUM(N11:N15)</f>
        <v>0</v>
      </c>
      <c r="O16" s="188" t="n">
        <f aca="false">SUM(O11:O15)</f>
        <v>0</v>
      </c>
      <c r="P16" s="188" t="n">
        <f aca="false">SUM(P11:P15)</f>
        <v>0</v>
      </c>
      <c r="Q16" s="188" t="n">
        <f aca="false">SUM(Q11:Q15)</f>
        <v>0</v>
      </c>
      <c r="R16" s="188" t="n">
        <f aca="false">SUM(R11:R15)</f>
        <v>0</v>
      </c>
      <c r="S16" s="188" t="n">
        <f aca="false">SUM(S11:S15)</f>
        <v>0</v>
      </c>
      <c r="T16" s="188" t="n">
        <f aca="false">SUM(T11:T15)</f>
        <v>0</v>
      </c>
      <c r="U16" s="188" t="n">
        <f aca="false">SUM(U11:U15)</f>
        <v>0</v>
      </c>
      <c r="V16" s="188" t="n">
        <f aca="false">SUM(V11:V15)</f>
        <v>0</v>
      </c>
      <c r="W16" s="188" t="n">
        <f aca="false">SUM(W11:W15)</f>
        <v>0</v>
      </c>
      <c r="X16" s="188" t="n">
        <f aca="false">SUM(X11:X15)</f>
        <v>0</v>
      </c>
      <c r="Y16" s="188" t="n">
        <f aca="false">SUM(Y11:Y15)</f>
        <v>0</v>
      </c>
      <c r="Z16" s="188" t="n">
        <f aca="false">SUM(Z11:Z15)</f>
        <v>0</v>
      </c>
      <c r="AA16" s="188" t="n">
        <f aca="false">SUM(AA11:AA15)</f>
        <v>0</v>
      </c>
      <c r="AB16" s="188" t="n">
        <f aca="false">SUM(AB11:AB15)</f>
        <v>0</v>
      </c>
      <c r="AC16" s="188" t="n">
        <f aca="false">SUM(AC11:AC15)</f>
        <v>0</v>
      </c>
      <c r="AD16" s="188" t="n">
        <f aca="false">SUM(AD11:AD15)</f>
        <v>0</v>
      </c>
      <c r="AE16" s="188" t="n">
        <f aca="false">SUM(AE11:AE15)</f>
        <v>0</v>
      </c>
      <c r="AF16" s="188" t="n">
        <f aca="false">SUM(AF11:AF15)</f>
        <v>0</v>
      </c>
      <c r="AG16" s="188" t="n">
        <f aca="false">SUM(AG11:AG15)</f>
        <v>0</v>
      </c>
      <c r="AH16" s="188" t="n">
        <f aca="false">SUM(AH11:AH15)</f>
        <v>0</v>
      </c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1"/>
    </row>
    <row r="17" customFormat="false" ht="12.75" hidden="false" customHeight="false" outlineLevel="0" collapsed="false">
      <c r="A17" s="31"/>
      <c r="B17" s="1"/>
      <c r="C17" s="350"/>
      <c r="D17" s="188"/>
      <c r="E17" s="188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</row>
    <row r="18" customFormat="false" ht="12.75" hidden="false" customHeight="false" outlineLevel="0" collapsed="false">
      <c r="A18" s="188" t="s">
        <v>435</v>
      </c>
      <c r="B18" s="1"/>
      <c r="C18" s="350" t="n">
        <f aca="false">Assumptions!C60</f>
        <v>213517.673218267</v>
      </c>
      <c r="D18" s="188" t="n">
        <f aca="false">Depreciation!$B$48</f>
        <v>210119.983218267</v>
      </c>
      <c r="E18" s="188" t="n">
        <f aca="false">Depreciation!$B$48</f>
        <v>210119.983218267</v>
      </c>
      <c r="F18" s="188" t="n">
        <f aca="false">Depreciation!$B$48</f>
        <v>210119.983218267</v>
      </c>
      <c r="G18" s="188" t="n">
        <f aca="false">Depreciation!$B$48</f>
        <v>210119.983218267</v>
      </c>
      <c r="H18" s="188" t="n">
        <f aca="false">Depreciation!$B$48</f>
        <v>210119.983218267</v>
      </c>
      <c r="I18" s="188" t="n">
        <f aca="false">Depreciation!$B$48</f>
        <v>210119.983218267</v>
      </c>
      <c r="J18" s="188" t="n">
        <f aca="false">Depreciation!$B$48</f>
        <v>210119.983218267</v>
      </c>
      <c r="K18" s="188" t="n">
        <f aca="false">Depreciation!$B$48</f>
        <v>210119.983218267</v>
      </c>
      <c r="L18" s="188" t="n">
        <f aca="false">Depreciation!$B$48</f>
        <v>210119.983218267</v>
      </c>
      <c r="M18" s="188" t="n">
        <f aca="false">Depreciation!$B$48</f>
        <v>210119.983218267</v>
      </c>
      <c r="N18" s="188" t="n">
        <f aca="false">Depreciation!$B$48</f>
        <v>210119.983218267</v>
      </c>
      <c r="O18" s="188" t="n">
        <f aca="false">Depreciation!$B$48</f>
        <v>210119.983218267</v>
      </c>
      <c r="P18" s="188" t="n">
        <f aca="false">Depreciation!$B$48</f>
        <v>210119.983218267</v>
      </c>
      <c r="Q18" s="188" t="n">
        <f aca="false">Depreciation!$B$48</f>
        <v>210119.983218267</v>
      </c>
      <c r="R18" s="188" t="n">
        <f aca="false">Depreciation!$B$48</f>
        <v>210119.983218267</v>
      </c>
      <c r="S18" s="188" t="n">
        <f aca="false">Depreciation!$B$48</f>
        <v>210119.983218267</v>
      </c>
      <c r="T18" s="188" t="n">
        <f aca="false">Depreciation!$B$48</f>
        <v>210119.983218267</v>
      </c>
      <c r="U18" s="188" t="n">
        <f aca="false">Depreciation!$B$48</f>
        <v>210119.983218267</v>
      </c>
      <c r="V18" s="188" t="n">
        <f aca="false">Depreciation!$B$48</f>
        <v>210119.983218267</v>
      </c>
      <c r="W18" s="188" t="n">
        <f aca="false">Depreciation!$B$48</f>
        <v>210119.983218267</v>
      </c>
      <c r="X18" s="188" t="n">
        <f aca="false">Depreciation!$B$48</f>
        <v>210119.983218267</v>
      </c>
      <c r="Y18" s="188" t="n">
        <f aca="false">Depreciation!$B$48</f>
        <v>210119.983218267</v>
      </c>
      <c r="Z18" s="188" t="n">
        <f aca="false">Depreciation!$B$48</f>
        <v>210119.983218267</v>
      </c>
      <c r="AA18" s="188" t="n">
        <f aca="false">Depreciation!$B$48</f>
        <v>210119.983218267</v>
      </c>
      <c r="AB18" s="188" t="n">
        <f aca="false">Depreciation!$B$48</f>
        <v>210119.983218267</v>
      </c>
      <c r="AC18" s="188" t="n">
        <f aca="false">Depreciation!$B$48</f>
        <v>210119.983218267</v>
      </c>
      <c r="AD18" s="188" t="n">
        <f aca="false">Depreciation!$B$48</f>
        <v>210119.983218267</v>
      </c>
      <c r="AE18" s="188" t="n">
        <f aca="false">Depreciation!$B$48</f>
        <v>210119.983218267</v>
      </c>
      <c r="AF18" s="188" t="n">
        <f aca="false">Depreciation!$B$48</f>
        <v>210119.983218267</v>
      </c>
      <c r="AG18" s="188" t="n">
        <f aca="false">Depreciation!$B$48</f>
        <v>210119.983218267</v>
      </c>
      <c r="AH18" s="188" t="n">
        <f aca="false">Depreciation!$B$48</f>
        <v>210119.983218267</v>
      </c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1"/>
    </row>
    <row r="19" customFormat="false" ht="12.75" hidden="false" customHeight="false" outlineLevel="0" collapsed="false">
      <c r="A19" s="188" t="s">
        <v>436</v>
      </c>
      <c r="B19" s="31"/>
      <c r="C19" s="354" t="n">
        <v>0</v>
      </c>
      <c r="D19" s="355" t="n">
        <f aca="false">SUM(Depreciation!$D$48:D48)</f>
        <v>5733.43031203201</v>
      </c>
      <c r="E19" s="355" t="n">
        <f aca="false">SUM(Depreciation!$D$48:E48)</f>
        <v>14333.57578008</v>
      </c>
      <c r="F19" s="355" t="n">
        <f aca="false">SUM(Depreciation!$D$48:F48)</f>
        <v>22933.721248128</v>
      </c>
      <c r="G19" s="355" t="n">
        <f aca="false">SUM(Depreciation!$D$48:G48)</f>
        <v>31533.8667161761</v>
      </c>
      <c r="H19" s="355" t="n">
        <f aca="false">SUM(Depreciation!$D$48:H48)</f>
        <v>40134.0121842241</v>
      </c>
      <c r="I19" s="355" t="n">
        <f aca="false">SUM(Depreciation!$D$48:I48)</f>
        <v>46932.9451256054</v>
      </c>
      <c r="J19" s="355" t="n">
        <f aca="false">SUM(Depreciation!$D$48:J48)</f>
        <v>52831.2718036534</v>
      </c>
      <c r="K19" s="355" t="n">
        <f aca="false">SUM(Depreciation!$D$48:K48)</f>
        <v>58729.5984817014</v>
      </c>
      <c r="L19" s="355" t="n">
        <f aca="false">SUM(Depreciation!$D$48:L48)</f>
        <v>64627.9251597495</v>
      </c>
      <c r="M19" s="355" t="n">
        <f aca="false">SUM(Depreciation!$D$48:M48)</f>
        <v>70526.2518377975</v>
      </c>
      <c r="N19" s="355" t="n">
        <f aca="false">SUM(Depreciation!$D$48:N48)</f>
        <v>76424.5785158455</v>
      </c>
      <c r="O19" s="355" t="n">
        <f aca="false">SUM(Depreciation!$D$48:O48)</f>
        <v>82322.9051938935</v>
      </c>
      <c r="P19" s="355" t="n">
        <f aca="false">SUM(Depreciation!$D$48:P48)</f>
        <v>88221.2318719415</v>
      </c>
      <c r="Q19" s="355" t="n">
        <f aca="false">SUM(Depreciation!$D$48:Q48)</f>
        <v>94119.5585499895</v>
      </c>
      <c r="R19" s="355" t="n">
        <f aca="false">SUM(Depreciation!$D$48:R48)</f>
        <v>100017.885228038</v>
      </c>
      <c r="S19" s="355" t="n">
        <f aca="false">SUM(Depreciation!$D$48:S48)</f>
        <v>105916.211906086</v>
      </c>
      <c r="T19" s="355" t="n">
        <f aca="false">SUM(Depreciation!$D$48:T48)</f>
        <v>111814.538584134</v>
      </c>
      <c r="U19" s="355" t="n">
        <f aca="false">SUM(Depreciation!$D$48:U48)</f>
        <v>117712.865262182</v>
      </c>
      <c r="V19" s="355" t="n">
        <f aca="false">SUM(Depreciation!$D$48:V48)</f>
        <v>123611.19194023</v>
      </c>
      <c r="W19" s="355" t="n">
        <f aca="false">SUM(Depreciation!$D$48:W48)</f>
        <v>129509.518618278</v>
      </c>
      <c r="X19" s="355" t="n">
        <f aca="false">SUM(Depreciation!$D$48:X48)</f>
        <v>135407.845296326</v>
      </c>
      <c r="Y19" s="355" t="n">
        <f aca="false">SUM(Depreciation!$D$48:Y48)</f>
        <v>141306.171974374</v>
      </c>
      <c r="Z19" s="355" t="n">
        <f aca="false">SUM(Depreciation!$D$48:Z48)</f>
        <v>147204.498652422</v>
      </c>
      <c r="AA19" s="355" t="n">
        <f aca="false">SUM(Depreciation!$D$48:AA48)</f>
        <v>153102.82533047</v>
      </c>
      <c r="AB19" s="355" t="n">
        <f aca="false">SUM(Depreciation!$D$48:AB48)</f>
        <v>159001.152008518</v>
      </c>
      <c r="AC19" s="355" t="n">
        <f aca="false">SUM(Depreciation!$D$48:AC48)</f>
        <v>164899.478686566</v>
      </c>
      <c r="AD19" s="355" t="n">
        <f aca="false">SUM(Depreciation!$D$48:AD48)</f>
        <v>170797.805364614</v>
      </c>
      <c r="AE19" s="355" t="n">
        <f aca="false">SUM(Depreciation!$D$48:AE48)</f>
        <v>176696.132042662</v>
      </c>
      <c r="AF19" s="355" t="n">
        <f aca="false">SUM(Depreciation!$D$48:AF48)</f>
        <v>182594.45872071</v>
      </c>
      <c r="AG19" s="355" t="n">
        <f aca="false">SUM(Depreciation!$D$48:AG48)</f>
        <v>188492.785398758</v>
      </c>
      <c r="AH19" s="355" t="n">
        <f aca="false">SUM(Depreciation!$D$48:AH48)</f>
        <v>190458.89429144</v>
      </c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</row>
    <row r="20" customFormat="false" ht="12.75" hidden="false" customHeight="false" outlineLevel="0" collapsed="false">
      <c r="A20" s="188" t="s">
        <v>437</v>
      </c>
      <c r="B20" s="31"/>
      <c r="C20" s="350" t="n">
        <f aca="false">C18-C19</f>
        <v>213517.673218267</v>
      </c>
      <c r="D20" s="188" t="n">
        <f aca="false">D18-D19</f>
        <v>204386.552906235</v>
      </c>
      <c r="E20" s="188" t="n">
        <f aca="false">E18-E19</f>
        <v>195786.407438187</v>
      </c>
      <c r="F20" s="188" t="n">
        <f aca="false">F18-F19</f>
        <v>187186.261970139</v>
      </c>
      <c r="G20" s="188" t="n">
        <f aca="false">G18-G19</f>
        <v>178586.116502091</v>
      </c>
      <c r="H20" s="188" t="n">
        <f aca="false">H18-H19</f>
        <v>169985.971034043</v>
      </c>
      <c r="I20" s="188" t="n">
        <f aca="false">I18-I19</f>
        <v>163187.038092662</v>
      </c>
      <c r="J20" s="188" t="n">
        <f aca="false">J18-J19</f>
        <v>157288.711414614</v>
      </c>
      <c r="K20" s="188" t="n">
        <f aca="false">K18-K19</f>
        <v>151390.384736566</v>
      </c>
      <c r="L20" s="188" t="n">
        <f aca="false">L18-L19</f>
        <v>145492.058058518</v>
      </c>
      <c r="M20" s="188" t="n">
        <f aca="false">M18-M19</f>
        <v>139593.73138047</v>
      </c>
      <c r="N20" s="188" t="n">
        <f aca="false">N18-N19</f>
        <v>133695.404702422</v>
      </c>
      <c r="O20" s="188" t="n">
        <f aca="false">O18-O19</f>
        <v>127797.078024374</v>
      </c>
      <c r="P20" s="188" t="n">
        <f aca="false">P18-P19</f>
        <v>121898.751346326</v>
      </c>
      <c r="Q20" s="188" t="n">
        <f aca="false">Q18-Q19</f>
        <v>116000.424668278</v>
      </c>
      <c r="R20" s="188" t="n">
        <f aca="false">R18-R19</f>
        <v>110102.09799023</v>
      </c>
      <c r="S20" s="188" t="n">
        <f aca="false">S18-S19</f>
        <v>104203.771312182</v>
      </c>
      <c r="T20" s="188" t="n">
        <f aca="false">T18-T19</f>
        <v>98305.4446341336</v>
      </c>
      <c r="U20" s="188" t="n">
        <f aca="false">U18-U19</f>
        <v>92407.1179560856</v>
      </c>
      <c r="V20" s="188" t="n">
        <f aca="false">V18-V19</f>
        <v>86508.7912780376</v>
      </c>
      <c r="W20" s="188" t="n">
        <f aca="false">W18-W19</f>
        <v>80610.4645999895</v>
      </c>
      <c r="X20" s="188" t="n">
        <f aca="false">X18-X19</f>
        <v>74712.1379219415</v>
      </c>
      <c r="Y20" s="188" t="n">
        <f aca="false">Y18-Y19</f>
        <v>68813.8112438935</v>
      </c>
      <c r="Z20" s="188" t="n">
        <f aca="false">Z18-Z19</f>
        <v>62915.4845658455</v>
      </c>
      <c r="AA20" s="188" t="n">
        <f aca="false">AA18-AA19</f>
        <v>57017.1578877975</v>
      </c>
      <c r="AB20" s="188" t="n">
        <f aca="false">AB18-AB19</f>
        <v>51118.8312097495</v>
      </c>
      <c r="AC20" s="188" t="n">
        <f aca="false">AC18-AC19</f>
        <v>45220.5045317014</v>
      </c>
      <c r="AD20" s="188" t="n">
        <f aca="false">AD18-AD19</f>
        <v>39322.1778536534</v>
      </c>
      <c r="AE20" s="188" t="n">
        <f aca="false">AE18-AE19</f>
        <v>33423.8511756054</v>
      </c>
      <c r="AF20" s="188" t="n">
        <f aca="false">AF18-AF19</f>
        <v>27525.5244975574</v>
      </c>
      <c r="AG20" s="188" t="n">
        <f aca="false">AG18-AG19</f>
        <v>21627.1978195094</v>
      </c>
      <c r="AH20" s="188" t="n">
        <f aca="false">AH18-AH19</f>
        <v>19661.0889268267</v>
      </c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</row>
    <row r="21" customFormat="false" ht="12.75" hidden="false" customHeight="false" outlineLevel="0" collapsed="false">
      <c r="A21" s="188"/>
      <c r="B21" s="31"/>
      <c r="C21" s="350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</row>
    <row r="22" customFormat="false" ht="12.75" hidden="false" customHeight="false" outlineLevel="0" collapsed="false">
      <c r="A22" s="188" t="s">
        <v>438</v>
      </c>
      <c r="B22" s="31"/>
      <c r="C22" s="350" t="n">
        <f aca="false">Assumptions!$C$49</f>
        <v>5687.128</v>
      </c>
      <c r="D22" s="188" t="n">
        <f aca="false">Assumptions!$C$49</f>
        <v>5687.128</v>
      </c>
      <c r="E22" s="188" t="n">
        <f aca="false">Assumptions!$C$49</f>
        <v>5687.128</v>
      </c>
      <c r="F22" s="188" t="n">
        <f aca="false">Assumptions!$C$49</f>
        <v>5687.128</v>
      </c>
      <c r="G22" s="188" t="n">
        <f aca="false">Assumptions!$C$49</f>
        <v>5687.128</v>
      </c>
      <c r="H22" s="188" t="n">
        <f aca="false">Assumptions!$C$49</f>
        <v>5687.128</v>
      </c>
      <c r="I22" s="188" t="n">
        <f aca="false">Assumptions!$C$49</f>
        <v>5687.128</v>
      </c>
      <c r="J22" s="188" t="n">
        <f aca="false">Assumptions!$C$49</f>
        <v>5687.128</v>
      </c>
      <c r="K22" s="188" t="n">
        <f aca="false">Assumptions!$C$49</f>
        <v>5687.128</v>
      </c>
      <c r="L22" s="188" t="n">
        <f aca="false">Assumptions!$C$49</f>
        <v>5687.128</v>
      </c>
      <c r="M22" s="188" t="n">
        <f aca="false">Assumptions!$C$49</f>
        <v>5687.128</v>
      </c>
      <c r="N22" s="188" t="n">
        <f aca="false">Assumptions!$C$49</f>
        <v>5687.128</v>
      </c>
      <c r="O22" s="188" t="n">
        <f aca="false">Assumptions!$C$49</f>
        <v>5687.128</v>
      </c>
      <c r="P22" s="188" t="n">
        <f aca="false">Assumptions!$C$49</f>
        <v>5687.128</v>
      </c>
      <c r="Q22" s="188" t="n">
        <f aca="false">Assumptions!$C$49</f>
        <v>5687.128</v>
      </c>
      <c r="R22" s="188" t="n">
        <f aca="false">Assumptions!$C$49</f>
        <v>5687.128</v>
      </c>
      <c r="S22" s="188" t="n">
        <f aca="false">Assumptions!$C$49</f>
        <v>5687.128</v>
      </c>
      <c r="T22" s="188" t="n">
        <f aca="false">Assumptions!$C$49</f>
        <v>5687.128</v>
      </c>
      <c r="U22" s="188" t="n">
        <f aca="false">Assumptions!$C$49</f>
        <v>5687.128</v>
      </c>
      <c r="V22" s="188" t="n">
        <f aca="false">Assumptions!$C$49</f>
        <v>5687.128</v>
      </c>
      <c r="W22" s="188" t="n">
        <f aca="false">Assumptions!$C$49</f>
        <v>5687.128</v>
      </c>
      <c r="X22" s="188" t="n">
        <f aca="false">Assumptions!$C$49</f>
        <v>5687.128</v>
      </c>
      <c r="Y22" s="188" t="n">
        <f aca="false">Assumptions!$C$49</f>
        <v>5687.128</v>
      </c>
      <c r="Z22" s="188" t="n">
        <f aca="false">Assumptions!$C$49</f>
        <v>5687.128</v>
      </c>
      <c r="AA22" s="188" t="n">
        <f aca="false">Assumptions!$C$49</f>
        <v>5687.128</v>
      </c>
      <c r="AB22" s="188" t="n">
        <f aca="false">Assumptions!$C$49</f>
        <v>5687.128</v>
      </c>
      <c r="AC22" s="188" t="n">
        <f aca="false">Assumptions!$C$49</f>
        <v>5687.128</v>
      </c>
      <c r="AD22" s="188" t="n">
        <f aca="false">Assumptions!$C$49</f>
        <v>5687.128</v>
      </c>
      <c r="AE22" s="188" t="n">
        <f aca="false">Assumptions!$C$49</f>
        <v>5687.128</v>
      </c>
      <c r="AF22" s="188" t="n">
        <f aca="false">Assumptions!$C$49</f>
        <v>5687.128</v>
      </c>
      <c r="AG22" s="188" t="n">
        <f aca="false">Assumptions!$C$49</f>
        <v>5687.128</v>
      </c>
      <c r="AH22" s="188" t="n">
        <f aca="false">Assumptions!$C$49</f>
        <v>5687.128</v>
      </c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</row>
    <row r="23" customFormat="false" ht="12.75" hidden="false" customHeight="false" outlineLevel="0" collapsed="false">
      <c r="A23" s="188" t="s">
        <v>439</v>
      </c>
      <c r="B23" s="31"/>
      <c r="C23" s="354" t="n">
        <v>0</v>
      </c>
      <c r="D23" s="355" t="n">
        <v>0</v>
      </c>
      <c r="E23" s="355" t="n">
        <v>0</v>
      </c>
      <c r="F23" s="355" t="n">
        <v>0</v>
      </c>
      <c r="G23" s="355" t="n">
        <v>0</v>
      </c>
      <c r="H23" s="355" t="n">
        <v>0</v>
      </c>
      <c r="I23" s="355" t="n">
        <v>0</v>
      </c>
      <c r="J23" s="355" t="n">
        <v>0</v>
      </c>
      <c r="K23" s="355" t="n">
        <v>0</v>
      </c>
      <c r="L23" s="355" t="n">
        <v>0</v>
      </c>
      <c r="M23" s="355" t="n">
        <v>0</v>
      </c>
      <c r="N23" s="355" t="n">
        <v>0</v>
      </c>
      <c r="O23" s="355" t="n">
        <v>0</v>
      </c>
      <c r="P23" s="355" t="n">
        <v>0</v>
      </c>
      <c r="Q23" s="355" t="n">
        <v>0</v>
      </c>
      <c r="R23" s="355" t="n">
        <v>0</v>
      </c>
      <c r="S23" s="355" t="n">
        <v>0</v>
      </c>
      <c r="T23" s="355" t="n">
        <v>0</v>
      </c>
      <c r="U23" s="355" t="n">
        <v>0</v>
      </c>
      <c r="V23" s="355" t="n">
        <v>0</v>
      </c>
      <c r="W23" s="355" t="n">
        <v>0</v>
      </c>
      <c r="X23" s="355" t="n">
        <v>0</v>
      </c>
      <c r="Y23" s="355" t="n">
        <v>0</v>
      </c>
      <c r="Z23" s="355" t="n">
        <v>0</v>
      </c>
      <c r="AA23" s="355" t="n">
        <v>0</v>
      </c>
      <c r="AB23" s="355" t="n">
        <v>0</v>
      </c>
      <c r="AC23" s="355" t="n">
        <v>0</v>
      </c>
      <c r="AD23" s="355" t="n">
        <v>0</v>
      </c>
      <c r="AE23" s="355" t="n">
        <v>0</v>
      </c>
      <c r="AF23" s="355" t="n">
        <v>0</v>
      </c>
      <c r="AG23" s="355" t="n">
        <v>0</v>
      </c>
      <c r="AH23" s="355" t="n">
        <v>0</v>
      </c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1"/>
      <c r="BE23" s="351"/>
      <c r="BF23" s="351"/>
      <c r="BG23" s="351"/>
      <c r="BH23" s="351"/>
    </row>
    <row r="24" customFormat="false" ht="12.75" hidden="false" customHeight="false" outlineLevel="0" collapsed="false">
      <c r="A24" s="31"/>
      <c r="B24" s="31"/>
      <c r="C24" s="350"/>
      <c r="D24" s="188"/>
      <c r="E24" s="188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</row>
    <row r="25" customFormat="false" ht="12.75" hidden="false" customHeight="false" outlineLevel="0" collapsed="false">
      <c r="A25" s="356" t="s">
        <v>440</v>
      </c>
      <c r="B25" s="31"/>
      <c r="C25" s="350" t="n">
        <f aca="false">SUM(C16,C20,C22,C23)</f>
        <v>219204.801218267</v>
      </c>
      <c r="D25" s="188" t="n">
        <f aca="false">SUM(D16,D20,D22,D23)</f>
        <v>210073.680906235</v>
      </c>
      <c r="E25" s="188" t="n">
        <f aca="false">SUM(E16,E20,E22,E23)</f>
        <v>201473.535438187</v>
      </c>
      <c r="F25" s="188" t="n">
        <f aca="false">SUM(F16,F20,F22,F23)</f>
        <v>192873.389970139</v>
      </c>
      <c r="G25" s="188" t="n">
        <f aca="false">SUM(G16,G20,G22,G23)</f>
        <v>184273.244502091</v>
      </c>
      <c r="H25" s="188" t="n">
        <f aca="false">SUM(H16,H20,H22,H23)</f>
        <v>175673.099034043</v>
      </c>
      <c r="I25" s="188" t="n">
        <f aca="false">SUM(I16,I20,I22,I23)</f>
        <v>168874.166092662</v>
      </c>
      <c r="J25" s="188" t="n">
        <f aca="false">SUM(J16,J20,J22,J23)</f>
        <v>162975.839414614</v>
      </c>
      <c r="K25" s="188" t="n">
        <f aca="false">SUM(K16,K20,K22,K23)</f>
        <v>157077.512736566</v>
      </c>
      <c r="L25" s="188" t="n">
        <f aca="false">SUM(L16,L20,L22,L23)</f>
        <v>151179.186058518</v>
      </c>
      <c r="M25" s="188" t="n">
        <f aca="false">SUM(M16,M20,M22,M23)</f>
        <v>145280.85938047</v>
      </c>
      <c r="N25" s="188" t="n">
        <f aca="false">SUM(N16,N20,N22,N23)</f>
        <v>139382.532702422</v>
      </c>
      <c r="O25" s="188" t="n">
        <f aca="false">SUM(O16,O20,O22,O23)</f>
        <v>133484.206024374</v>
      </c>
      <c r="P25" s="188" t="n">
        <f aca="false">SUM(P16,P20,P22,P23)</f>
        <v>127585.879346326</v>
      </c>
      <c r="Q25" s="188" t="n">
        <f aca="false">SUM(Q16,Q20,Q22,Q23)</f>
        <v>121687.552668278</v>
      </c>
      <c r="R25" s="188" t="n">
        <f aca="false">SUM(R16,R20,R22,R23)</f>
        <v>115789.22599023</v>
      </c>
      <c r="S25" s="188" t="n">
        <f aca="false">SUM(S16,S20,S22,S23)</f>
        <v>109890.899312182</v>
      </c>
      <c r="T25" s="188" t="n">
        <f aca="false">SUM(T16,T20,T22,T23)</f>
        <v>103992.572634134</v>
      </c>
      <c r="U25" s="188" t="n">
        <f aca="false">SUM(U16,U20,U22,U23)</f>
        <v>98094.2459560856</v>
      </c>
      <c r="V25" s="188" t="n">
        <f aca="false">SUM(V16,V20,V22,V23)</f>
        <v>92195.9192780376</v>
      </c>
      <c r="W25" s="188" t="n">
        <f aca="false">SUM(W16,W20,W22,W23)</f>
        <v>86297.5925999895</v>
      </c>
      <c r="X25" s="188" t="n">
        <f aca="false">SUM(X16,X20,X22,X23)</f>
        <v>80399.2659219415</v>
      </c>
      <c r="Y25" s="188" t="n">
        <f aca="false">SUM(Y16,Y20,Y22,Y23)</f>
        <v>74500.9392438935</v>
      </c>
      <c r="Z25" s="188" t="n">
        <f aca="false">SUM(Z16,Z20,Z22,Z23)</f>
        <v>68602.6125658455</v>
      </c>
      <c r="AA25" s="188" t="n">
        <f aca="false">SUM(AA16,AA20,AA22,AA23)</f>
        <v>62704.2858877975</v>
      </c>
      <c r="AB25" s="188" t="n">
        <f aca="false">SUM(AB16,AB20,AB22,AB23)</f>
        <v>56805.9592097495</v>
      </c>
      <c r="AC25" s="188" t="n">
        <f aca="false">SUM(AC16,AC20,AC22,AC23)</f>
        <v>50907.6325317014</v>
      </c>
      <c r="AD25" s="188" t="n">
        <f aca="false">SUM(AD16,AD20,AD22,AD23)</f>
        <v>45009.3058536534</v>
      </c>
      <c r="AE25" s="188" t="n">
        <f aca="false">SUM(AE16,AE20,AE22,AE23)</f>
        <v>39110.9791756054</v>
      </c>
      <c r="AF25" s="188" t="n">
        <f aca="false">SUM(AF16,AF20,AF22,AF23)</f>
        <v>33212.6524975574</v>
      </c>
      <c r="AG25" s="188" t="n">
        <f aca="false">SUM(AG16,AG20,AG22,AG23)</f>
        <v>27314.3258195094</v>
      </c>
      <c r="AH25" s="188" t="n">
        <f aca="false">SUM(AH16,AH20,AH22,AH23)</f>
        <v>25348.2169268267</v>
      </c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  <c r="BH25" s="351"/>
    </row>
    <row r="26" customFormat="false" ht="12.75" hidden="false" customHeight="false" outlineLevel="0" collapsed="false">
      <c r="A26" s="31"/>
      <c r="B26" s="31"/>
      <c r="C26" s="350"/>
      <c r="D26" s="188"/>
      <c r="E26" s="188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</row>
    <row r="27" customFormat="false" ht="12.75" hidden="false" customHeight="false" outlineLevel="0" collapsed="false">
      <c r="A27" s="31"/>
      <c r="B27" s="31"/>
      <c r="C27" s="350"/>
      <c r="D27" s="188"/>
      <c r="E27" s="188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/>
      <c r="AW27" s="351"/>
      <c r="AX27" s="351"/>
      <c r="AY27" s="351"/>
      <c r="AZ27" s="351"/>
      <c r="BA27" s="351"/>
      <c r="BB27" s="351"/>
      <c r="BC27" s="351"/>
      <c r="BD27" s="351"/>
      <c r="BE27" s="351"/>
      <c r="BF27" s="351"/>
      <c r="BG27" s="351"/>
      <c r="BH27" s="351"/>
    </row>
    <row r="28" customFormat="false" ht="12.75" hidden="false" customHeight="false" outlineLevel="0" collapsed="false">
      <c r="A28" s="356" t="s">
        <v>441</v>
      </c>
      <c r="B28" s="31"/>
      <c r="C28" s="350"/>
      <c r="D28" s="188"/>
      <c r="E28" s="188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</row>
    <row r="29" customFormat="false" ht="12.75" hidden="false" customHeight="false" outlineLevel="0" collapsed="false">
      <c r="A29" s="356"/>
      <c r="B29" s="31"/>
      <c r="C29" s="350"/>
      <c r="D29" s="188"/>
      <c r="E29" s="188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</row>
    <row r="30" customFormat="false" ht="12.75" hidden="false" customHeight="false" outlineLevel="0" collapsed="false">
      <c r="A30" s="188" t="s">
        <v>442</v>
      </c>
      <c r="C30" s="350" t="n">
        <v>0</v>
      </c>
      <c r="D30" s="188" t="n">
        <v>0</v>
      </c>
      <c r="E30" s="188" t="n">
        <v>0</v>
      </c>
      <c r="F30" s="188" t="n">
        <v>0</v>
      </c>
      <c r="G30" s="188" t="n">
        <v>0</v>
      </c>
      <c r="H30" s="188" t="n">
        <v>0</v>
      </c>
      <c r="I30" s="188" t="n">
        <v>0</v>
      </c>
      <c r="J30" s="188" t="n">
        <v>0</v>
      </c>
      <c r="K30" s="188" t="n">
        <v>0</v>
      </c>
      <c r="L30" s="188" t="n">
        <v>0</v>
      </c>
      <c r="M30" s="188" t="n">
        <v>0</v>
      </c>
      <c r="N30" s="188" t="n">
        <v>0</v>
      </c>
      <c r="O30" s="188" t="n">
        <v>0</v>
      </c>
      <c r="P30" s="188" t="n">
        <v>0</v>
      </c>
      <c r="Q30" s="188" t="n">
        <v>0</v>
      </c>
      <c r="R30" s="188" t="n">
        <v>0</v>
      </c>
      <c r="S30" s="188" t="n">
        <v>0</v>
      </c>
      <c r="T30" s="188" t="n">
        <v>0</v>
      </c>
      <c r="U30" s="188" t="n">
        <v>0</v>
      </c>
      <c r="V30" s="188" t="n">
        <v>0</v>
      </c>
      <c r="W30" s="188" t="n">
        <v>0</v>
      </c>
      <c r="X30" s="188" t="n">
        <v>0</v>
      </c>
      <c r="Y30" s="188" t="n">
        <v>0</v>
      </c>
      <c r="Z30" s="188" t="n">
        <v>0</v>
      </c>
      <c r="AA30" s="188" t="n">
        <v>0</v>
      </c>
      <c r="AB30" s="188" t="n">
        <v>0</v>
      </c>
      <c r="AC30" s="188" t="n">
        <v>0</v>
      </c>
      <c r="AD30" s="188" t="n">
        <v>0</v>
      </c>
      <c r="AE30" s="188" t="n">
        <v>0</v>
      </c>
      <c r="AF30" s="188" t="n">
        <v>0</v>
      </c>
      <c r="AG30" s="188" t="n">
        <v>0</v>
      </c>
      <c r="AH30" s="188" t="n">
        <v>0</v>
      </c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1"/>
    </row>
    <row r="31" customFormat="false" ht="12.75" hidden="false" customHeight="false" outlineLevel="0" collapsed="false">
      <c r="A31" s="188" t="s">
        <v>443</v>
      </c>
      <c r="C31" s="350" t="n">
        <v>0</v>
      </c>
      <c r="D31" s="188" t="n">
        <v>0</v>
      </c>
      <c r="E31" s="188" t="n">
        <v>0</v>
      </c>
      <c r="F31" s="188" t="n">
        <v>0</v>
      </c>
      <c r="G31" s="188" t="n">
        <v>0</v>
      </c>
      <c r="H31" s="188" t="n">
        <v>0</v>
      </c>
      <c r="I31" s="188" t="n">
        <v>0</v>
      </c>
      <c r="J31" s="188" t="n">
        <v>0</v>
      </c>
      <c r="K31" s="188" t="n">
        <v>0</v>
      </c>
      <c r="L31" s="188" t="n">
        <v>0</v>
      </c>
      <c r="M31" s="188" t="n">
        <v>0</v>
      </c>
      <c r="N31" s="188" t="n">
        <v>0</v>
      </c>
      <c r="O31" s="188" t="n">
        <v>0</v>
      </c>
      <c r="P31" s="188" t="n">
        <v>0</v>
      </c>
      <c r="Q31" s="188" t="n">
        <v>0</v>
      </c>
      <c r="R31" s="188" t="n">
        <v>0</v>
      </c>
      <c r="S31" s="188" t="n">
        <v>0</v>
      </c>
      <c r="T31" s="188" t="n">
        <v>0</v>
      </c>
      <c r="U31" s="188" t="n">
        <v>0</v>
      </c>
      <c r="V31" s="188" t="n">
        <v>0</v>
      </c>
      <c r="W31" s="188" t="n">
        <v>0</v>
      </c>
      <c r="X31" s="188" t="n">
        <v>0</v>
      </c>
      <c r="Y31" s="188" t="n">
        <v>0</v>
      </c>
      <c r="Z31" s="188" t="n">
        <v>0</v>
      </c>
      <c r="AA31" s="188" t="n">
        <v>0</v>
      </c>
      <c r="AB31" s="188" t="n">
        <v>0</v>
      </c>
      <c r="AC31" s="188" t="n">
        <v>0</v>
      </c>
      <c r="AD31" s="188" t="n">
        <v>0</v>
      </c>
      <c r="AE31" s="188" t="n">
        <v>0</v>
      </c>
      <c r="AF31" s="188" t="n">
        <v>0</v>
      </c>
      <c r="AG31" s="188" t="n">
        <v>0</v>
      </c>
      <c r="AH31" s="188" t="n">
        <v>0</v>
      </c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</row>
    <row r="32" customFormat="false" ht="12.75" hidden="false" customHeight="false" outlineLevel="0" collapsed="false">
      <c r="A32" s="188" t="s">
        <v>444</v>
      </c>
      <c r="C32" s="350" t="n">
        <v>0</v>
      </c>
      <c r="D32" s="188" t="e">
        <f aca="false">C32+('Returns Analysis'!C15+#REF!)+(IS!C42+IS!C43)</f>
        <v>#REF!</v>
      </c>
      <c r="E32" s="188" t="e">
        <f aca="false">D32+('Returns Analysis'!D15+#REF!)+(IS!D42+IS!D43)</f>
        <v>#REF!</v>
      </c>
      <c r="F32" s="188" t="e">
        <f aca="false">E32+('Returns Analysis'!E15+#REF!)+(IS!E42+IS!E43)</f>
        <v>#REF!</v>
      </c>
      <c r="G32" s="188" t="e">
        <f aca="false">F32+('Returns Analysis'!F15+#REF!)+(IS!F42+IS!F43)</f>
        <v>#REF!</v>
      </c>
      <c r="H32" s="188" t="e">
        <f aca="false">G32+('Returns Analysis'!G15+#REF!)+(IS!G42+IS!G43)</f>
        <v>#REF!</v>
      </c>
      <c r="I32" s="188" t="e">
        <f aca="false">H32+('Returns Analysis'!H15+#REF!)+(IS!H42+IS!H43)</f>
        <v>#REF!</v>
      </c>
      <c r="J32" s="188" t="e">
        <f aca="false">I32+('Returns Analysis'!I15+#REF!)+(IS!I42+IS!I43)</f>
        <v>#REF!</v>
      </c>
      <c r="K32" s="188" t="e">
        <f aca="false">J32+('Returns Analysis'!J15+#REF!)+(IS!J42+IS!J43)</f>
        <v>#REF!</v>
      </c>
      <c r="L32" s="188" t="e">
        <f aca="false">K32+('Returns Analysis'!K15+#REF!)+(IS!K42+IS!K43)</f>
        <v>#REF!</v>
      </c>
      <c r="M32" s="188" t="e">
        <f aca="false">L32+('Returns Analysis'!L15+#REF!)+(IS!L42+IS!L43)</f>
        <v>#REF!</v>
      </c>
      <c r="N32" s="188" t="e">
        <f aca="false">M32+('Returns Analysis'!M15+#REF!)+(IS!M42+IS!M43)</f>
        <v>#REF!</v>
      </c>
      <c r="O32" s="188" t="e">
        <f aca="false">N32+('Returns Analysis'!N15+#REF!)+(IS!N42+IS!N43)</f>
        <v>#REF!</v>
      </c>
      <c r="P32" s="188" t="e">
        <f aca="false">O32+('Returns Analysis'!O15+#REF!)+(IS!O42+IS!O43)</f>
        <v>#REF!</v>
      </c>
      <c r="Q32" s="188" t="e">
        <f aca="false">P32+('Returns Analysis'!P15+#REF!)+(IS!P42+IS!P43)</f>
        <v>#REF!</v>
      </c>
      <c r="R32" s="188" t="e">
        <f aca="false">Q32+('Returns Analysis'!Q15+#REF!)+(IS!Q42+IS!Q43)</f>
        <v>#REF!</v>
      </c>
      <c r="S32" s="188" t="e">
        <f aca="false">R32+('Returns Analysis'!R15+#REF!)+(IS!R42+IS!R43)</f>
        <v>#REF!</v>
      </c>
      <c r="T32" s="188" t="e">
        <f aca="false">S32+('Returns Analysis'!S15+#REF!)+(IS!S42+IS!S43)</f>
        <v>#REF!</v>
      </c>
      <c r="U32" s="188" t="e">
        <f aca="false">T32+('Returns Analysis'!T15+#REF!)+(IS!T42+IS!T43)</f>
        <v>#REF!</v>
      </c>
      <c r="V32" s="188" t="e">
        <f aca="false">U32+('Returns Analysis'!U15+#REF!)+(IS!U42+IS!U43)</f>
        <v>#REF!</v>
      </c>
      <c r="W32" s="188" t="e">
        <f aca="false">V32+('Returns Analysis'!V15+#REF!)+(IS!V42+IS!V43)</f>
        <v>#REF!</v>
      </c>
      <c r="X32" s="188" t="e">
        <f aca="false">W32+('Returns Analysis'!W15+#REF!)+(IS!W42+IS!W43)</f>
        <v>#REF!</v>
      </c>
      <c r="Y32" s="188" t="e">
        <f aca="false">X32+('Returns Analysis'!X15+#REF!)+(IS!X42+IS!X43)</f>
        <v>#REF!</v>
      </c>
      <c r="Z32" s="188" t="e">
        <f aca="false">Y32+('Returns Analysis'!Y15+#REF!)+(IS!Y42+IS!Y43)</f>
        <v>#REF!</v>
      </c>
      <c r="AA32" s="188" t="e">
        <f aca="false">Z32+('Returns Analysis'!Z15+#REF!)+(IS!Z42+IS!Z43)</f>
        <v>#REF!</v>
      </c>
      <c r="AB32" s="188" t="e">
        <f aca="false">AA32+('Returns Analysis'!AA15+#REF!)+(IS!AA42+IS!AA43)</f>
        <v>#REF!</v>
      </c>
      <c r="AC32" s="188" t="e">
        <f aca="false">AB32+('Returns Analysis'!AB15+#REF!)+(IS!AB42+IS!AB43)</f>
        <v>#REF!</v>
      </c>
      <c r="AD32" s="188" t="e">
        <f aca="false">AC32+('Returns Analysis'!AC15+#REF!)+(IS!AC42+IS!AC43)</f>
        <v>#REF!</v>
      </c>
      <c r="AE32" s="188" t="e">
        <f aca="false">AD32+('Returns Analysis'!AD15+#REF!)+(IS!AD42+IS!AD43)</f>
        <v>#REF!</v>
      </c>
      <c r="AF32" s="188" t="e">
        <f aca="false">AE32+('Returns Analysis'!AE15+#REF!)+(IS!AE42+IS!AE43)</f>
        <v>#REF!</v>
      </c>
      <c r="AG32" s="188" t="e">
        <f aca="false">AF32+('Returns Analysis'!AF15+#REF!)+(IS!AF42+IS!AF43)</f>
        <v>#REF!</v>
      </c>
      <c r="AH32" s="188" t="e">
        <f aca="false">AG32+('Returns Analysis'!AG15+#REF!)+(IS!AG42+IS!AG43)</f>
        <v>#REF!</v>
      </c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</row>
    <row r="33" customFormat="false" ht="12.75" hidden="false" customHeight="false" outlineLevel="0" collapsed="false">
      <c r="A33" s="188" t="s">
        <v>445</v>
      </c>
      <c r="C33" s="350" t="n">
        <v>0</v>
      </c>
      <c r="D33" s="188" t="n">
        <f aca="false">Assumptions!$C$49</f>
        <v>5687.128</v>
      </c>
      <c r="E33" s="188" t="n">
        <f aca="false">Assumptions!$C$49</f>
        <v>5687.128</v>
      </c>
      <c r="F33" s="188" t="n">
        <f aca="false">Assumptions!$C$49</f>
        <v>5687.128</v>
      </c>
      <c r="G33" s="188" t="n">
        <f aca="false">Assumptions!$C$49</f>
        <v>5687.128</v>
      </c>
      <c r="H33" s="188" t="n">
        <f aca="false">Assumptions!$C$49</f>
        <v>5687.128</v>
      </c>
      <c r="I33" s="188" t="n">
        <f aca="false">Assumptions!$C$49</f>
        <v>5687.128</v>
      </c>
      <c r="J33" s="188" t="n">
        <f aca="false">Assumptions!$C$49</f>
        <v>5687.128</v>
      </c>
      <c r="K33" s="188" t="n">
        <f aca="false">Assumptions!$C$49</f>
        <v>5687.128</v>
      </c>
      <c r="L33" s="188" t="n">
        <f aca="false">Assumptions!$C$49</f>
        <v>5687.128</v>
      </c>
      <c r="M33" s="188" t="n">
        <f aca="false">Assumptions!$C$49</f>
        <v>5687.128</v>
      </c>
      <c r="N33" s="188" t="n">
        <f aca="false">Assumptions!$C$49</f>
        <v>5687.128</v>
      </c>
      <c r="O33" s="188" t="n">
        <f aca="false">Assumptions!$C$49</f>
        <v>5687.128</v>
      </c>
      <c r="P33" s="188" t="n">
        <f aca="false">Assumptions!$C$49</f>
        <v>5687.128</v>
      </c>
      <c r="Q33" s="188" t="n">
        <f aca="false">Assumptions!$C$49</f>
        <v>5687.128</v>
      </c>
      <c r="R33" s="188" t="n">
        <f aca="false">Assumptions!$C$49</f>
        <v>5687.128</v>
      </c>
      <c r="S33" s="188" t="n">
        <f aca="false">Assumptions!$C$49</f>
        <v>5687.128</v>
      </c>
      <c r="T33" s="188" t="n">
        <f aca="false">Assumptions!$C$49</f>
        <v>5687.128</v>
      </c>
      <c r="U33" s="188" t="n">
        <f aca="false">Assumptions!$C$49</f>
        <v>5687.128</v>
      </c>
      <c r="V33" s="188" t="n">
        <f aca="false">Assumptions!$C$49</f>
        <v>5687.128</v>
      </c>
      <c r="W33" s="188" t="n">
        <f aca="false">Assumptions!$C$49</f>
        <v>5687.128</v>
      </c>
      <c r="X33" s="188" t="n">
        <f aca="false">Assumptions!$C$49</f>
        <v>5687.128</v>
      </c>
      <c r="Y33" s="188" t="n">
        <f aca="false">Assumptions!$C$49</f>
        <v>5687.128</v>
      </c>
      <c r="Z33" s="188" t="n">
        <f aca="false">Assumptions!$C$49</f>
        <v>5687.128</v>
      </c>
      <c r="AA33" s="188" t="n">
        <f aca="false">Assumptions!$C$49</f>
        <v>5687.128</v>
      </c>
      <c r="AB33" s="188" t="n">
        <f aca="false">Assumptions!$C$49</f>
        <v>5687.128</v>
      </c>
      <c r="AC33" s="188" t="n">
        <f aca="false">Assumptions!$C$49</f>
        <v>5687.128</v>
      </c>
      <c r="AD33" s="188" t="n">
        <f aca="false">Assumptions!$C$49</f>
        <v>5687.128</v>
      </c>
      <c r="AE33" s="188" t="n">
        <f aca="false">Assumptions!$C$49</f>
        <v>5687.128</v>
      </c>
      <c r="AF33" s="188" t="n">
        <f aca="false">Assumptions!$C$49</f>
        <v>5687.128</v>
      </c>
      <c r="AG33" s="188" t="n">
        <f aca="false">Assumptions!$C$49</f>
        <v>5687.128</v>
      </c>
      <c r="AH33" s="188" t="n">
        <f aca="false">Assumptions!$C$49</f>
        <v>5687.128</v>
      </c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E33" s="351"/>
      <c r="BF33" s="351"/>
      <c r="BG33" s="351"/>
      <c r="BH33" s="351"/>
    </row>
    <row r="34" customFormat="false" ht="12.75" hidden="false" customHeight="false" outlineLevel="0" collapsed="false">
      <c r="A34" s="188" t="s">
        <v>446</v>
      </c>
      <c r="C34" s="350" t="n">
        <f aca="false">Assumptions!C12</f>
        <v>149462.371252787</v>
      </c>
      <c r="D34" s="188" t="e">
        <f aca="false">#REF!+#REF!+#REF!</f>
        <v>#REF!</v>
      </c>
      <c r="E34" s="188" t="e">
        <f aca="false">#REF!+#REF!+#REF!</f>
        <v>#REF!</v>
      </c>
      <c r="F34" s="188" t="e">
        <f aca="false">#REF!+#REF!+#REF!</f>
        <v>#REF!</v>
      </c>
      <c r="G34" s="188" t="e">
        <f aca="false">#REF!+#REF!+#REF!</f>
        <v>#REF!</v>
      </c>
      <c r="H34" s="188" t="e">
        <f aca="false">#REF!+#REF!+#REF!</f>
        <v>#REF!</v>
      </c>
      <c r="I34" s="188" t="e">
        <f aca="false">#REF!+#REF!+#REF!</f>
        <v>#REF!</v>
      </c>
      <c r="J34" s="188" t="e">
        <f aca="false">#REF!+#REF!+#REF!</f>
        <v>#REF!</v>
      </c>
      <c r="K34" s="188" t="e">
        <f aca="false">#REF!+#REF!+#REF!</f>
        <v>#REF!</v>
      </c>
      <c r="L34" s="188" t="e">
        <f aca="false">#REF!+#REF!+#REF!</f>
        <v>#REF!</v>
      </c>
      <c r="M34" s="188" t="e">
        <f aca="false">#REF!+#REF!+#REF!</f>
        <v>#REF!</v>
      </c>
      <c r="N34" s="188" t="e">
        <f aca="false">#REF!+#REF!+#REF!</f>
        <v>#REF!</v>
      </c>
      <c r="O34" s="188" t="e">
        <f aca="false">#REF!+#REF!+#REF!</f>
        <v>#REF!</v>
      </c>
      <c r="P34" s="188" t="e">
        <f aca="false">#REF!+#REF!+#REF!</f>
        <v>#REF!</v>
      </c>
      <c r="Q34" s="188" t="e">
        <f aca="false">#REF!+#REF!+#REF!</f>
        <v>#REF!</v>
      </c>
      <c r="R34" s="188" t="e">
        <f aca="false">#REF!+#REF!+#REF!</f>
        <v>#REF!</v>
      </c>
      <c r="S34" s="188" t="e">
        <f aca="false">#REF!+#REF!+#REF!</f>
        <v>#REF!</v>
      </c>
      <c r="T34" s="188" t="e">
        <f aca="false">#REF!+#REF!+#REF!</f>
        <v>#REF!</v>
      </c>
      <c r="U34" s="188" t="e">
        <f aca="false">#REF!+#REF!+#REF!</f>
        <v>#REF!</v>
      </c>
      <c r="V34" s="188" t="e">
        <f aca="false">#REF!+#REF!+#REF!</f>
        <v>#REF!</v>
      </c>
      <c r="W34" s="188" t="e">
        <f aca="false">#REF!+#REF!+#REF!</f>
        <v>#REF!</v>
      </c>
      <c r="X34" s="188" t="e">
        <f aca="false">#REF!+#REF!+#REF!</f>
        <v>#REF!</v>
      </c>
      <c r="Y34" s="188" t="e">
        <f aca="false">#REF!+#REF!+#REF!</f>
        <v>#REF!</v>
      </c>
      <c r="Z34" s="188" t="e">
        <f aca="false">#REF!+#REF!+#REF!</f>
        <v>#REF!</v>
      </c>
      <c r="AA34" s="188" t="e">
        <f aca="false">#REF!+#REF!+#REF!</f>
        <v>#REF!</v>
      </c>
      <c r="AB34" s="188" t="e">
        <f aca="false">#REF!+#REF!+#REF!</f>
        <v>#REF!</v>
      </c>
      <c r="AC34" s="188" t="e">
        <f aca="false">#REF!+#REF!+#REF!</f>
        <v>#REF!</v>
      </c>
      <c r="AD34" s="188" t="e">
        <f aca="false">#REF!+#REF!+#REF!</f>
        <v>#REF!</v>
      </c>
      <c r="AE34" s="188" t="e">
        <f aca="false">#REF!+#REF!+#REF!</f>
        <v>#REF!</v>
      </c>
      <c r="AF34" s="188" t="e">
        <f aca="false">#REF!+#REF!+#REF!</f>
        <v>#REF!</v>
      </c>
      <c r="AG34" s="188" t="e">
        <f aca="false">#REF!+#REF!+#REF!</f>
        <v>#REF!</v>
      </c>
      <c r="AH34" s="188" t="e">
        <f aca="false">#REF!+#REF!+#REF!</f>
        <v>#REF!</v>
      </c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E34" s="351"/>
      <c r="BF34" s="351"/>
      <c r="BG34" s="351"/>
      <c r="BH34" s="351"/>
    </row>
    <row r="35" customFormat="false" ht="12.75" hidden="false" customHeight="false" outlineLevel="0" collapsed="false">
      <c r="A35" s="188" t="s">
        <v>447</v>
      </c>
      <c r="C35" s="354" t="n">
        <v>0</v>
      </c>
      <c r="D35" s="355" t="n">
        <v>0</v>
      </c>
      <c r="E35" s="355" t="n">
        <v>0</v>
      </c>
      <c r="F35" s="357" t="n">
        <v>0</v>
      </c>
      <c r="G35" s="357" t="n">
        <v>0</v>
      </c>
      <c r="H35" s="357" t="n">
        <v>0</v>
      </c>
      <c r="I35" s="357" t="n">
        <v>0</v>
      </c>
      <c r="J35" s="357" t="n">
        <v>0</v>
      </c>
      <c r="K35" s="357" t="n">
        <v>0</v>
      </c>
      <c r="L35" s="357" t="n">
        <v>0</v>
      </c>
      <c r="M35" s="357" t="n">
        <v>0</v>
      </c>
      <c r="N35" s="357" t="n">
        <v>0</v>
      </c>
      <c r="O35" s="357" t="n">
        <v>0</v>
      </c>
      <c r="P35" s="357" t="n">
        <v>0</v>
      </c>
      <c r="Q35" s="357" t="n">
        <v>0</v>
      </c>
      <c r="R35" s="357" t="n">
        <v>0</v>
      </c>
      <c r="S35" s="357" t="n">
        <v>0</v>
      </c>
      <c r="T35" s="357" t="n">
        <v>0</v>
      </c>
      <c r="U35" s="357" t="n">
        <v>0</v>
      </c>
      <c r="V35" s="357" t="n">
        <v>0</v>
      </c>
      <c r="W35" s="357" t="n">
        <v>0</v>
      </c>
      <c r="X35" s="357" t="n">
        <v>0</v>
      </c>
      <c r="Y35" s="357" t="n">
        <v>0</v>
      </c>
      <c r="Z35" s="357" t="n">
        <v>0</v>
      </c>
      <c r="AA35" s="357" t="n">
        <v>0</v>
      </c>
      <c r="AB35" s="357" t="n">
        <v>0</v>
      </c>
      <c r="AC35" s="357" t="n">
        <v>0</v>
      </c>
      <c r="AD35" s="357" t="n">
        <v>0</v>
      </c>
      <c r="AE35" s="357" t="n">
        <v>0</v>
      </c>
      <c r="AF35" s="357" t="n">
        <v>0</v>
      </c>
      <c r="AG35" s="357" t="n">
        <v>0</v>
      </c>
      <c r="AH35" s="357" t="n">
        <v>0</v>
      </c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</row>
    <row r="36" customFormat="false" ht="12.75" hidden="false" customHeight="false" outlineLevel="0" collapsed="false">
      <c r="A36" s="188"/>
      <c r="C36" s="350"/>
      <c r="D36" s="188"/>
      <c r="E36" s="188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</row>
    <row r="37" customFormat="false" ht="12.75" hidden="false" customHeight="false" outlineLevel="0" collapsed="false">
      <c r="A37" s="356" t="s">
        <v>448</v>
      </c>
      <c r="B37" s="31"/>
      <c r="C37" s="350" t="n">
        <f aca="false">SUM(C30:C35)</f>
        <v>149462.371252787</v>
      </c>
      <c r="D37" s="188" t="e">
        <f aca="false">SUM(D30:D35)</f>
        <v>#REF!</v>
      </c>
      <c r="E37" s="188" t="e">
        <f aca="false">SUM(E30:E35)</f>
        <v>#REF!</v>
      </c>
      <c r="F37" s="188" t="e">
        <f aca="false">SUM(F30:F35)</f>
        <v>#REF!</v>
      </c>
      <c r="G37" s="188" t="e">
        <f aca="false">SUM(G30:G35)</f>
        <v>#REF!</v>
      </c>
      <c r="H37" s="188" t="e">
        <f aca="false">SUM(H30:H35)</f>
        <v>#REF!</v>
      </c>
      <c r="I37" s="188" t="e">
        <f aca="false">SUM(I30:I35)</f>
        <v>#REF!</v>
      </c>
      <c r="J37" s="188" t="e">
        <f aca="false">SUM(J30:J35)</f>
        <v>#REF!</v>
      </c>
      <c r="K37" s="188" t="e">
        <f aca="false">SUM(K30:K35)</f>
        <v>#REF!</v>
      </c>
      <c r="L37" s="188" t="e">
        <f aca="false">SUM(L30:L35)</f>
        <v>#REF!</v>
      </c>
      <c r="M37" s="188" t="e">
        <f aca="false">SUM(M30:M35)</f>
        <v>#REF!</v>
      </c>
      <c r="N37" s="188" t="e">
        <f aca="false">SUM(N30:N35)</f>
        <v>#REF!</v>
      </c>
      <c r="O37" s="188" t="e">
        <f aca="false">SUM(O30:O35)</f>
        <v>#REF!</v>
      </c>
      <c r="P37" s="188" t="e">
        <f aca="false">SUM(P30:P35)</f>
        <v>#REF!</v>
      </c>
      <c r="Q37" s="188" t="e">
        <f aca="false">SUM(Q30:Q35)</f>
        <v>#REF!</v>
      </c>
      <c r="R37" s="188" t="e">
        <f aca="false">SUM(R30:R35)</f>
        <v>#REF!</v>
      </c>
      <c r="S37" s="188" t="e">
        <f aca="false">SUM(S30:S35)</f>
        <v>#REF!</v>
      </c>
      <c r="T37" s="188" t="e">
        <f aca="false">SUM(T30:T35)</f>
        <v>#REF!</v>
      </c>
      <c r="U37" s="188" t="e">
        <f aca="false">SUM(U30:U35)</f>
        <v>#REF!</v>
      </c>
      <c r="V37" s="188" t="e">
        <f aca="false">SUM(V30:V35)</f>
        <v>#REF!</v>
      </c>
      <c r="W37" s="188" t="e">
        <f aca="false">SUM(W30:W35)</f>
        <v>#REF!</v>
      </c>
      <c r="X37" s="188" t="e">
        <f aca="false">SUM(X30:X35)</f>
        <v>#REF!</v>
      </c>
      <c r="Y37" s="188" t="e">
        <f aca="false">SUM(Y30:Y35)</f>
        <v>#REF!</v>
      </c>
      <c r="Z37" s="188" t="e">
        <f aca="false">SUM(Z30:Z35)</f>
        <v>#REF!</v>
      </c>
      <c r="AA37" s="188" t="e">
        <f aca="false">SUM(AA30:AA35)</f>
        <v>#REF!</v>
      </c>
      <c r="AB37" s="188" t="e">
        <f aca="false">SUM(AB30:AB35)</f>
        <v>#REF!</v>
      </c>
      <c r="AC37" s="188" t="e">
        <f aca="false">SUM(AC30:AC35)</f>
        <v>#REF!</v>
      </c>
      <c r="AD37" s="188" t="e">
        <f aca="false">SUM(AD30:AD35)</f>
        <v>#REF!</v>
      </c>
      <c r="AE37" s="188" t="e">
        <f aca="false">SUM(AE30:AE35)</f>
        <v>#REF!</v>
      </c>
      <c r="AF37" s="188" t="e">
        <f aca="false">SUM(AF30:AF35)</f>
        <v>#REF!</v>
      </c>
      <c r="AG37" s="188" t="e">
        <f aca="false">SUM(AG30:AG35)</f>
        <v>#REF!</v>
      </c>
      <c r="AH37" s="188" t="e">
        <f aca="false">SUM(AH30:AH35)</f>
        <v>#REF!</v>
      </c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</row>
    <row r="38" customFormat="false" ht="12.75" hidden="false" customHeight="false" outlineLevel="0" collapsed="false">
      <c r="A38" s="188"/>
      <c r="B38" s="31"/>
      <c r="C38" s="350"/>
      <c r="D38" s="188"/>
      <c r="E38" s="188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</row>
    <row r="39" customFormat="false" ht="12.75" hidden="false" customHeight="false" outlineLevel="0" collapsed="false">
      <c r="A39" s="356" t="s">
        <v>449</v>
      </c>
      <c r="B39" s="31"/>
      <c r="C39" s="350"/>
      <c r="D39" s="188"/>
      <c r="E39" s="188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</row>
    <row r="40" customFormat="false" ht="12.75" hidden="false" customHeight="false" outlineLevel="0" collapsed="false">
      <c r="A40" s="356"/>
      <c r="B40" s="31"/>
      <c r="C40" s="350"/>
      <c r="D40" s="188"/>
      <c r="E40" s="188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</row>
    <row r="41" customFormat="false" ht="12.75" hidden="false" customHeight="false" outlineLevel="0" collapsed="false">
      <c r="A41" s="188" t="s">
        <v>450</v>
      </c>
      <c r="C41" s="350" t="n">
        <f aca="false">Assumptions!$C$11</f>
        <v>64055.3019654802</v>
      </c>
      <c r="D41" s="188" t="n">
        <f aca="false">Assumptions!$C$11</f>
        <v>64055.3019654802</v>
      </c>
      <c r="E41" s="188" t="n">
        <f aca="false">Assumptions!$C$11</f>
        <v>64055.3019654802</v>
      </c>
      <c r="F41" s="188" t="n">
        <f aca="false">Assumptions!$C$11</f>
        <v>64055.3019654802</v>
      </c>
      <c r="G41" s="188" t="n">
        <f aca="false">Assumptions!$C$11</f>
        <v>64055.3019654802</v>
      </c>
      <c r="H41" s="188" t="n">
        <f aca="false">Assumptions!$C$11</f>
        <v>64055.3019654802</v>
      </c>
      <c r="I41" s="188" t="n">
        <f aca="false">Assumptions!$C$11</f>
        <v>64055.3019654802</v>
      </c>
      <c r="J41" s="188" t="n">
        <f aca="false">Assumptions!$C$11</f>
        <v>64055.3019654802</v>
      </c>
      <c r="K41" s="188" t="n">
        <f aca="false">Assumptions!$C$11</f>
        <v>64055.3019654802</v>
      </c>
      <c r="L41" s="188" t="n">
        <f aca="false">Assumptions!$C$11</f>
        <v>64055.3019654802</v>
      </c>
      <c r="M41" s="188" t="n">
        <f aca="false">Assumptions!$C$11</f>
        <v>64055.3019654802</v>
      </c>
      <c r="N41" s="188" t="n">
        <f aca="false">Assumptions!$C$11</f>
        <v>64055.3019654802</v>
      </c>
      <c r="O41" s="188" t="n">
        <f aca="false">Assumptions!$C$11</f>
        <v>64055.3019654802</v>
      </c>
      <c r="P41" s="188" t="n">
        <f aca="false">Assumptions!$C$11</f>
        <v>64055.3019654802</v>
      </c>
      <c r="Q41" s="188" t="n">
        <f aca="false">Assumptions!$C$11</f>
        <v>64055.3019654802</v>
      </c>
      <c r="R41" s="188" t="n">
        <f aca="false">Assumptions!$C$11</f>
        <v>64055.3019654802</v>
      </c>
      <c r="S41" s="188" t="n">
        <f aca="false">Assumptions!$C$11</f>
        <v>64055.3019654802</v>
      </c>
      <c r="T41" s="188" t="n">
        <f aca="false">Assumptions!$C$11</f>
        <v>64055.3019654802</v>
      </c>
      <c r="U41" s="188" t="n">
        <f aca="false">Assumptions!$C$11</f>
        <v>64055.3019654802</v>
      </c>
      <c r="V41" s="188" t="n">
        <f aca="false">Assumptions!$C$11</f>
        <v>64055.3019654802</v>
      </c>
      <c r="W41" s="188" t="n">
        <f aca="false">Assumptions!$C$11</f>
        <v>64055.3019654802</v>
      </c>
      <c r="X41" s="188" t="n">
        <f aca="false">Assumptions!$C$11</f>
        <v>64055.3019654802</v>
      </c>
      <c r="Y41" s="188" t="n">
        <f aca="false">Assumptions!$C$11</f>
        <v>64055.3019654802</v>
      </c>
      <c r="Z41" s="188" t="n">
        <f aca="false">Assumptions!$C$11</f>
        <v>64055.3019654802</v>
      </c>
      <c r="AA41" s="188" t="n">
        <f aca="false">Assumptions!$C$11</f>
        <v>64055.3019654802</v>
      </c>
      <c r="AB41" s="188" t="n">
        <f aca="false">Assumptions!$C$11</f>
        <v>64055.3019654802</v>
      </c>
      <c r="AC41" s="188" t="n">
        <f aca="false">Assumptions!$C$11</f>
        <v>64055.3019654802</v>
      </c>
      <c r="AD41" s="188" t="n">
        <f aca="false">Assumptions!$C$11</f>
        <v>64055.3019654802</v>
      </c>
      <c r="AE41" s="188" t="n">
        <f aca="false">Assumptions!$C$11</f>
        <v>64055.3019654802</v>
      </c>
      <c r="AF41" s="188" t="n">
        <f aca="false">Assumptions!$C$11</f>
        <v>64055.3019654802</v>
      </c>
      <c r="AG41" s="188" t="n">
        <f aca="false">Assumptions!$C$11</f>
        <v>64055.3019654802</v>
      </c>
      <c r="AH41" s="188" t="n">
        <f aca="false">Assumptions!$C$11</f>
        <v>64055.3019654802</v>
      </c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</row>
    <row r="42" customFormat="false" ht="12.75" hidden="false" customHeight="false" outlineLevel="0" collapsed="false">
      <c r="A42" s="188" t="s">
        <v>451</v>
      </c>
      <c r="C42" s="354" t="e">
        <f aca="false">IS!B45-#REF!</f>
        <v>#REF!</v>
      </c>
      <c r="D42" s="355" t="e">
        <f aca="false">IS!C45-#REF!</f>
        <v>#REF!</v>
      </c>
      <c r="E42" s="355" t="e">
        <f aca="false">IS!D45-#REF!</f>
        <v>#REF!</v>
      </c>
      <c r="F42" s="355" t="e">
        <f aca="false">IS!E45-#REF!</f>
        <v>#REF!</v>
      </c>
      <c r="G42" s="355" t="e">
        <f aca="false">IS!F45-#REF!</f>
        <v>#REF!</v>
      </c>
      <c r="H42" s="355" t="e">
        <f aca="false">IS!G45-#REF!</f>
        <v>#REF!</v>
      </c>
      <c r="I42" s="355" t="e">
        <f aca="false">IS!H45-#REF!</f>
        <v>#REF!</v>
      </c>
      <c r="J42" s="355" t="e">
        <f aca="false">IS!I45-#REF!</f>
        <v>#REF!</v>
      </c>
      <c r="K42" s="355" t="e">
        <f aca="false">IS!J45-#REF!</f>
        <v>#REF!</v>
      </c>
      <c r="L42" s="355" t="e">
        <f aca="false">IS!K45-#REF!</f>
        <v>#REF!</v>
      </c>
      <c r="M42" s="355" t="e">
        <f aca="false">IS!L45-#REF!</f>
        <v>#REF!</v>
      </c>
      <c r="N42" s="355" t="e">
        <f aca="false">IS!M45-#REF!</f>
        <v>#REF!</v>
      </c>
      <c r="O42" s="355" t="e">
        <f aca="false">IS!N45-#REF!</f>
        <v>#REF!</v>
      </c>
      <c r="P42" s="355" t="e">
        <f aca="false">IS!O45-#REF!</f>
        <v>#REF!</v>
      </c>
      <c r="Q42" s="355" t="e">
        <f aca="false">IS!P45-#REF!</f>
        <v>#REF!</v>
      </c>
      <c r="R42" s="355" t="e">
        <f aca="false">IS!Q45-#REF!</f>
        <v>#REF!</v>
      </c>
      <c r="S42" s="355" t="e">
        <f aca="false">IS!R45-#REF!</f>
        <v>#REF!</v>
      </c>
      <c r="T42" s="355" t="e">
        <f aca="false">IS!S45-#REF!</f>
        <v>#REF!</v>
      </c>
      <c r="U42" s="355" t="e">
        <f aca="false">IS!T45-#REF!</f>
        <v>#REF!</v>
      </c>
      <c r="V42" s="355" t="e">
        <f aca="false">IS!U45-#REF!</f>
        <v>#REF!</v>
      </c>
      <c r="W42" s="355" t="e">
        <f aca="false">IS!V45-#REF!</f>
        <v>#REF!</v>
      </c>
      <c r="X42" s="355" t="e">
        <f aca="false">IS!W45-#REF!</f>
        <v>#REF!</v>
      </c>
      <c r="Y42" s="355" t="e">
        <f aca="false">IS!X45-#REF!</f>
        <v>#REF!</v>
      </c>
      <c r="Z42" s="355" t="e">
        <f aca="false">IS!Y45-#REF!</f>
        <v>#REF!</v>
      </c>
      <c r="AA42" s="355" t="e">
        <f aca="false">IS!Z45-#REF!</f>
        <v>#REF!</v>
      </c>
      <c r="AB42" s="355" t="e">
        <f aca="false">IS!AA45-#REF!</f>
        <v>#REF!</v>
      </c>
      <c r="AC42" s="355" t="e">
        <f aca="false">IS!AB45-#REF!</f>
        <v>#REF!</v>
      </c>
      <c r="AD42" s="355" t="e">
        <f aca="false">IS!AC45-#REF!</f>
        <v>#REF!</v>
      </c>
      <c r="AE42" s="355" t="e">
        <f aca="false">IS!AD45-#REF!</f>
        <v>#REF!</v>
      </c>
      <c r="AF42" s="355" t="e">
        <f aca="false">IS!AE45-#REF!</f>
        <v>#REF!</v>
      </c>
      <c r="AG42" s="355" t="e">
        <f aca="false">IS!AF45-#REF!</f>
        <v>#REF!</v>
      </c>
      <c r="AH42" s="355" t="e">
        <f aca="false">IS!AG45-#REF!</f>
        <v>#REF!</v>
      </c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</row>
    <row r="43" customFormat="false" ht="12.75" hidden="false" customHeight="false" outlineLevel="0" collapsed="false">
      <c r="A43" s="188" t="s">
        <v>452</v>
      </c>
      <c r="C43" s="350" t="e">
        <f aca="false">SUM(C41:C42)</f>
        <v>#REF!</v>
      </c>
      <c r="D43" s="188" t="e">
        <f aca="false">SUM(D41:D42)</f>
        <v>#REF!</v>
      </c>
      <c r="E43" s="188" t="e">
        <f aca="false">SUM(E41:E42)</f>
        <v>#REF!</v>
      </c>
      <c r="F43" s="188" t="e">
        <f aca="false">SUM(F41:F42)</f>
        <v>#REF!</v>
      </c>
      <c r="G43" s="188" t="e">
        <f aca="false">SUM(G41:G42)</f>
        <v>#REF!</v>
      </c>
      <c r="H43" s="188" t="e">
        <f aca="false">SUM(H41:H42)</f>
        <v>#REF!</v>
      </c>
      <c r="I43" s="188" t="e">
        <f aca="false">SUM(I41:I42)</f>
        <v>#REF!</v>
      </c>
      <c r="J43" s="188" t="e">
        <f aca="false">SUM(J41:J42)</f>
        <v>#REF!</v>
      </c>
      <c r="K43" s="188" t="e">
        <f aca="false">SUM(K41:K42)</f>
        <v>#REF!</v>
      </c>
      <c r="L43" s="188" t="e">
        <f aca="false">SUM(L41:L42)</f>
        <v>#REF!</v>
      </c>
      <c r="M43" s="188" t="e">
        <f aca="false">SUM(M41:M42)</f>
        <v>#REF!</v>
      </c>
      <c r="N43" s="188" t="e">
        <f aca="false">SUM(N41:N42)</f>
        <v>#REF!</v>
      </c>
      <c r="O43" s="188" t="e">
        <f aca="false">SUM(O41:O42)</f>
        <v>#REF!</v>
      </c>
      <c r="P43" s="188" t="e">
        <f aca="false">SUM(P41:P42)</f>
        <v>#REF!</v>
      </c>
      <c r="Q43" s="188" t="e">
        <f aca="false">SUM(Q41:Q42)</f>
        <v>#REF!</v>
      </c>
      <c r="R43" s="188" t="e">
        <f aca="false">SUM(R41:R42)</f>
        <v>#REF!</v>
      </c>
      <c r="S43" s="188" t="e">
        <f aca="false">SUM(S41:S42)</f>
        <v>#REF!</v>
      </c>
      <c r="T43" s="188" t="e">
        <f aca="false">SUM(T41:T42)</f>
        <v>#REF!</v>
      </c>
      <c r="U43" s="188" t="e">
        <f aca="false">SUM(U41:U42)</f>
        <v>#REF!</v>
      </c>
      <c r="V43" s="188" t="e">
        <f aca="false">SUM(V41:V42)</f>
        <v>#REF!</v>
      </c>
      <c r="W43" s="188" t="e">
        <f aca="false">SUM(W41:W42)</f>
        <v>#REF!</v>
      </c>
      <c r="X43" s="188" t="e">
        <f aca="false">SUM(X41:X42)</f>
        <v>#REF!</v>
      </c>
      <c r="Y43" s="188" t="e">
        <f aca="false">SUM(Y41:Y42)</f>
        <v>#REF!</v>
      </c>
      <c r="Z43" s="188" t="e">
        <f aca="false">SUM(Z41:Z42)</f>
        <v>#REF!</v>
      </c>
      <c r="AA43" s="188" t="e">
        <f aca="false">SUM(AA41:AA42)</f>
        <v>#REF!</v>
      </c>
      <c r="AB43" s="188" t="e">
        <f aca="false">SUM(AB41:AB42)</f>
        <v>#REF!</v>
      </c>
      <c r="AC43" s="188" t="e">
        <f aca="false">SUM(AC41:AC42)</f>
        <v>#REF!</v>
      </c>
      <c r="AD43" s="188" t="e">
        <f aca="false">SUM(AD41:AD42)</f>
        <v>#REF!</v>
      </c>
      <c r="AE43" s="188" t="e">
        <f aca="false">SUM(AE41:AE42)</f>
        <v>#REF!</v>
      </c>
      <c r="AF43" s="188" t="e">
        <f aca="false">SUM(AF41:AF42)</f>
        <v>#REF!</v>
      </c>
      <c r="AG43" s="188" t="e">
        <f aca="false">SUM(AG41:AG42)</f>
        <v>#REF!</v>
      </c>
      <c r="AH43" s="188" t="e">
        <f aca="false">SUM(AH41:AH42)</f>
        <v>#REF!</v>
      </c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</row>
    <row r="44" customFormat="false" ht="12.75" hidden="false" customHeight="false" outlineLevel="0" collapsed="false">
      <c r="A44" s="31"/>
      <c r="B44" s="31"/>
      <c r="C44" s="350"/>
      <c r="D44" s="188"/>
      <c r="E44" s="188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</row>
    <row r="45" customFormat="false" ht="12.75" hidden="false" customHeight="false" outlineLevel="0" collapsed="false">
      <c r="A45" s="356" t="s">
        <v>453</v>
      </c>
      <c r="B45" s="31"/>
      <c r="C45" s="350" t="e">
        <f aca="false">C43+C37</f>
        <v>#REF!</v>
      </c>
      <c r="D45" s="188" t="e">
        <f aca="false">D43+D37</f>
        <v>#REF!</v>
      </c>
      <c r="E45" s="188" t="e">
        <f aca="false">E43+E37</f>
        <v>#REF!</v>
      </c>
      <c r="F45" s="188" t="e">
        <f aca="false">F43+F37</f>
        <v>#REF!</v>
      </c>
      <c r="G45" s="188" t="e">
        <f aca="false">G43+G37</f>
        <v>#REF!</v>
      </c>
      <c r="H45" s="188" t="e">
        <f aca="false">H43+H37</f>
        <v>#REF!</v>
      </c>
      <c r="I45" s="188" t="e">
        <f aca="false">I43+I37</f>
        <v>#REF!</v>
      </c>
      <c r="J45" s="188" t="e">
        <f aca="false">J43+J37</f>
        <v>#REF!</v>
      </c>
      <c r="K45" s="188" t="e">
        <f aca="false">K43+K37</f>
        <v>#REF!</v>
      </c>
      <c r="L45" s="188" t="e">
        <f aca="false">L43+L37</f>
        <v>#REF!</v>
      </c>
      <c r="M45" s="188" t="e">
        <f aca="false">M43+M37</f>
        <v>#REF!</v>
      </c>
      <c r="N45" s="188" t="e">
        <f aca="false">N43+N37</f>
        <v>#REF!</v>
      </c>
      <c r="O45" s="188" t="e">
        <f aca="false">O43+O37</f>
        <v>#REF!</v>
      </c>
      <c r="P45" s="188" t="e">
        <f aca="false">P43+P37</f>
        <v>#REF!</v>
      </c>
      <c r="Q45" s="188" t="e">
        <f aca="false">Q43+Q37</f>
        <v>#REF!</v>
      </c>
      <c r="R45" s="188" t="e">
        <f aca="false">R43+R37</f>
        <v>#REF!</v>
      </c>
      <c r="S45" s="188" t="e">
        <f aca="false">S43+S37</f>
        <v>#REF!</v>
      </c>
      <c r="T45" s="188" t="e">
        <f aca="false">T43+T37</f>
        <v>#REF!</v>
      </c>
      <c r="U45" s="188" t="e">
        <f aca="false">U43+U37</f>
        <v>#REF!</v>
      </c>
      <c r="V45" s="188" t="e">
        <f aca="false">V43+V37</f>
        <v>#REF!</v>
      </c>
      <c r="W45" s="188" t="e">
        <f aca="false">W43+W37</f>
        <v>#REF!</v>
      </c>
      <c r="X45" s="188" t="e">
        <f aca="false">X43+X37</f>
        <v>#REF!</v>
      </c>
      <c r="Y45" s="188" t="e">
        <f aca="false">Y43+Y37</f>
        <v>#REF!</v>
      </c>
      <c r="Z45" s="188" t="e">
        <f aca="false">Z43+Z37</f>
        <v>#REF!</v>
      </c>
      <c r="AA45" s="188" t="e">
        <f aca="false">AA43+AA37</f>
        <v>#REF!</v>
      </c>
      <c r="AB45" s="188" t="e">
        <f aca="false">AB43+AB37</f>
        <v>#REF!</v>
      </c>
      <c r="AC45" s="188" t="e">
        <f aca="false">AC43+AC37</f>
        <v>#REF!</v>
      </c>
      <c r="AD45" s="188" t="e">
        <f aca="false">AD43+AD37</f>
        <v>#REF!</v>
      </c>
      <c r="AE45" s="188" t="e">
        <f aca="false">AE43+AE37</f>
        <v>#REF!</v>
      </c>
      <c r="AF45" s="188" t="e">
        <f aca="false">AF43+AF37</f>
        <v>#REF!</v>
      </c>
      <c r="AG45" s="188" t="e">
        <f aca="false">AG43+AG37</f>
        <v>#REF!</v>
      </c>
      <c r="AH45" s="188" t="e">
        <f aca="false">AH43+AH37</f>
        <v>#REF!</v>
      </c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</row>
    <row r="46" customFormat="false" ht="12.75" hidden="false" customHeight="false" outlineLevel="0" collapsed="false">
      <c r="A46" s="188"/>
      <c r="B46" s="31"/>
      <c r="C46" s="350"/>
      <c r="D46" s="188"/>
      <c r="E46" s="188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</row>
    <row r="47" customFormat="false" ht="12.75" hidden="false" customHeight="false" outlineLevel="0" collapsed="false">
      <c r="A47" s="356" t="s">
        <v>454</v>
      </c>
      <c r="B47" s="31"/>
      <c r="C47" s="350" t="e">
        <f aca="false">C25-C45</f>
        <v>#REF!</v>
      </c>
      <c r="D47" s="188" t="e">
        <f aca="false">D25-D45</f>
        <v>#REF!</v>
      </c>
      <c r="E47" s="188" t="e">
        <f aca="false">E25-E45</f>
        <v>#REF!</v>
      </c>
      <c r="F47" s="188" t="e">
        <f aca="false">F25-F45</f>
        <v>#REF!</v>
      </c>
      <c r="G47" s="188" t="e">
        <f aca="false">G25-G45</f>
        <v>#REF!</v>
      </c>
      <c r="H47" s="188" t="e">
        <f aca="false">H25-H45</f>
        <v>#REF!</v>
      </c>
      <c r="I47" s="188" t="e">
        <f aca="false">I25-I45</f>
        <v>#REF!</v>
      </c>
      <c r="J47" s="188" t="e">
        <f aca="false">J25-J45</f>
        <v>#REF!</v>
      </c>
      <c r="K47" s="188" t="e">
        <f aca="false">K25-K45</f>
        <v>#REF!</v>
      </c>
      <c r="L47" s="188" t="e">
        <f aca="false">L25-L45</f>
        <v>#REF!</v>
      </c>
      <c r="M47" s="188" t="e">
        <f aca="false">M25-M45</f>
        <v>#REF!</v>
      </c>
      <c r="N47" s="188" t="e">
        <f aca="false">N25-N45</f>
        <v>#REF!</v>
      </c>
      <c r="O47" s="188" t="e">
        <f aca="false">O25-O45</f>
        <v>#REF!</v>
      </c>
      <c r="P47" s="188" t="e">
        <f aca="false">P25-P45</f>
        <v>#REF!</v>
      </c>
      <c r="Q47" s="188" t="e">
        <f aca="false">Q25-Q45</f>
        <v>#REF!</v>
      </c>
      <c r="R47" s="188" t="e">
        <f aca="false">R25-R45</f>
        <v>#REF!</v>
      </c>
      <c r="S47" s="188" t="e">
        <f aca="false">S25-S45</f>
        <v>#REF!</v>
      </c>
      <c r="T47" s="188" t="e">
        <f aca="false">T25-T45</f>
        <v>#REF!</v>
      </c>
      <c r="U47" s="188" t="e">
        <f aca="false">U25-U45</f>
        <v>#REF!</v>
      </c>
      <c r="V47" s="188" t="e">
        <f aca="false">V25-V45</f>
        <v>#REF!</v>
      </c>
      <c r="W47" s="188" t="e">
        <f aca="false">W25-W45</f>
        <v>#REF!</v>
      </c>
      <c r="X47" s="188" t="e">
        <f aca="false">X25-X45</f>
        <v>#REF!</v>
      </c>
      <c r="Y47" s="188" t="e">
        <f aca="false">Y25-Y45</f>
        <v>#REF!</v>
      </c>
      <c r="Z47" s="188" t="e">
        <f aca="false">Z25-Z45</f>
        <v>#REF!</v>
      </c>
      <c r="AA47" s="188" t="e">
        <f aca="false">AA25-AA45</f>
        <v>#REF!</v>
      </c>
      <c r="AB47" s="188" t="e">
        <f aca="false">AB25-AB45</f>
        <v>#REF!</v>
      </c>
      <c r="AC47" s="188" t="e">
        <f aca="false">AC25-AC45</f>
        <v>#REF!</v>
      </c>
      <c r="AD47" s="188" t="e">
        <f aca="false">AD25-AD45</f>
        <v>#REF!</v>
      </c>
      <c r="AE47" s="188" t="e">
        <f aca="false">AE25-AE45</f>
        <v>#REF!</v>
      </c>
      <c r="AF47" s="188" t="e">
        <f aca="false">AF25-AF45</f>
        <v>#REF!</v>
      </c>
      <c r="AG47" s="188" t="e">
        <f aca="false">AG25-AG45</f>
        <v>#REF!</v>
      </c>
      <c r="AH47" s="188" t="e">
        <f aca="false">AH25-AH45</f>
        <v>#REF!</v>
      </c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</row>
    <row r="48" customFormat="false" ht="12.75" hidden="false" customHeight="false" outlineLevel="0" collapsed="false">
      <c r="A48" s="31"/>
      <c r="B48" s="31"/>
      <c r="C48" s="188"/>
      <c r="D48" s="188"/>
      <c r="E48" s="188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</row>
    <row r="49" customFormat="false" ht="12.75" hidden="false" customHeight="false" outlineLevel="0" collapsed="false">
      <c r="A49" s="31"/>
      <c r="B49" s="31"/>
      <c r="C49" s="188"/>
      <c r="D49" s="188"/>
      <c r="E49" s="188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</row>
    <row r="50" customFormat="false" ht="12.75" hidden="false" customHeight="false" outlineLevel="0" collapsed="false">
      <c r="A50" s="31"/>
      <c r="B50" s="31"/>
      <c r="C50" s="188"/>
      <c r="D50" s="188"/>
      <c r="E50" s="188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</row>
    <row r="51" customFormat="false" ht="12.75" hidden="false" customHeight="false" outlineLevel="0" collapsed="false">
      <c r="A51" s="31"/>
      <c r="B51" s="31"/>
      <c r="C51" s="188"/>
      <c r="D51" s="188"/>
      <c r="E51" s="188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</row>
    <row r="52" customFormat="false" ht="12.75" hidden="false" customHeight="false" outlineLevel="0" collapsed="false">
      <c r="A52" s="31"/>
      <c r="B52" s="31"/>
      <c r="C52" s="188"/>
      <c r="D52" s="188"/>
      <c r="E52" s="188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</row>
    <row r="53" customFormat="false" ht="12.75" hidden="false" customHeight="false" outlineLevel="0" collapsed="false">
      <c r="A53" s="31"/>
      <c r="B53" s="31"/>
      <c r="C53" s="188"/>
      <c r="D53" s="188"/>
      <c r="E53" s="188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</row>
    <row r="54" customFormat="false" ht="12.75" hidden="false" customHeight="false" outlineLevel="0" collapsed="false">
      <c r="A54" s="31"/>
      <c r="B54" s="31"/>
      <c r="C54" s="188"/>
      <c r="D54" s="188"/>
      <c r="E54" s="188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351"/>
      <c r="BB54" s="351"/>
      <c r="BC54" s="351"/>
      <c r="BD54" s="351"/>
      <c r="BE54" s="351"/>
      <c r="BF54" s="351"/>
      <c r="BG54" s="351"/>
      <c r="BH54" s="351"/>
    </row>
    <row r="55" customFormat="false" ht="12.75" hidden="false" customHeight="false" outlineLevel="0" collapsed="false">
      <c r="A55" s="31"/>
      <c r="B55" s="146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</row>
    <row r="56" customFormat="false" ht="12.75" hidden="false" customHeight="false" outlineLevel="0" collapsed="false">
      <c r="A56" s="31"/>
      <c r="B56" s="146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1"/>
      <c r="AN56" s="351"/>
      <c r="AO56" s="351"/>
      <c r="AP56" s="351"/>
      <c r="AQ56" s="351"/>
      <c r="AR56" s="351"/>
      <c r="AS56" s="351"/>
      <c r="AT56" s="351"/>
      <c r="AU56" s="351"/>
      <c r="AV56" s="351"/>
      <c r="AW56" s="351"/>
      <c r="AX56" s="351"/>
      <c r="AY56" s="351"/>
      <c r="AZ56" s="351"/>
      <c r="BA56" s="351"/>
      <c r="BB56" s="351"/>
      <c r="BC56" s="351"/>
      <c r="BD56" s="351"/>
      <c r="BE56" s="351"/>
      <c r="BF56" s="351"/>
      <c r="BG56" s="351"/>
      <c r="BH56" s="351"/>
    </row>
    <row r="57" customFormat="false" ht="12.75" hidden="false" customHeight="false" outlineLevel="0" collapsed="false">
      <c r="A57" s="31"/>
      <c r="B57" s="146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1"/>
    </row>
    <row r="58" customFormat="false" ht="12.75" hidden="false" customHeight="false" outlineLevel="0" collapsed="false">
      <c r="A58" s="31"/>
      <c r="B58" s="146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1"/>
      <c r="AN58" s="351"/>
      <c r="AO58" s="351"/>
      <c r="AP58" s="351"/>
      <c r="AQ58" s="351"/>
      <c r="AR58" s="351"/>
      <c r="AS58" s="351"/>
      <c r="AT58" s="351"/>
      <c r="AU58" s="351"/>
      <c r="AV58" s="351"/>
      <c r="AW58" s="351"/>
      <c r="AX58" s="351"/>
      <c r="AY58" s="351"/>
      <c r="AZ58" s="351"/>
      <c r="BA58" s="351"/>
      <c r="BB58" s="351"/>
      <c r="BC58" s="351"/>
      <c r="BD58" s="351"/>
      <c r="BE58" s="351"/>
      <c r="BF58" s="351"/>
      <c r="BG58" s="351"/>
      <c r="BH58" s="351"/>
    </row>
    <row r="59" customFormat="false" ht="12.75" hidden="false" customHeight="false" outlineLevel="0" collapsed="false">
      <c r="A59" s="31"/>
      <c r="B59" s="146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1"/>
      <c r="AL59" s="351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1"/>
      <c r="AX59" s="351"/>
      <c r="AY59" s="351"/>
      <c r="AZ59" s="351"/>
      <c r="BA59" s="351"/>
      <c r="BB59" s="351"/>
      <c r="BC59" s="351"/>
      <c r="BD59" s="351"/>
      <c r="BE59" s="351"/>
      <c r="BF59" s="351"/>
      <c r="BG59" s="351"/>
      <c r="BH59" s="351"/>
    </row>
    <row r="60" customFormat="false" ht="12.75" hidden="false" customHeight="false" outlineLevel="0" collapsed="false">
      <c r="A60" s="31"/>
      <c r="B60" s="146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</row>
    <row r="61" customFormat="false" ht="12.75" hidden="false" customHeight="false" outlineLevel="0" collapsed="false">
      <c r="A61" s="146"/>
      <c r="B61" s="146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</row>
    <row r="62" customFormat="false" ht="12.75" hidden="false" customHeight="false" outlineLevel="0" collapsed="false"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</row>
    <row r="63" customFormat="false" ht="12.75" hidden="false" customHeight="false" outlineLevel="0" collapsed="false"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</row>
    <row r="64" customFormat="false" ht="12.75" hidden="false" customHeight="false" outlineLevel="0" collapsed="false"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</row>
    <row r="65" customFormat="false" ht="12.75" hidden="false" customHeight="false" outlineLevel="0" collapsed="false"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</row>
    <row r="66" customFormat="false" ht="12.75" hidden="false" customHeight="false" outlineLevel="0" collapsed="false"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</row>
    <row r="67" customFormat="false" ht="12.75" hidden="false" customHeight="false" outlineLevel="0" collapsed="false"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</row>
    <row r="68" customFormat="false" ht="12.75" hidden="false" customHeight="false" outlineLevel="0" collapsed="false"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1"/>
      <c r="AN68" s="351"/>
      <c r="AO68" s="351"/>
      <c r="AP68" s="351"/>
      <c r="AQ68" s="351"/>
      <c r="AR68" s="351"/>
      <c r="AS68" s="351"/>
      <c r="AT68" s="351"/>
      <c r="AU68" s="351"/>
      <c r="AV68" s="351"/>
      <c r="AW68" s="351"/>
      <c r="AX68" s="351"/>
      <c r="AY68" s="351"/>
    </row>
    <row r="69" customFormat="false" ht="12.75" hidden="false" customHeight="false" outlineLevel="0" collapsed="false"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1"/>
      <c r="AN69" s="351"/>
      <c r="AO69" s="351"/>
      <c r="AP69" s="351"/>
      <c r="AQ69" s="351"/>
      <c r="AR69" s="351"/>
      <c r="AS69" s="351"/>
      <c r="AT69" s="351"/>
      <c r="AU69" s="351"/>
      <c r="AV69" s="351"/>
      <c r="AW69" s="351"/>
      <c r="AX69" s="351"/>
      <c r="AY69" s="351"/>
    </row>
    <row r="70" customFormat="false" ht="12.75" hidden="false" customHeight="false" outlineLevel="0" collapsed="false"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51"/>
      <c r="AH70" s="351"/>
      <c r="AI70" s="351"/>
      <c r="AJ70" s="351"/>
      <c r="AK70" s="351"/>
      <c r="AL70" s="351"/>
      <c r="AM70" s="351"/>
      <c r="AN70" s="351"/>
      <c r="AO70" s="351"/>
      <c r="AP70" s="351"/>
      <c r="AQ70" s="351"/>
      <c r="AR70" s="351"/>
      <c r="AS70" s="351"/>
      <c r="AT70" s="351"/>
      <c r="AU70" s="351"/>
      <c r="AV70" s="351"/>
      <c r="AW70" s="351"/>
      <c r="AX70" s="351"/>
      <c r="AY70" s="351"/>
    </row>
    <row r="71" customFormat="false" ht="12.75" hidden="false" customHeight="false" outlineLevel="0" collapsed="false"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</row>
    <row r="72" customFormat="false" ht="12.75" hidden="false" customHeight="false" outlineLevel="0" collapsed="false"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51"/>
      <c r="AH72" s="351"/>
      <c r="AI72" s="351"/>
      <c r="AJ72" s="351"/>
      <c r="AK72" s="351"/>
      <c r="AL72" s="351"/>
      <c r="AM72" s="351"/>
      <c r="AN72" s="351"/>
      <c r="AO72" s="351"/>
      <c r="AP72" s="351"/>
      <c r="AQ72" s="351"/>
      <c r="AR72" s="351"/>
      <c r="AS72" s="351"/>
      <c r="AT72" s="351"/>
      <c r="AU72" s="351"/>
      <c r="AV72" s="351"/>
      <c r="AW72" s="351"/>
      <c r="AX72" s="351"/>
      <c r="AY72" s="351"/>
    </row>
    <row r="73" customFormat="false" ht="12.75" hidden="false" customHeight="false" outlineLevel="0" collapsed="false"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1"/>
      <c r="AN73" s="351"/>
      <c r="AO73" s="351"/>
      <c r="AP73" s="351"/>
      <c r="AQ73" s="351"/>
      <c r="AR73" s="351"/>
      <c r="AS73" s="351"/>
      <c r="AT73" s="351"/>
      <c r="AU73" s="351"/>
      <c r="AV73" s="351"/>
      <c r="AW73" s="351"/>
      <c r="AX73" s="351"/>
      <c r="AY73" s="351"/>
    </row>
    <row r="74" customFormat="false" ht="12.75" hidden="false" customHeight="false" outlineLevel="0" collapsed="false"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351"/>
      <c r="AQ74" s="351"/>
      <c r="AR74" s="351"/>
      <c r="AS74" s="351"/>
      <c r="AT74" s="351"/>
      <c r="AU74" s="351"/>
      <c r="AV74" s="351"/>
      <c r="AW74" s="351"/>
      <c r="AX74" s="351"/>
      <c r="AY74" s="351"/>
    </row>
    <row r="75" customFormat="false" ht="12.75" hidden="false" customHeight="false" outlineLevel="0" collapsed="false"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1"/>
      <c r="AN75" s="351"/>
      <c r="AO75" s="351"/>
      <c r="AP75" s="351"/>
      <c r="AQ75" s="351"/>
      <c r="AR75" s="351"/>
      <c r="AS75" s="351"/>
      <c r="AT75" s="351"/>
      <c r="AU75" s="351"/>
      <c r="AV75" s="351"/>
      <c r="AW75" s="351"/>
      <c r="AX75" s="351"/>
      <c r="AY75" s="351"/>
    </row>
    <row r="76" customFormat="false" ht="12.75" hidden="false" customHeight="false" outlineLevel="0" collapsed="false"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1"/>
      <c r="AN76" s="351"/>
      <c r="AO76" s="351"/>
      <c r="AP76" s="351"/>
      <c r="AQ76" s="351"/>
      <c r="AR76" s="351"/>
      <c r="AS76" s="351"/>
      <c r="AT76" s="351"/>
      <c r="AU76" s="351"/>
      <c r="AV76" s="351"/>
      <c r="AW76" s="351"/>
      <c r="AX76" s="351"/>
      <c r="AY76" s="351"/>
    </row>
    <row r="77" customFormat="false" ht="12.75" hidden="false" customHeight="false" outlineLevel="0" collapsed="false"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1"/>
      <c r="AN77" s="351"/>
      <c r="AO77" s="351"/>
      <c r="AP77" s="351"/>
      <c r="AQ77" s="351"/>
      <c r="AR77" s="351"/>
      <c r="AS77" s="351"/>
      <c r="AT77" s="351"/>
      <c r="AU77" s="351"/>
      <c r="AV77" s="351"/>
      <c r="AW77" s="351"/>
      <c r="AX77" s="351"/>
      <c r="AY77" s="351"/>
    </row>
    <row r="78" customFormat="false" ht="12.75" hidden="false" customHeight="false" outlineLevel="0" collapsed="false"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</row>
    <row r="79" customFormat="false" ht="12.75" hidden="false" customHeight="false" outlineLevel="0" collapsed="false"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</row>
    <row r="80" customFormat="false" ht="12.75" hidden="false" customHeight="false" outlineLevel="0" collapsed="false"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1"/>
      <c r="AN80" s="351"/>
      <c r="AO80" s="351"/>
      <c r="AP80" s="351"/>
      <c r="AQ80" s="351"/>
      <c r="AR80" s="351"/>
      <c r="AS80" s="351"/>
      <c r="AT80" s="351"/>
      <c r="AU80" s="351"/>
      <c r="AV80" s="351"/>
      <c r="AW80" s="351"/>
      <c r="AX80" s="351"/>
      <c r="AY80" s="351"/>
    </row>
    <row r="81" customFormat="false" ht="12.75" hidden="false" customHeight="false" outlineLevel="0" collapsed="false"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F81" s="351"/>
      <c r="AG81" s="351"/>
      <c r="AH81" s="351"/>
      <c r="AI81" s="351"/>
      <c r="AJ81" s="351"/>
      <c r="AK81" s="351"/>
      <c r="AL81" s="351"/>
      <c r="AM81" s="351"/>
      <c r="AN81" s="351"/>
      <c r="AO81" s="351"/>
      <c r="AP81" s="351"/>
      <c r="AQ81" s="351"/>
      <c r="AR81" s="351"/>
      <c r="AS81" s="351"/>
      <c r="AT81" s="351"/>
      <c r="AU81" s="351"/>
      <c r="AV81" s="351"/>
      <c r="AW81" s="351"/>
      <c r="AX81" s="351"/>
      <c r="AY81" s="351"/>
    </row>
    <row r="82" customFormat="false" ht="12.75" hidden="false" customHeight="false" outlineLevel="0" collapsed="false"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1"/>
      <c r="AQ82" s="351"/>
      <c r="AR82" s="351"/>
      <c r="AS82" s="351"/>
      <c r="AT82" s="351"/>
      <c r="AU82" s="351"/>
      <c r="AV82" s="351"/>
      <c r="AW82" s="351"/>
      <c r="AX82" s="351"/>
      <c r="AY82" s="351"/>
    </row>
    <row r="83" customFormat="false" ht="12.75" hidden="false" customHeight="false" outlineLevel="0" collapsed="false"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51"/>
      <c r="AN83" s="351"/>
      <c r="AO83" s="351"/>
      <c r="AP83" s="351"/>
      <c r="AQ83" s="351"/>
      <c r="AR83" s="351"/>
      <c r="AS83" s="351"/>
      <c r="AT83" s="351"/>
      <c r="AU83" s="351"/>
      <c r="AV83" s="351"/>
      <c r="AW83" s="351"/>
      <c r="AX83" s="351"/>
      <c r="AY83" s="351"/>
    </row>
    <row r="84" customFormat="false" ht="12.75" hidden="false" customHeight="false" outlineLevel="0" collapsed="false"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1"/>
      <c r="AN84" s="351"/>
      <c r="AO84" s="351"/>
      <c r="AP84" s="351"/>
      <c r="AQ84" s="351"/>
      <c r="AR84" s="351"/>
      <c r="AS84" s="351"/>
      <c r="AT84" s="351"/>
      <c r="AU84" s="351"/>
      <c r="AV84" s="351"/>
      <c r="AW84" s="351"/>
      <c r="AX84" s="351"/>
      <c r="AY84" s="351"/>
    </row>
    <row r="85" customFormat="false" ht="12.75" hidden="false" customHeight="false" outlineLevel="0" collapsed="false"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51"/>
      <c r="AX85" s="351"/>
      <c r="AY85" s="351"/>
    </row>
    <row r="86" customFormat="false" ht="12.75" hidden="false" customHeight="false" outlineLevel="0" collapsed="false"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1"/>
      <c r="AN86" s="351"/>
      <c r="AO86" s="351"/>
      <c r="AP86" s="351"/>
      <c r="AQ86" s="351"/>
      <c r="AR86" s="351"/>
      <c r="AS86" s="351"/>
      <c r="AT86" s="351"/>
      <c r="AU86" s="351"/>
      <c r="AV86" s="351"/>
      <c r="AW86" s="351"/>
      <c r="AX86" s="351"/>
      <c r="AY86" s="351"/>
    </row>
    <row r="87" customFormat="false" ht="12.75" hidden="false" customHeight="false" outlineLevel="0" collapsed="false"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1"/>
      <c r="AN87" s="351"/>
      <c r="AO87" s="351"/>
      <c r="AP87" s="351"/>
      <c r="AQ87" s="351"/>
      <c r="AR87" s="351"/>
      <c r="AS87" s="351"/>
      <c r="AT87" s="351"/>
      <c r="AU87" s="351"/>
      <c r="AV87" s="351"/>
      <c r="AW87" s="351"/>
      <c r="AX87" s="351"/>
      <c r="AY87" s="351"/>
    </row>
    <row r="88" customFormat="false" ht="12.75" hidden="false" customHeight="false" outlineLevel="0" collapsed="false"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51"/>
      <c r="AV88" s="351"/>
      <c r="AW88" s="351"/>
      <c r="AX88" s="351"/>
      <c r="AY88" s="351"/>
    </row>
    <row r="89" customFormat="false" ht="12.75" hidden="false" customHeight="false" outlineLevel="0" collapsed="false"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51"/>
      <c r="AV89" s="351"/>
      <c r="AW89" s="351"/>
      <c r="AX89" s="351"/>
      <c r="AY89" s="351"/>
    </row>
    <row r="90" customFormat="false" ht="12.75" hidden="false" customHeight="false" outlineLevel="0" collapsed="false"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1"/>
      <c r="AN90" s="351"/>
      <c r="AO90" s="351"/>
      <c r="AP90" s="351"/>
      <c r="AQ90" s="351"/>
      <c r="AR90" s="351"/>
      <c r="AS90" s="351"/>
      <c r="AT90" s="351"/>
      <c r="AU90" s="351"/>
      <c r="AV90" s="351"/>
      <c r="AW90" s="351"/>
      <c r="AX90" s="351"/>
      <c r="AY90" s="35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O12" colorId="64" zoomScale="75" zoomScaleNormal="75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  <c r="Y2" s="110"/>
      <c r="Z2" s="110"/>
    </row>
    <row r="3" customFormat="false" ht="12.75" hidden="false" customHeight="false" outlineLevel="0" collapsed="false">
      <c r="Y3" s="110"/>
      <c r="Z3" s="110"/>
    </row>
    <row r="4" customFormat="false" ht="18.75" hidden="false" customHeight="false" outlineLevel="0" collapsed="false">
      <c r="A4" s="301" t="s">
        <v>455</v>
      </c>
      <c r="Y4" s="110"/>
      <c r="Z4" s="110"/>
    </row>
    <row r="5" customFormat="false" ht="12.75" hidden="false" customHeight="false" outlineLevel="0" collapsed="false">
      <c r="Y5" s="110"/>
      <c r="Z5" s="110"/>
    </row>
    <row r="6" customFormat="false" ht="12.75" hidden="false" customHeight="false" outlineLevel="0" collapsed="false">
      <c r="B6" s="254" t="n">
        <v>0</v>
      </c>
      <c r="C6" s="254" t="n">
        <f aca="false">'Price_Technical Assumption'!D7</f>
        <v>0.666666666666667</v>
      </c>
      <c r="D6" s="254" t="n">
        <f aca="false">'Price_Technical Assumption'!E7</f>
        <v>1.66666666666667</v>
      </c>
      <c r="E6" s="254" t="n">
        <f aca="false">'Price_Technical Assumption'!F7</f>
        <v>2.66666666666667</v>
      </c>
      <c r="F6" s="254" t="n">
        <f aca="false">'Price_Technical Assumption'!G7</f>
        <v>3.66666666666667</v>
      </c>
      <c r="G6" s="254" t="n">
        <f aca="false">'Price_Technical Assumption'!H7</f>
        <v>4.66666666666667</v>
      </c>
      <c r="H6" s="254" t="n">
        <f aca="false">'Price_Technical Assumption'!I7</f>
        <v>5.66666666666667</v>
      </c>
      <c r="I6" s="254" t="n">
        <f aca="false">'Price_Technical Assumption'!J7</f>
        <v>6.66666666666667</v>
      </c>
      <c r="J6" s="254" t="n">
        <f aca="false">'Price_Technical Assumption'!K7</f>
        <v>7.66666666666667</v>
      </c>
      <c r="K6" s="254" t="n">
        <f aca="false">'Price_Technical Assumption'!L7</f>
        <v>8.66666666666667</v>
      </c>
      <c r="L6" s="254" t="n">
        <f aca="false">'Price_Technical Assumption'!M7</f>
        <v>9.66666666666667</v>
      </c>
      <c r="M6" s="254" t="n">
        <f aca="false">'Price_Technical Assumption'!N7</f>
        <v>10.6666666666667</v>
      </c>
      <c r="N6" s="254" t="n">
        <f aca="false">'Price_Technical Assumption'!O7</f>
        <v>11.6666666666667</v>
      </c>
      <c r="O6" s="254" t="n">
        <f aca="false">'Price_Technical Assumption'!P7</f>
        <v>12.6666666666667</v>
      </c>
      <c r="P6" s="254" t="n">
        <f aca="false">'Price_Technical Assumption'!Q7</f>
        <v>13.6666666666667</v>
      </c>
      <c r="Q6" s="254" t="n">
        <f aca="false">'Price_Technical Assumption'!R7</f>
        <v>14.6666666666667</v>
      </c>
      <c r="R6" s="254" t="n">
        <f aca="false">'Price_Technical Assumption'!S7</f>
        <v>15.6666666666667</v>
      </c>
      <c r="S6" s="254" t="n">
        <f aca="false">'Price_Technical Assumption'!T7</f>
        <v>16.6666666666667</v>
      </c>
      <c r="T6" s="254" t="n">
        <f aca="false">'Price_Technical Assumption'!U7</f>
        <v>17.6666666666667</v>
      </c>
      <c r="U6" s="254" t="n">
        <f aca="false">'Price_Technical Assumption'!V7</f>
        <v>18.6666666666667</v>
      </c>
      <c r="V6" s="254" t="n">
        <f aca="false">'Price_Technical Assumption'!W7</f>
        <v>19.6666666666667</v>
      </c>
      <c r="W6" s="254" t="n">
        <f aca="false">'Price_Technical Assumption'!X7</f>
        <v>20.6666666666667</v>
      </c>
      <c r="X6" s="254" t="n">
        <f aca="false">'Price_Technical Assumption'!Y7</f>
        <v>21.6666666666667</v>
      </c>
      <c r="Y6" s="254" t="n">
        <f aca="false">'Price_Technical Assumption'!Z7</f>
        <v>22.6666666666667</v>
      </c>
      <c r="Z6" s="254" t="n">
        <f aca="false">'Price_Technical Assumption'!AA7</f>
        <v>23.6666666666667</v>
      </c>
      <c r="AA6" s="254" t="n">
        <f aca="false">'Price_Technical Assumption'!AB7</f>
        <v>24.6666666666667</v>
      </c>
      <c r="AB6" s="254" t="n">
        <f aca="false">'Price_Technical Assumption'!AC7</f>
        <v>25.6666666666667</v>
      </c>
      <c r="AC6" s="254" t="n">
        <f aca="false">'Price_Technical Assumption'!AD7</f>
        <v>26.6666666666667</v>
      </c>
      <c r="AD6" s="254" t="n">
        <f aca="false">'Price_Technical Assumption'!AE7</f>
        <v>27.6666666666667</v>
      </c>
      <c r="AE6" s="254" t="n">
        <f aca="false">'Price_Technical Assumption'!AF7</f>
        <v>28.6666666666667</v>
      </c>
      <c r="AF6" s="254" t="n">
        <f aca="false">'Price_Technical Assumption'!AG7</f>
        <v>29.6666666666667</v>
      </c>
      <c r="AG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382</v>
      </c>
      <c r="B7" s="303" t="s">
        <v>427</v>
      </c>
      <c r="C7" s="303" t="n">
        <f aca="false">'Price_Technical Assumption'!D8</f>
        <v>2001</v>
      </c>
      <c r="D7" s="303" t="n">
        <f aca="false">'Price_Technical Assumption'!E8</f>
        <v>2002</v>
      </c>
      <c r="E7" s="303" t="n">
        <f aca="false">'Price_Technical Assumption'!F8</f>
        <v>2003</v>
      </c>
      <c r="F7" s="303" t="n">
        <f aca="false">'Price_Technical Assumption'!G8</f>
        <v>2004</v>
      </c>
      <c r="G7" s="303" t="n">
        <f aca="false">'Price_Technical Assumption'!H8</f>
        <v>2005</v>
      </c>
      <c r="H7" s="303" t="n">
        <f aca="false">'Price_Technical Assumption'!I8</f>
        <v>2006</v>
      </c>
      <c r="I7" s="303" t="n">
        <f aca="false">'Price_Technical Assumption'!J8</f>
        <v>2007</v>
      </c>
      <c r="J7" s="303" t="n">
        <f aca="false">'Price_Technical Assumption'!K8</f>
        <v>2008</v>
      </c>
      <c r="K7" s="303" t="n">
        <f aca="false">'Price_Technical Assumption'!L8</f>
        <v>2009</v>
      </c>
      <c r="L7" s="303" t="n">
        <f aca="false">'Price_Technical Assumption'!M8</f>
        <v>2010</v>
      </c>
      <c r="M7" s="303" t="n">
        <f aca="false">'Price_Technical Assumption'!N8</f>
        <v>2011</v>
      </c>
      <c r="N7" s="303" t="n">
        <f aca="false">'Price_Technical Assumption'!O8</f>
        <v>2012</v>
      </c>
      <c r="O7" s="303" t="n">
        <f aca="false">'Price_Technical Assumption'!P8</f>
        <v>2013</v>
      </c>
      <c r="P7" s="303" t="n">
        <f aca="false">'Price_Technical Assumption'!Q8</f>
        <v>2014</v>
      </c>
      <c r="Q7" s="303" t="n">
        <f aca="false">'Price_Technical Assumption'!R8</f>
        <v>2015</v>
      </c>
      <c r="R7" s="303" t="n">
        <f aca="false">'Price_Technical Assumption'!S8</f>
        <v>2016</v>
      </c>
      <c r="S7" s="303" t="n">
        <f aca="false">'Price_Technical Assumption'!T8</f>
        <v>2017</v>
      </c>
      <c r="T7" s="303" t="n">
        <f aca="false">'Price_Technical Assumption'!U8</f>
        <v>2018</v>
      </c>
      <c r="U7" s="303" t="n">
        <f aca="false">'Price_Technical Assumption'!V8</f>
        <v>2019</v>
      </c>
      <c r="V7" s="303" t="n">
        <f aca="false">'Price_Technical Assumption'!W8</f>
        <v>2020</v>
      </c>
      <c r="W7" s="303" t="n">
        <f aca="false">'Price_Technical Assumption'!X8</f>
        <v>2021</v>
      </c>
      <c r="X7" s="303" t="n">
        <f aca="false">'Price_Technical Assumption'!Y8</f>
        <v>2022</v>
      </c>
      <c r="Y7" s="303" t="n">
        <f aca="false">'Price_Technical Assumption'!Z8</f>
        <v>2023</v>
      </c>
      <c r="Z7" s="303" t="n">
        <f aca="false">'Price_Technical Assumption'!AA8</f>
        <v>2024</v>
      </c>
      <c r="AA7" s="303" t="n">
        <f aca="false">'Price_Technical Assumption'!AB8</f>
        <v>2025</v>
      </c>
      <c r="AB7" s="303" t="n">
        <f aca="false">'Price_Technical Assumption'!AC8</f>
        <v>2026</v>
      </c>
      <c r="AC7" s="303" t="n">
        <f aca="false">'Price_Technical Assumption'!AD8</f>
        <v>2027</v>
      </c>
      <c r="AD7" s="303" t="n">
        <f aca="false">'Price_Technical Assumption'!AE8</f>
        <v>2028</v>
      </c>
      <c r="AE7" s="303" t="n">
        <f aca="false">'Price_Technical Assumption'!AF8</f>
        <v>2029</v>
      </c>
      <c r="AF7" s="303" t="n">
        <f aca="false">'Price_Technical Assumption'!AG8</f>
        <v>2030</v>
      </c>
      <c r="AG7" s="303" t="n">
        <f aca="false">'Price_Technical Assumption'!AH8</f>
        <v>2031</v>
      </c>
    </row>
    <row r="8" customFormat="false" ht="12.75" hidden="false" customHeight="false" outlineLevel="0" collapsed="false">
      <c r="A8" s="358"/>
      <c r="B8" s="359" t="n">
        <f aca="false">Assumptions!G46</f>
        <v>36617</v>
      </c>
      <c r="C8" s="359" t="n">
        <f aca="false">BS!D8</f>
        <v>37255.5</v>
      </c>
      <c r="D8" s="359" t="n">
        <f aca="false">BS!E8</f>
        <v>37620.75</v>
      </c>
      <c r="E8" s="359" t="n">
        <f aca="false">BS!F8</f>
        <v>37986</v>
      </c>
      <c r="F8" s="359" t="n">
        <f aca="false">BS!G8</f>
        <v>38351.25</v>
      </c>
      <c r="G8" s="359" t="n">
        <f aca="false">BS!H8</f>
        <v>38716.5</v>
      </c>
      <c r="H8" s="359" t="n">
        <f aca="false">BS!I8</f>
        <v>39081.75</v>
      </c>
      <c r="I8" s="359" t="n">
        <f aca="false">BS!J8</f>
        <v>39447</v>
      </c>
      <c r="J8" s="359" t="n">
        <f aca="false">BS!K8</f>
        <v>39812.25</v>
      </c>
      <c r="K8" s="359" t="n">
        <f aca="false">BS!L8</f>
        <v>40177.5</v>
      </c>
      <c r="L8" s="359" t="n">
        <f aca="false">BS!M8</f>
        <v>40542.75</v>
      </c>
      <c r="M8" s="359" t="n">
        <f aca="false">BS!N8</f>
        <v>40908</v>
      </c>
      <c r="N8" s="359" t="n">
        <f aca="false">BS!O8</f>
        <v>41273.25</v>
      </c>
      <c r="O8" s="359" t="n">
        <f aca="false">BS!P8</f>
        <v>41638.5</v>
      </c>
      <c r="P8" s="359" t="n">
        <f aca="false">BS!Q8</f>
        <v>42003.75</v>
      </c>
      <c r="Q8" s="359" t="n">
        <f aca="false">BS!R8</f>
        <v>42369</v>
      </c>
      <c r="R8" s="359" t="n">
        <f aca="false">BS!S8</f>
        <v>42734.25</v>
      </c>
      <c r="S8" s="359" t="n">
        <f aca="false">BS!T8</f>
        <v>43099.5</v>
      </c>
      <c r="T8" s="359" t="n">
        <f aca="false">BS!U8</f>
        <v>43464.75</v>
      </c>
      <c r="U8" s="359" t="n">
        <f aca="false">BS!V8</f>
        <v>43830</v>
      </c>
      <c r="V8" s="359" t="n">
        <f aca="false">BS!W8</f>
        <v>44195.25</v>
      </c>
      <c r="W8" s="359" t="n">
        <f aca="false">BS!X8</f>
        <v>44560.5</v>
      </c>
      <c r="X8" s="359" t="n">
        <f aca="false">BS!Y8</f>
        <v>44925.75</v>
      </c>
      <c r="Y8" s="359" t="n">
        <f aca="false">BS!Z8</f>
        <v>45291</v>
      </c>
      <c r="Z8" s="359" t="n">
        <f aca="false">BS!AA8</f>
        <v>45656.25</v>
      </c>
      <c r="AA8" s="359" t="n">
        <f aca="false">BS!AB8</f>
        <v>46021.5</v>
      </c>
      <c r="AB8" s="359" t="n">
        <f aca="false">BS!AC8</f>
        <v>46386.75</v>
      </c>
      <c r="AC8" s="359" t="n">
        <f aca="false">BS!AD8</f>
        <v>46752</v>
      </c>
      <c r="AD8" s="359" t="n">
        <f aca="false">BS!AE8</f>
        <v>47117.25</v>
      </c>
      <c r="AE8" s="359" t="n">
        <f aca="false">BS!AF8</f>
        <v>47482.5</v>
      </c>
      <c r="AF8" s="359" t="n">
        <f aca="false">BS!AG8</f>
        <v>47847.75</v>
      </c>
      <c r="AG8" s="359" t="n">
        <f aca="false">BS!AH8</f>
        <v>48213</v>
      </c>
    </row>
    <row r="9" customFormat="false" ht="12.75" hidden="false" customHeight="false" outlineLevel="0" collapsed="false">
      <c r="A9" s="358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</row>
    <row r="10" customFormat="false" ht="13.5" hidden="false" customHeight="true" outlineLevel="1" collapsed="false">
      <c r="A10" s="13"/>
      <c r="B10" s="304"/>
      <c r="C10" s="360"/>
      <c r="D10" s="360"/>
      <c r="E10" s="360"/>
      <c r="F10" s="360"/>
      <c r="G10" s="360"/>
      <c r="H10" s="360"/>
      <c r="I10" s="361"/>
      <c r="J10" s="361"/>
      <c r="K10" s="362"/>
      <c r="L10" s="362"/>
      <c r="M10" s="361"/>
      <c r="N10" s="361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</row>
    <row r="11" customFormat="false" ht="12.75" hidden="false" customHeight="false" outlineLevel="0" collapsed="false">
      <c r="A11" s="363" t="s">
        <v>398</v>
      </c>
      <c r="B11" s="188" t="n">
        <v>0</v>
      </c>
      <c r="C11" s="188" t="n">
        <f aca="false">IS!C32</f>
        <v>12560.3147241265</v>
      </c>
      <c r="D11" s="188" t="n">
        <f aca="false">IS!D32</f>
        <v>20447.7751543247</v>
      </c>
      <c r="E11" s="188" t="n">
        <f aca="false">IS!E32</f>
        <v>20406.0118051247</v>
      </c>
      <c r="F11" s="188" t="n">
        <f aca="false">IS!F32</f>
        <v>20363.4131889407</v>
      </c>
      <c r="G11" s="188" t="n">
        <f aca="false">IS!G32</f>
        <v>20319.962600433</v>
      </c>
      <c r="H11" s="188" t="n">
        <f aca="false">IS!H32</f>
        <v>20275.6430001552</v>
      </c>
      <c r="I11" s="188" t="n">
        <f aca="false">IS!I32</f>
        <v>20230.4370078718</v>
      </c>
      <c r="J11" s="188" t="n">
        <f aca="false">IS!J32</f>
        <v>20184.3268957427</v>
      </c>
      <c r="K11" s="188" t="n">
        <f aca="false">IS!K32</f>
        <v>20137.2945813711</v>
      </c>
      <c r="L11" s="188" t="n">
        <f aca="false">IS!L32</f>
        <v>20089.321620712</v>
      </c>
      <c r="M11" s="188" t="n">
        <f aca="false">IS!M32</f>
        <v>20040.3892008398</v>
      </c>
      <c r="N11" s="188" t="n">
        <f aca="false">IS!N32</f>
        <v>19990.4781325701</v>
      </c>
      <c r="O11" s="188" t="n">
        <f aca="false">IS!O32</f>
        <v>19939.568842935</v>
      </c>
      <c r="P11" s="188" t="n">
        <f aca="false">IS!P32</f>
        <v>19887.6413675072</v>
      </c>
      <c r="Q11" s="188" t="n">
        <f aca="false">IS!Q32</f>
        <v>19834.6753425708</v>
      </c>
      <c r="R11" s="188" t="n">
        <f aca="false">IS!R32</f>
        <v>19780.6499971357</v>
      </c>
      <c r="S11" s="188" t="n">
        <f aca="false">IS!S32</f>
        <v>19725.544144792</v>
      </c>
      <c r="T11" s="188" t="n">
        <f aca="false">IS!T32</f>
        <v>19669.3361754013</v>
      </c>
      <c r="U11" s="188" t="n">
        <f aca="false">IS!U32</f>
        <v>19612.0040466228</v>
      </c>
      <c r="V11" s="188" t="n">
        <f aca="false">IS!V32</f>
        <v>19553.5252752688</v>
      </c>
      <c r="W11" s="188" t="n">
        <f aca="false">IS!W32</f>
        <v>19493.8769284877</v>
      </c>
      <c r="X11" s="188" t="n">
        <f aca="false">IS!X32</f>
        <v>19433.0356147709</v>
      </c>
      <c r="Y11" s="188" t="n">
        <f aca="false">IS!Y32</f>
        <v>19370.9774747799</v>
      </c>
      <c r="Z11" s="188" t="n">
        <f aca="false">IS!Z32</f>
        <v>19307.678171989</v>
      </c>
      <c r="AA11" s="188" t="n">
        <f aca="false">IS!AA32</f>
        <v>19243.1128831423</v>
      </c>
      <c r="AB11" s="188" t="n">
        <f aca="false">IS!AB32</f>
        <v>19177.2562885186</v>
      </c>
      <c r="AC11" s="188" t="n">
        <f aca="false">IS!AC32</f>
        <v>19110.0825620025</v>
      </c>
      <c r="AD11" s="188" t="n">
        <f aca="false">IS!AD32</f>
        <v>19041.5653609561</v>
      </c>
      <c r="AE11" s="188" t="n">
        <f aca="false">IS!AE32</f>
        <v>18971.6778158887</v>
      </c>
      <c r="AF11" s="188" t="n">
        <f aca="false">IS!AF32</f>
        <v>18900.39251992</v>
      </c>
      <c r="AG11" s="188" t="n">
        <f aca="false">IS!AG32</f>
        <v>2197.14009800735</v>
      </c>
    </row>
    <row r="12" customFormat="false" ht="12.75" hidden="false" customHeight="false" outlineLevel="0" collapsed="false">
      <c r="A12" s="363" t="s">
        <v>456</v>
      </c>
      <c r="B12" s="355" t="n">
        <v>0</v>
      </c>
      <c r="C12" s="355" t="n">
        <f aca="false">-IS!C38</f>
        <v>-6103.04682615547</v>
      </c>
      <c r="D12" s="355" t="n">
        <f aca="false">-IS!D38</f>
        <v>-10351.6071596684</v>
      </c>
      <c r="E12" s="355" t="n">
        <f aca="false">-IS!E38</f>
        <v>-10233.0952136799</v>
      </c>
      <c r="F12" s="355" t="n">
        <f aca="false">-IS!F38</f>
        <v>-10106.2874314722</v>
      </c>
      <c r="G12" s="355" t="n">
        <f aca="false">-IS!G38</f>
        <v>-9970.60310450989</v>
      </c>
      <c r="H12" s="355" t="n">
        <f aca="false">-IS!H38</f>
        <v>-9825.42087466026</v>
      </c>
      <c r="I12" s="355" t="n">
        <f aca="false">-IS!I38</f>
        <v>-9670.07588872116</v>
      </c>
      <c r="J12" s="355" t="n">
        <f aca="false">-IS!J38</f>
        <v>-9503.85675376632</v>
      </c>
      <c r="K12" s="355" t="n">
        <f aca="false">-IS!K38</f>
        <v>-9326.00227936464</v>
      </c>
      <c r="L12" s="355" t="n">
        <f aca="false">-IS!L38</f>
        <v>-9135.69799175484</v>
      </c>
      <c r="M12" s="355" t="n">
        <f aca="false">-IS!M38</f>
        <v>-8932.07240401236</v>
      </c>
      <c r="N12" s="355" t="n">
        <f aca="false">-IS!N38</f>
        <v>-8714.1930251279</v>
      </c>
      <c r="O12" s="355" t="n">
        <f aca="false">-IS!O38</f>
        <v>-8481.06208972153</v>
      </c>
      <c r="P12" s="355" t="n">
        <f aca="false">-IS!P38</f>
        <v>-8231.61198883672</v>
      </c>
      <c r="Q12" s="355" t="n">
        <f aca="false">-IS!Q38</f>
        <v>-7964.70038088997</v>
      </c>
      <c r="R12" s="355" t="n">
        <f aca="false">-IS!R38</f>
        <v>-7679.10496038694</v>
      </c>
      <c r="S12" s="355" t="n">
        <f aca="false">-IS!S38</f>
        <v>-7373.51786044871</v>
      </c>
      <c r="T12" s="355" t="n">
        <f aca="false">-IS!T38</f>
        <v>-7046.53966351479</v>
      </c>
      <c r="U12" s="355" t="n">
        <f aca="false">-IS!U38</f>
        <v>-6696.67299279551</v>
      </c>
      <c r="V12" s="355" t="n">
        <f aca="false">-IS!V38</f>
        <v>-6322.31565512587</v>
      </c>
      <c r="W12" s="355" t="n">
        <f aca="false">-IS!W38</f>
        <v>-5921.75330381936</v>
      </c>
      <c r="X12" s="355" t="n">
        <f aca="false">-(Debt!V44+Debt!W27+Debt!W36)</f>
        <v>-0</v>
      </c>
      <c r="Y12" s="355" t="n">
        <f aca="false">-(Debt!W44+Debt!X27+Debt!X36)</f>
        <v>-0</v>
      </c>
      <c r="Z12" s="355" t="n">
        <f aca="false">-(Debt!X44+Debt!Y27+Debt!Y36)</f>
        <v>-0</v>
      </c>
      <c r="AA12" s="355" t="n">
        <f aca="false">-(Debt!Y44+Debt!Z27+Debt!Z36)</f>
        <v>-0</v>
      </c>
      <c r="AB12" s="355" t="n">
        <f aca="false">-(Debt!Z44+Debt!AA27+Debt!AA36)</f>
        <v>-0</v>
      </c>
      <c r="AC12" s="355" t="n">
        <f aca="false">-(Debt!AA44+Debt!AB27+Debt!AB36)</f>
        <v>-0</v>
      </c>
      <c r="AD12" s="355" t="n">
        <f aca="false">-(Debt!AB44+Debt!AC27+Debt!AC36)</f>
        <v>-0</v>
      </c>
      <c r="AE12" s="355" t="n">
        <f aca="false">-(Debt!AC44+Debt!AD27+Debt!AD36)</f>
        <v>-0</v>
      </c>
      <c r="AF12" s="355" t="n">
        <f aca="false">-(Debt!AD44+Debt!AE27+Debt!AE36)</f>
        <v>-0</v>
      </c>
      <c r="AG12" s="355" t="n">
        <f aca="false">-(Debt!AE44+Debt!AF27+Debt!AF36)</f>
        <v>-0</v>
      </c>
      <c r="AH12" s="31"/>
      <c r="AI12" s="31"/>
    </row>
    <row r="13" customFormat="false" ht="12.75" hidden="false" customHeight="false" outlineLevel="0" collapsed="false">
      <c r="A13" s="363" t="s">
        <v>457</v>
      </c>
      <c r="B13" s="188" t="n">
        <f aca="false">SUM(B11:B12)</f>
        <v>0</v>
      </c>
      <c r="C13" s="188" t="n">
        <f aca="false">SUM(C11:C12)</f>
        <v>6457.26789797104</v>
      </c>
      <c r="D13" s="188" t="n">
        <f aca="false">SUM(D11:D12)</f>
        <v>10096.1679946563</v>
      </c>
      <c r="E13" s="188" t="n">
        <f aca="false">SUM(E11:E12)</f>
        <v>10172.9165914448</v>
      </c>
      <c r="F13" s="188" t="n">
        <f aca="false">SUM(F11:F12)</f>
        <v>10257.1257574685</v>
      </c>
      <c r="G13" s="188" t="n">
        <f aca="false">SUM(G11:G12)</f>
        <v>10349.3594959231</v>
      </c>
      <c r="H13" s="188" t="n">
        <f aca="false">SUM(H11:H12)</f>
        <v>10450.2221254949</v>
      </c>
      <c r="I13" s="188" t="n">
        <f aca="false">SUM(I11:I12)</f>
        <v>10560.3611191506</v>
      </c>
      <c r="J13" s="188" t="n">
        <f aca="false">SUM(J11:J12)</f>
        <v>10680.4701419764</v>
      </c>
      <c r="K13" s="188" t="n">
        <f aca="false">SUM(K11:K12)</f>
        <v>10811.2923020064</v>
      </c>
      <c r="L13" s="188" t="n">
        <f aca="false">SUM(L11:L12)</f>
        <v>10953.6236289572</v>
      </c>
      <c r="M13" s="188" t="n">
        <f aca="false">SUM(M11:M12)</f>
        <v>11108.3167968274</v>
      </c>
      <c r="N13" s="188" t="n">
        <f aca="false">SUM(N11:N12)</f>
        <v>11276.2851074422</v>
      </c>
      <c r="O13" s="188" t="n">
        <f aca="false">SUM(O11:O12)</f>
        <v>11458.5067532134</v>
      </c>
      <c r="P13" s="188" t="n">
        <f aca="false">SUM(P11:P12)</f>
        <v>11656.0293786705</v>
      </c>
      <c r="Q13" s="188" t="n">
        <f aca="false">SUM(Q11:Q12)</f>
        <v>11869.9749616809</v>
      </c>
      <c r="R13" s="188" t="n">
        <f aca="false">SUM(R11:R12)</f>
        <v>12101.5450367488</v>
      </c>
      <c r="S13" s="188" t="n">
        <f aca="false">SUM(S11:S12)</f>
        <v>12352.0262843433</v>
      </c>
      <c r="T13" s="188" t="n">
        <f aca="false">SUM(T11:T12)</f>
        <v>12622.7965118865</v>
      </c>
      <c r="U13" s="188" t="n">
        <f aca="false">SUM(U11:U12)</f>
        <v>12915.3310538273</v>
      </c>
      <c r="V13" s="188" t="n">
        <f aca="false">SUM(V11:V12)</f>
        <v>13231.2096201429</v>
      </c>
      <c r="W13" s="188" t="n">
        <f aca="false">SUM(W11:W12)</f>
        <v>13572.1236246683</v>
      </c>
      <c r="X13" s="188" t="n">
        <f aca="false">SUM(X11:X12)</f>
        <v>19433.0356147709</v>
      </c>
      <c r="Y13" s="188" t="n">
        <f aca="false">SUM(Y11:Y12)</f>
        <v>19370.9774747799</v>
      </c>
      <c r="Z13" s="188" t="n">
        <f aca="false">SUM(Z11:Z12)</f>
        <v>19307.678171989</v>
      </c>
      <c r="AA13" s="188" t="n">
        <f aca="false">SUM(AA11:AA12)</f>
        <v>19243.1128831423</v>
      </c>
      <c r="AB13" s="188" t="n">
        <f aca="false">SUM(AB11:AB12)</f>
        <v>19177.2562885186</v>
      </c>
      <c r="AC13" s="188" t="n">
        <f aca="false">SUM(AC11:AC12)</f>
        <v>19110.0825620025</v>
      </c>
      <c r="AD13" s="188" t="n">
        <f aca="false">SUM(AD11:AD12)</f>
        <v>19041.5653609561</v>
      </c>
      <c r="AE13" s="188" t="n">
        <f aca="false">SUM(AE11:AE12)</f>
        <v>18971.6778158887</v>
      </c>
      <c r="AF13" s="188" t="n">
        <f aca="false">SUM(AF11:AF12)</f>
        <v>18900.39251992</v>
      </c>
      <c r="AG13" s="188" t="n">
        <f aca="false">SUM(AG11:AG12)</f>
        <v>2197.14009800735</v>
      </c>
    </row>
    <row r="14" customFormat="false" ht="12.75" hidden="false" customHeight="false" outlineLevel="0" collapsed="false">
      <c r="A14" s="363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 customFormat="false" ht="12.75" hidden="false" customHeight="false" outlineLevel="0" collapsed="false">
      <c r="A15" s="363" t="s">
        <v>458</v>
      </c>
      <c r="B15" s="188" t="n">
        <v>0</v>
      </c>
      <c r="C15" s="188" t="n">
        <f aca="false">-Taxes!B24-Taxes!B41</f>
        <v>-0</v>
      </c>
      <c r="D15" s="188" t="n">
        <f aca="false">-Taxes!C24-Taxes!C41</f>
        <v>-0</v>
      </c>
      <c r="E15" s="188" t="n">
        <f aca="false">-Taxes!D24-Taxes!D41</f>
        <v>-0</v>
      </c>
      <c r="F15" s="188" t="n">
        <f aca="false">-Taxes!E24-Taxes!E41</f>
        <v>-0</v>
      </c>
      <c r="G15" s="188" t="n">
        <f aca="false">-Taxes!F24-Taxes!F41</f>
        <v>-0</v>
      </c>
      <c r="H15" s="188" t="n">
        <f aca="false">-Taxes!G24-Taxes!G41</f>
        <v>-0</v>
      </c>
      <c r="I15" s="188" t="n">
        <f aca="false">-Taxes!H24-Taxes!H41</f>
        <v>-0</v>
      </c>
      <c r="J15" s="188" t="n">
        <f aca="false">-Taxes!I24-Taxes!I41</f>
        <v>-0</v>
      </c>
      <c r="K15" s="188" t="n">
        <f aca="false">-Taxes!J24-Taxes!J41</f>
        <v>-0</v>
      </c>
      <c r="L15" s="188" t="n">
        <f aca="false">-Taxes!K24-Taxes!K41</f>
        <v>-0</v>
      </c>
      <c r="M15" s="188" t="n">
        <f aca="false">-Taxes!L24-Taxes!L41</f>
        <v>-0</v>
      </c>
      <c r="N15" s="188" t="n">
        <f aca="false">-Taxes!M24-Taxes!M41</f>
        <v>-0</v>
      </c>
      <c r="O15" s="188" t="n">
        <f aca="false">-Taxes!N24-Taxes!N41</f>
        <v>-0</v>
      </c>
      <c r="P15" s="188" t="n">
        <f aca="false">-Taxes!O24-Taxes!O41</f>
        <v>-0</v>
      </c>
      <c r="Q15" s="188" t="n">
        <f aca="false">-Taxes!P24-Taxes!P41</f>
        <v>-0</v>
      </c>
      <c r="R15" s="188" t="n">
        <f aca="false">-Taxes!Q24-Taxes!Q41</f>
        <v>-0</v>
      </c>
      <c r="S15" s="188" t="n">
        <f aca="false">-Taxes!R24-Taxes!R41</f>
        <v>-0</v>
      </c>
      <c r="T15" s="188" t="n">
        <f aca="false">-Taxes!S24-Taxes!S41</f>
        <v>-0</v>
      </c>
      <c r="U15" s="188" t="n">
        <f aca="false">-Taxes!T24-Taxes!T41</f>
        <v>-5108.01343178871</v>
      </c>
      <c r="V15" s="188" t="n">
        <f aca="false">-Taxes!U24-Taxes!U41</f>
        <v>-5232.94340476653</v>
      </c>
      <c r="W15" s="188" t="n">
        <f aca="false">-Taxes!V24-Taxes!V41</f>
        <v>-5367.77489355632</v>
      </c>
      <c r="X15" s="188" t="n">
        <f aca="false">-Taxes!W24-Taxes!W41</f>
        <v>-5513.224132619</v>
      </c>
      <c r="Y15" s="188" t="n">
        <f aca="false">-Taxes!X24-Taxes!X41</f>
        <v>-5670.05795539481</v>
      </c>
      <c r="Z15" s="188" t="n">
        <f aca="false">-Taxes!Y24-Taxes!Y41</f>
        <v>-5839.09734548325</v>
      </c>
      <c r="AA15" s="188" t="n">
        <f aca="false">-Taxes!Z24-Taxes!Z41</f>
        <v>-6021.22123659057</v>
      </c>
      <c r="AB15" s="188" t="n">
        <f aca="false">-Taxes!AA24-Taxes!AA41</f>
        <v>-6217.37057866235</v>
      </c>
      <c r="AC15" s="188" t="n">
        <f aca="false">-Taxes!AB24-Taxes!AB41</f>
        <v>-6428.55268883784</v>
      </c>
      <c r="AD15" s="188" t="n">
        <f aca="false">-Taxes!AC24-Taxes!AC41</f>
        <v>-6655.84590716746</v>
      </c>
      <c r="AE15" s="188" t="n">
        <f aca="false">-Taxes!AD24-Taxes!AD41</f>
        <v>-6900.40457843086</v>
      </c>
      <c r="AF15" s="188" t="n">
        <f aca="false">-Taxes!AE24-Taxes!AE41</f>
        <v>-7163.4643828864</v>
      </c>
      <c r="AG15" s="188" t="n">
        <f aca="false">-Taxes!AF24-Taxes!AF41</f>
        <v>-868.968908761908</v>
      </c>
    </row>
    <row r="16" customFormat="false" ht="12.75" hidden="false" customHeight="false" outlineLevel="0" collapsed="false">
      <c r="A16" s="363" t="s">
        <v>459</v>
      </c>
      <c r="B16" s="188" t="n">
        <v>0</v>
      </c>
      <c r="C16" s="188" t="n">
        <f aca="false">-'Revised Debt'!C19</f>
        <v>-1582.26897180951</v>
      </c>
      <c r="D16" s="188" t="n">
        <f aca="false">-'Revised Debt'!D19</f>
        <v>-1693.02779983618</v>
      </c>
      <c r="E16" s="188" t="n">
        <f aca="false">-'Revised Debt'!E19</f>
        <v>-1811.53974582471</v>
      </c>
      <c r="F16" s="188" t="n">
        <f aca="false">-'Revised Debt'!F19</f>
        <v>-1938.34752803244</v>
      </c>
      <c r="G16" s="188" t="n">
        <f aca="false">-'Revised Debt'!G19</f>
        <v>-2074.03185499471</v>
      </c>
      <c r="H16" s="188" t="n">
        <f aca="false">-'Revised Debt'!H19</f>
        <v>-2219.21408484434</v>
      </c>
      <c r="I16" s="188" t="n">
        <f aca="false">-'Revised Debt'!I19</f>
        <v>-2374.55907078344</v>
      </c>
      <c r="J16" s="188" t="n">
        <f aca="false">-'Revised Debt'!J19</f>
        <v>-2540.77820573828</v>
      </c>
      <c r="K16" s="188" t="n">
        <f aca="false">-'Revised Debt'!K19</f>
        <v>-2718.63268013996</v>
      </c>
      <c r="L16" s="188" t="n">
        <f aca="false">-'Revised Debt'!L19</f>
        <v>-2908.93696774976</v>
      </c>
      <c r="M16" s="188" t="n">
        <f aca="false">-'Revised Debt'!M19</f>
        <v>-3112.56255549224</v>
      </c>
      <c r="N16" s="188" t="n">
        <f aca="false">-'Revised Debt'!N19</f>
        <v>-3330.4419343767</v>
      </c>
      <c r="O16" s="188" t="n">
        <f aca="false">-'Revised Debt'!O19</f>
        <v>-3563.57286978307</v>
      </c>
      <c r="P16" s="188" t="n">
        <f aca="false">-'Revised Debt'!P19</f>
        <v>-3813.02297066788</v>
      </c>
      <c r="Q16" s="188" t="n">
        <f aca="false">-'Revised Debt'!Q19</f>
        <v>-4079.93457861463</v>
      </c>
      <c r="R16" s="188" t="n">
        <f aca="false">-'Revised Debt'!R19</f>
        <v>-4365.52999911766</v>
      </c>
      <c r="S16" s="188" t="n">
        <f aca="false">-'Revised Debt'!S19</f>
        <v>-4671.11709905589</v>
      </c>
      <c r="T16" s="188" t="n">
        <f aca="false">-'Revised Debt'!T19</f>
        <v>-4998.09529598981</v>
      </c>
      <c r="U16" s="188" t="n">
        <f aca="false">-'Revised Debt'!U19</f>
        <v>-5347.96196670909</v>
      </c>
      <c r="V16" s="188" t="n">
        <f aca="false">-'Revised Debt'!V19</f>
        <v>-5722.31930437873</v>
      </c>
      <c r="W16" s="188" t="n">
        <f aca="false">-'Revised Debt'!W19</f>
        <v>-6122.88165568524</v>
      </c>
      <c r="X16" s="188" t="n">
        <f aca="false">-Debt!W48</f>
        <v>-0</v>
      </c>
      <c r="Y16" s="188" t="n">
        <f aca="false">-Debt!X48</f>
        <v>-0</v>
      </c>
      <c r="Z16" s="188" t="n">
        <f aca="false">-Debt!Y48</f>
        <v>-0</v>
      </c>
      <c r="AA16" s="188" t="n">
        <f aca="false">-Debt!Z48</f>
        <v>-0</v>
      </c>
      <c r="AB16" s="188" t="n">
        <f aca="false">-Debt!AA48</f>
        <v>-0</v>
      </c>
      <c r="AC16" s="188" t="n">
        <f aca="false">-Debt!AB48</f>
        <v>-0</v>
      </c>
      <c r="AD16" s="188" t="n">
        <f aca="false">-Debt!AC48</f>
        <v>-0</v>
      </c>
      <c r="AE16" s="188" t="n">
        <f aca="false">-Debt!AD48</f>
        <v>-0</v>
      </c>
      <c r="AF16" s="188" t="n">
        <f aca="false">-Debt!AE48</f>
        <v>-0</v>
      </c>
      <c r="AG16" s="188" t="n">
        <f aca="false">-Debt!AF48</f>
        <v>-0</v>
      </c>
    </row>
    <row r="17" customFormat="false" ht="12.75" hidden="false" customHeight="false" outlineLevel="0" collapsed="false">
      <c r="A17" s="363" t="s">
        <v>460</v>
      </c>
      <c r="B17" s="364" t="n">
        <v>0</v>
      </c>
      <c r="C17" s="364" t="n">
        <v>0</v>
      </c>
      <c r="D17" s="364" t="n">
        <v>0</v>
      </c>
      <c r="E17" s="364" t="n">
        <v>0</v>
      </c>
      <c r="F17" s="364" t="n">
        <v>0</v>
      </c>
      <c r="G17" s="364" t="n">
        <v>0</v>
      </c>
      <c r="H17" s="364" t="n">
        <v>0</v>
      </c>
      <c r="I17" s="364" t="n">
        <v>0</v>
      </c>
      <c r="J17" s="364" t="n">
        <v>0</v>
      </c>
      <c r="K17" s="364" t="n">
        <v>0</v>
      </c>
      <c r="L17" s="364" t="n">
        <v>0</v>
      </c>
      <c r="M17" s="364" t="n">
        <v>0</v>
      </c>
      <c r="N17" s="364" t="n">
        <v>0</v>
      </c>
      <c r="O17" s="364" t="n">
        <v>0</v>
      </c>
      <c r="P17" s="364" t="n">
        <v>0</v>
      </c>
      <c r="Q17" s="364" t="n">
        <v>0</v>
      </c>
      <c r="R17" s="364" t="n">
        <v>0</v>
      </c>
      <c r="S17" s="364" t="n">
        <v>0</v>
      </c>
      <c r="T17" s="364" t="n">
        <v>0</v>
      </c>
      <c r="U17" s="364" t="n">
        <v>0</v>
      </c>
      <c r="V17" s="364" t="n">
        <v>0</v>
      </c>
      <c r="W17" s="364" t="n">
        <v>0</v>
      </c>
      <c r="X17" s="364" t="n">
        <v>0</v>
      </c>
      <c r="Y17" s="364" t="n">
        <v>0</v>
      </c>
      <c r="Z17" s="364" t="n">
        <v>0</v>
      </c>
      <c r="AA17" s="364" t="n">
        <v>0</v>
      </c>
      <c r="AB17" s="364" t="n">
        <v>0</v>
      </c>
      <c r="AC17" s="364" t="n">
        <v>0</v>
      </c>
      <c r="AD17" s="364" t="n">
        <v>0</v>
      </c>
      <c r="AE17" s="364" t="n">
        <v>0</v>
      </c>
      <c r="AF17" s="364" t="n">
        <v>0</v>
      </c>
      <c r="AG17" s="364" t="n">
        <v>0</v>
      </c>
    </row>
    <row r="18" customFormat="false" ht="12.75" hidden="false" customHeight="false" outlineLevel="0" collapsed="false">
      <c r="A18" s="363" t="s">
        <v>461</v>
      </c>
      <c r="B18" s="188" t="n">
        <f aca="false">B13+B17+B16+B15</f>
        <v>0</v>
      </c>
      <c r="C18" s="188" t="n">
        <f aca="false">C13+C17+C16+C15</f>
        <v>4874.99892616154</v>
      </c>
      <c r="D18" s="188" t="n">
        <f aca="false">D13+D17+D16+D15</f>
        <v>8403.14019482009</v>
      </c>
      <c r="E18" s="188" t="n">
        <f aca="false">E13+E17+E16+E15</f>
        <v>8361.37684562008</v>
      </c>
      <c r="F18" s="188" t="n">
        <f aca="false">F13+F17+F16+F15</f>
        <v>8318.77822943609</v>
      </c>
      <c r="G18" s="188" t="n">
        <f aca="false">G13+G17+G16+G15</f>
        <v>8275.32764092841</v>
      </c>
      <c r="H18" s="188" t="n">
        <f aca="false">H13+H17+H16+H15</f>
        <v>8231.00804065057</v>
      </c>
      <c r="I18" s="188" t="n">
        <f aca="false">I13+I17+I16+I15</f>
        <v>8185.80204836718</v>
      </c>
      <c r="J18" s="188" t="n">
        <f aca="false">J13+J17+J16+J15</f>
        <v>8139.69193623812</v>
      </c>
      <c r="K18" s="188" t="n">
        <f aca="false">K13+K17+K16+K15</f>
        <v>8092.65962186648</v>
      </c>
      <c r="L18" s="188" t="n">
        <f aca="false">L13+L17+L16+L15</f>
        <v>8044.68666120741</v>
      </c>
      <c r="M18" s="188" t="n">
        <f aca="false">M13+M17+M16+M15</f>
        <v>7995.75424133516</v>
      </c>
      <c r="N18" s="188" t="n">
        <f aca="false">N13+N17+N16+N15</f>
        <v>7945.84317306546</v>
      </c>
      <c r="O18" s="188" t="n">
        <f aca="false">O13+O17+O16+O15</f>
        <v>7894.93388343037</v>
      </c>
      <c r="P18" s="188" t="n">
        <f aca="false">P13+P17+P16+P15</f>
        <v>7843.00640800257</v>
      </c>
      <c r="Q18" s="188" t="n">
        <f aca="false">Q13+Q17+Q16+Q15</f>
        <v>7790.04038306622</v>
      </c>
      <c r="R18" s="188" t="n">
        <f aca="false">R13+R17+R16+R15</f>
        <v>7736.01503763114</v>
      </c>
      <c r="S18" s="188" t="n">
        <f aca="false">S13+S17+S16+S15</f>
        <v>7680.90918528737</v>
      </c>
      <c r="T18" s="188" t="n">
        <f aca="false">T13+T17+T16+T15</f>
        <v>7624.70121589671</v>
      </c>
      <c r="U18" s="188" t="n">
        <f aca="false">U13+U17+U16+U15</f>
        <v>2459.35565532953</v>
      </c>
      <c r="V18" s="188" t="n">
        <f aca="false">V13+V17+V16+V15</f>
        <v>2275.94691099768</v>
      </c>
      <c r="W18" s="188" t="n">
        <f aca="false">W13+W17+W16+W15</f>
        <v>2081.46707542677</v>
      </c>
      <c r="X18" s="188" t="n">
        <f aca="false">X13+X17+X16+X15</f>
        <v>13919.8114821519</v>
      </c>
      <c r="Y18" s="188" t="n">
        <f aca="false">Y13+Y17+Y16+Y15</f>
        <v>13700.9195193851</v>
      </c>
      <c r="Z18" s="188" t="n">
        <f aca="false">Z13+Z17+Z16+Z15</f>
        <v>13468.5808265057</v>
      </c>
      <c r="AA18" s="188" t="n">
        <f aca="false">AA13+AA17+AA16+AA15</f>
        <v>13221.8916465517</v>
      </c>
      <c r="AB18" s="188" t="n">
        <f aca="false">AB13+AB17+AB16+AB15</f>
        <v>12959.8857098563</v>
      </c>
      <c r="AC18" s="188" t="n">
        <f aca="false">AC13+AC17+AC16+AC15</f>
        <v>12681.5298731647</v>
      </c>
      <c r="AD18" s="188" t="n">
        <f aca="false">AD13+AD17+AD16+AD15</f>
        <v>12385.7194537886</v>
      </c>
      <c r="AE18" s="188" t="n">
        <f aca="false">AE13+AE17+AE16+AE15</f>
        <v>12071.2732374578</v>
      </c>
      <c r="AF18" s="188" t="n">
        <f aca="false">AF13+AF17+AF16+AF15</f>
        <v>11736.9281370336</v>
      </c>
      <c r="AG18" s="188" t="n">
        <f aca="false">AG13+AG17+AG16+AG15</f>
        <v>1328.17118924545</v>
      </c>
    </row>
    <row r="19" customFormat="false" ht="12.75" hidden="false" customHeight="false" outlineLevel="0" collapsed="false">
      <c r="A19" s="365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</row>
    <row r="20" customFormat="false" ht="12.75" hidden="false" customHeight="false" outlineLevel="0" collapsed="false">
      <c r="A20" s="367" t="s">
        <v>462</v>
      </c>
      <c r="B20" s="368" t="n">
        <v>1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</row>
    <row r="21" customFormat="false" ht="12.75" hidden="false" customHeight="false" outlineLevel="0" collapsed="false">
      <c r="B21" s="188" t="n">
        <f aca="false">$B$20*B18</f>
        <v>0</v>
      </c>
      <c r="C21" s="188" t="n">
        <f aca="false">$B$20*C18</f>
        <v>4874.99892616154</v>
      </c>
      <c r="D21" s="188" t="n">
        <f aca="false">$B$20*D18</f>
        <v>8403.14019482009</v>
      </c>
      <c r="E21" s="188" t="n">
        <f aca="false">$B$20*E18</f>
        <v>8361.37684562008</v>
      </c>
      <c r="F21" s="188" t="n">
        <f aca="false">$B$20*F18</f>
        <v>8318.77822943609</v>
      </c>
      <c r="G21" s="188" t="n">
        <f aca="false">$B$20*G18</f>
        <v>8275.32764092841</v>
      </c>
      <c r="H21" s="188" t="n">
        <f aca="false">$B$20*H18</f>
        <v>8231.00804065057</v>
      </c>
      <c r="I21" s="188" t="n">
        <f aca="false">$B$20*I18</f>
        <v>8185.80204836718</v>
      </c>
      <c r="J21" s="188" t="n">
        <f aca="false">$B$20*J18</f>
        <v>8139.69193623812</v>
      </c>
      <c r="K21" s="188" t="n">
        <f aca="false">$B$20*K18</f>
        <v>8092.65962186648</v>
      </c>
      <c r="L21" s="188" t="n">
        <f aca="false">$B$20*L18</f>
        <v>8044.68666120741</v>
      </c>
      <c r="M21" s="188" t="n">
        <f aca="false">$B$20*M18</f>
        <v>7995.75424133516</v>
      </c>
      <c r="N21" s="188" t="n">
        <f aca="false">$B$20*N18</f>
        <v>7945.84317306546</v>
      </c>
      <c r="O21" s="188" t="n">
        <f aca="false">$B$20*O18</f>
        <v>7894.93388343037</v>
      </c>
      <c r="P21" s="188" t="n">
        <f aca="false">$B$20*P18</f>
        <v>7843.00640800257</v>
      </c>
      <c r="Q21" s="188" t="n">
        <f aca="false">$B$20*Q18</f>
        <v>7790.04038306622</v>
      </c>
      <c r="R21" s="188" t="n">
        <f aca="false">$B$20*R18</f>
        <v>7736.01503763114</v>
      </c>
      <c r="S21" s="188" t="n">
        <f aca="false">$B$20*S18</f>
        <v>7680.90918528737</v>
      </c>
      <c r="T21" s="188" t="n">
        <f aca="false">$B$20*T18</f>
        <v>7624.70121589671</v>
      </c>
      <c r="U21" s="188" t="n">
        <f aca="false">$B$20*U18</f>
        <v>2459.35565532953</v>
      </c>
      <c r="V21" s="188" t="n">
        <f aca="false">$B$20*V18</f>
        <v>2275.94691099768</v>
      </c>
      <c r="W21" s="188" t="n">
        <f aca="false">$B$20*W18</f>
        <v>2081.46707542677</v>
      </c>
      <c r="X21" s="188" t="n">
        <f aca="false">$B$20*X18</f>
        <v>13919.8114821519</v>
      </c>
      <c r="Y21" s="188" t="n">
        <f aca="false">$B$20*Y18</f>
        <v>13700.9195193851</v>
      </c>
      <c r="Z21" s="188" t="n">
        <f aca="false">$B$20*Z18</f>
        <v>13468.5808265057</v>
      </c>
      <c r="AA21" s="188" t="n">
        <f aca="false">$B$20*AA18</f>
        <v>13221.8916465517</v>
      </c>
      <c r="AB21" s="188" t="n">
        <f aca="false">$B$20*AB18</f>
        <v>12959.8857098563</v>
      </c>
      <c r="AC21" s="188" t="n">
        <f aca="false">$B$20*AC18</f>
        <v>12681.5298731647</v>
      </c>
      <c r="AD21" s="188" t="n">
        <f aca="false">$B$20*AD18</f>
        <v>12385.7194537886</v>
      </c>
      <c r="AE21" s="188" t="n">
        <f aca="false">$B$20*AE18</f>
        <v>12071.2732374578</v>
      </c>
      <c r="AF21" s="188" t="n">
        <f aca="false">$B$20*AF18</f>
        <v>11736.9281370336</v>
      </c>
      <c r="AG21" s="188" t="n">
        <f aca="false">$B$20*AG18</f>
        <v>1328.17118924545</v>
      </c>
    </row>
    <row r="22" customFormat="false" ht="12.75" hidden="false" customHeight="false" outlineLevel="0" collapsed="false"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</row>
    <row r="23" customFormat="false" ht="12.75" hidden="true" customHeight="false" outlineLevel="0" collapsed="false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</row>
    <row r="24" customFormat="false" ht="12.75" hidden="true" customHeight="false" outlineLevel="0" collapsed="false">
      <c r="A24" s="369" t="s">
        <v>463</v>
      </c>
      <c r="B24" s="370" t="n">
        <v>0.14</v>
      </c>
      <c r="AA24" s="366"/>
      <c r="AB24" s="366"/>
      <c r="AC24" s="366"/>
      <c r="AD24" s="366"/>
    </row>
    <row r="25" customFormat="false" ht="12.75" hidden="true" customHeight="false" outlineLevel="0" collapsed="false">
      <c r="A25" s="363" t="s">
        <v>464</v>
      </c>
      <c r="B25" s="188" t="n">
        <f aca="false">-Assumptions!C11</f>
        <v>-64055.3019654802</v>
      </c>
      <c r="C25" s="188" t="n">
        <f aca="false">+B29</f>
        <v>-64055.3019654802</v>
      </c>
      <c r="D25" s="188" t="n">
        <f aca="false">+C29</f>
        <v>-64055.3019654802</v>
      </c>
      <c r="E25" s="188" t="n">
        <f aca="false">+D29</f>
        <v>-64055.3019654802</v>
      </c>
      <c r="F25" s="188" t="n">
        <f aca="false">+E29</f>
        <v>-64055.3019654802</v>
      </c>
      <c r="G25" s="188" t="n">
        <f aca="false">+F29</f>
        <v>-64055.3019654802</v>
      </c>
      <c r="H25" s="188" t="n">
        <f aca="false">+G29</f>
        <v>-64055.3019654802</v>
      </c>
      <c r="I25" s="188" t="n">
        <f aca="false">+H29</f>
        <v>-64055.3019654802</v>
      </c>
      <c r="J25" s="188" t="n">
        <f aca="false">+I29</f>
        <v>-64055.3019654802</v>
      </c>
      <c r="K25" s="188" t="n">
        <f aca="false">+J29</f>
        <v>-64055.3019654802</v>
      </c>
      <c r="L25" s="188" t="n">
        <f aca="false">+K29</f>
        <v>-64055.3019654802</v>
      </c>
      <c r="M25" s="188" t="n">
        <f aca="false">+L29</f>
        <v>-64055.3019654802</v>
      </c>
      <c r="N25" s="188" t="n">
        <f aca="false">+M29</f>
        <v>-64055.3019654802</v>
      </c>
      <c r="O25" s="188" t="n">
        <f aca="false">+N29</f>
        <v>-64055.3019654802</v>
      </c>
      <c r="P25" s="188" t="n">
        <f aca="false">+O29</f>
        <v>-64055.3019654802</v>
      </c>
      <c r="Q25" s="188" t="n">
        <f aca="false">+P29</f>
        <v>-64055.3019654802</v>
      </c>
      <c r="R25" s="188" t="n">
        <f aca="false">+Q29</f>
        <v>-64055.3019654802</v>
      </c>
      <c r="S25" s="188" t="n">
        <f aca="false">+R29</f>
        <v>-64055.3019654802</v>
      </c>
      <c r="T25" s="188" t="n">
        <f aca="false">+S29</f>
        <v>-64055.3019654802</v>
      </c>
      <c r="U25" s="188" t="n">
        <f aca="false">+T29</f>
        <v>-64055.3019654802</v>
      </c>
      <c r="V25" s="188" t="n">
        <f aca="false">+U29</f>
        <v>-64055.3019654802</v>
      </c>
      <c r="W25" s="188" t="n">
        <f aca="false">+V29</f>
        <v>-64055.3019654802</v>
      </c>
      <c r="X25" s="188" t="n">
        <f aca="false">+W29</f>
        <v>-64055.3019654802</v>
      </c>
      <c r="Y25" s="188" t="n">
        <f aca="false">+X29</f>
        <v>-59103.2327584954</v>
      </c>
      <c r="Z25" s="188" t="n">
        <f aca="false">+Y29</f>
        <v>-53676.7658252997</v>
      </c>
      <c r="AA25" s="188" t="n">
        <f aca="false">+Z29</f>
        <v>-47722.9322143359</v>
      </c>
      <c r="AB25" s="188" t="n">
        <f aca="false">+AA29</f>
        <v>-41182.2510777913</v>
      </c>
      <c r="AC25" s="188" t="n">
        <f aca="false">+AB29</f>
        <v>-33987.8805188258</v>
      </c>
      <c r="AD25" s="188" t="n">
        <f aca="false">+AC29</f>
        <v>-26064.6539182968</v>
      </c>
      <c r="AE25" s="188" t="n">
        <f aca="false">+AD29</f>
        <v>-17327.9860130697</v>
      </c>
      <c r="AF25" s="188" t="n">
        <f aca="false">+AE29</f>
        <v>-7682.63081744166</v>
      </c>
      <c r="AG25" s="188" t="n">
        <f aca="false">+AF29</f>
        <v>2978.72900515007</v>
      </c>
    </row>
    <row r="26" customFormat="false" ht="12.75" hidden="true" customHeight="false" outlineLevel="0" collapsed="false">
      <c r="A26" s="363" t="s">
        <v>465</v>
      </c>
      <c r="B26" s="188" t="n">
        <v>0</v>
      </c>
      <c r="C26" s="188" t="n">
        <f aca="false">+-B25*$B$24</f>
        <v>8967.74227516722</v>
      </c>
      <c r="D26" s="188" t="n">
        <f aca="false">+-D25*$B$24</f>
        <v>8967.74227516722</v>
      </c>
      <c r="E26" s="188" t="n">
        <f aca="false">+-E25*$B$24</f>
        <v>8967.74227516722</v>
      </c>
      <c r="F26" s="188" t="n">
        <f aca="false">+-F25*$B$24</f>
        <v>8967.74227516722</v>
      </c>
      <c r="G26" s="188" t="n">
        <f aca="false">+-G25*$B$24</f>
        <v>8967.74227516722</v>
      </c>
      <c r="H26" s="188" t="n">
        <f aca="false">+-H25*$B$24</f>
        <v>8967.74227516722</v>
      </c>
      <c r="I26" s="188" t="n">
        <f aca="false">+-I25*$B$24</f>
        <v>8967.74227516722</v>
      </c>
      <c r="J26" s="188" t="n">
        <f aca="false">+-J25*$B$24</f>
        <v>8967.74227516722</v>
      </c>
      <c r="K26" s="188" t="n">
        <f aca="false">+-K25*$B$24</f>
        <v>8967.74227516722</v>
      </c>
      <c r="L26" s="188" t="n">
        <f aca="false">+-L25*$B$24</f>
        <v>8967.74227516722</v>
      </c>
      <c r="M26" s="188" t="n">
        <f aca="false">+-M25*$B$24</f>
        <v>8967.74227516722</v>
      </c>
      <c r="N26" s="188" t="n">
        <f aca="false">+-N25*$B$24</f>
        <v>8967.74227516722</v>
      </c>
      <c r="O26" s="188" t="n">
        <f aca="false">+-O25*$B$24</f>
        <v>8967.74227516722</v>
      </c>
      <c r="P26" s="188" t="n">
        <f aca="false">+-P25*$B$24</f>
        <v>8967.74227516722</v>
      </c>
      <c r="Q26" s="188" t="n">
        <f aca="false">+-Q25*$B$24</f>
        <v>8967.74227516722</v>
      </c>
      <c r="R26" s="188" t="n">
        <f aca="false">+-R25*$B$24</f>
        <v>8967.74227516722</v>
      </c>
      <c r="S26" s="188" t="n">
        <f aca="false">+-S25*$B$24</f>
        <v>8967.74227516722</v>
      </c>
      <c r="T26" s="188" t="n">
        <f aca="false">+-T25*$B$24</f>
        <v>8967.74227516722</v>
      </c>
      <c r="U26" s="188" t="n">
        <f aca="false">+-U25*$B$24</f>
        <v>8967.74227516722</v>
      </c>
      <c r="V26" s="188" t="n">
        <f aca="false">+-V25*$B$24</f>
        <v>8967.74227516722</v>
      </c>
      <c r="W26" s="188" t="n">
        <f aca="false">+-W25*$B$24</f>
        <v>8967.74227516722</v>
      </c>
      <c r="X26" s="188" t="n">
        <f aca="false">+-X25*$B$24</f>
        <v>8967.74227516722</v>
      </c>
      <c r="Y26" s="188" t="n">
        <f aca="false">+-Y25*$B$24</f>
        <v>8274.45258618936</v>
      </c>
      <c r="Z26" s="188" t="n">
        <f aca="false">+-Z25*$B$24</f>
        <v>7514.74721554196</v>
      </c>
      <c r="AA26" s="188" t="n">
        <f aca="false">+-AA25*$B$24</f>
        <v>6681.21051000703</v>
      </c>
      <c r="AB26" s="188" t="n">
        <f aca="false">+-AB25*$B$24</f>
        <v>5765.51515089078</v>
      </c>
      <c r="AC26" s="188" t="n">
        <f aca="false">+-AC25*$B$24</f>
        <v>4758.30327263561</v>
      </c>
      <c r="AD26" s="188" t="n">
        <f aca="false">+-AD25*$B$24</f>
        <v>3649.05154856155</v>
      </c>
      <c r="AE26" s="188" t="n">
        <f aca="false">+-AE25*$B$24</f>
        <v>2425.91804182976</v>
      </c>
      <c r="AF26" s="188" t="n">
        <f aca="false">+-AF25*$B$24</f>
        <v>1075.56831444183</v>
      </c>
      <c r="AG26" s="188" t="n">
        <f aca="false">+-AG25*$B$24</f>
        <v>-417.02206072101</v>
      </c>
    </row>
    <row r="27" customFormat="false" ht="12.75" hidden="true" customHeight="false" outlineLevel="0" collapsed="false">
      <c r="A27" s="363" t="s">
        <v>466</v>
      </c>
      <c r="B27" s="188" t="n">
        <f aca="false">B21</f>
        <v>0</v>
      </c>
      <c r="C27" s="188" t="n">
        <f aca="false">C21</f>
        <v>4874.99892616154</v>
      </c>
      <c r="D27" s="188" t="n">
        <f aca="false">D21</f>
        <v>8403.14019482009</v>
      </c>
      <c r="E27" s="188" t="n">
        <f aca="false">E21</f>
        <v>8361.37684562008</v>
      </c>
      <c r="F27" s="188" t="n">
        <f aca="false">F21</f>
        <v>8318.77822943609</v>
      </c>
      <c r="G27" s="188" t="n">
        <f aca="false">G21</f>
        <v>8275.32764092841</v>
      </c>
      <c r="H27" s="188" t="n">
        <f aca="false">H21</f>
        <v>8231.00804065057</v>
      </c>
      <c r="I27" s="188" t="n">
        <f aca="false">I21</f>
        <v>8185.80204836718</v>
      </c>
      <c r="J27" s="188" t="n">
        <f aca="false">J21</f>
        <v>8139.69193623812</v>
      </c>
      <c r="K27" s="188" t="n">
        <f aca="false">K21</f>
        <v>8092.65962186648</v>
      </c>
      <c r="L27" s="188" t="n">
        <f aca="false">L21</f>
        <v>8044.68666120741</v>
      </c>
      <c r="M27" s="188" t="n">
        <f aca="false">M21</f>
        <v>7995.75424133516</v>
      </c>
      <c r="N27" s="188" t="n">
        <f aca="false">N21</f>
        <v>7945.84317306546</v>
      </c>
      <c r="O27" s="188" t="n">
        <f aca="false">O21</f>
        <v>7894.93388343037</v>
      </c>
      <c r="P27" s="188" t="n">
        <f aca="false">P21</f>
        <v>7843.00640800257</v>
      </c>
      <c r="Q27" s="188" t="n">
        <f aca="false">Q21</f>
        <v>7790.04038306622</v>
      </c>
      <c r="R27" s="188" t="n">
        <f aca="false">R21</f>
        <v>7736.01503763114</v>
      </c>
      <c r="S27" s="188" t="n">
        <f aca="false">S21</f>
        <v>7680.90918528737</v>
      </c>
      <c r="T27" s="188" t="n">
        <f aca="false">T21</f>
        <v>7624.70121589671</v>
      </c>
      <c r="U27" s="188" t="n">
        <f aca="false">U21</f>
        <v>2459.35565532953</v>
      </c>
      <c r="V27" s="188" t="n">
        <f aca="false">V21</f>
        <v>2275.94691099768</v>
      </c>
      <c r="W27" s="188" t="n">
        <f aca="false">W21</f>
        <v>2081.46707542677</v>
      </c>
      <c r="X27" s="188" t="n">
        <f aca="false">X21</f>
        <v>13919.8114821519</v>
      </c>
      <c r="Y27" s="188" t="n">
        <f aca="false">Y21</f>
        <v>13700.9195193851</v>
      </c>
      <c r="Z27" s="188" t="n">
        <f aca="false">Z21</f>
        <v>13468.5808265057</v>
      </c>
      <c r="AA27" s="188" t="n">
        <f aca="false">AA21</f>
        <v>13221.8916465517</v>
      </c>
      <c r="AB27" s="188" t="n">
        <f aca="false">AB21</f>
        <v>12959.8857098563</v>
      </c>
      <c r="AC27" s="188" t="n">
        <f aca="false">AC21</f>
        <v>12681.5298731647</v>
      </c>
      <c r="AD27" s="188" t="n">
        <f aca="false">AD21</f>
        <v>12385.7194537886</v>
      </c>
      <c r="AE27" s="188" t="n">
        <f aca="false">AE21</f>
        <v>12071.2732374578</v>
      </c>
      <c r="AF27" s="188" t="n">
        <f aca="false">AF21</f>
        <v>11736.9281370336</v>
      </c>
      <c r="AG27" s="188" t="n">
        <f aca="false">AG21</f>
        <v>1328.17118924545</v>
      </c>
    </row>
    <row r="28" customFormat="false" ht="12.75" hidden="true" customHeight="false" outlineLevel="0" collapsed="false">
      <c r="A28" s="363" t="s">
        <v>467</v>
      </c>
      <c r="B28" s="355" t="n">
        <v>0</v>
      </c>
      <c r="C28" s="355" t="n">
        <f aca="false">+IF(C27&gt;C26,C27-C26,0)</f>
        <v>0</v>
      </c>
      <c r="D28" s="355" t="n">
        <f aca="false">+IF(D27&gt;D26,D27-D26,0)</f>
        <v>0</v>
      </c>
      <c r="E28" s="355" t="n">
        <f aca="false">+IF(E27&gt;E26,E27-E26,0)</f>
        <v>0</v>
      </c>
      <c r="F28" s="355" t="n">
        <f aca="false">+IF(F27&gt;F26,F27-F26,0)</f>
        <v>0</v>
      </c>
      <c r="G28" s="355" t="n">
        <f aca="false">+IF(G27&gt;G26,G27-G26,0)</f>
        <v>0</v>
      </c>
      <c r="H28" s="355" t="n">
        <f aca="false">+IF(H27&gt;H26,H27-H26,0)</f>
        <v>0</v>
      </c>
      <c r="I28" s="355" t="n">
        <f aca="false">+IF(I27&gt;I26,I27-I26,0)</f>
        <v>0</v>
      </c>
      <c r="J28" s="355" t="n">
        <f aca="false">+IF(J27&gt;J26,J27-J26,0)</f>
        <v>0</v>
      </c>
      <c r="K28" s="355" t="n">
        <f aca="false">+IF(K27&gt;K26,K27-K26,0)</f>
        <v>0</v>
      </c>
      <c r="L28" s="355" t="n">
        <f aca="false">+IF(L27&gt;L26,L27-L26,0)</f>
        <v>0</v>
      </c>
      <c r="M28" s="355" t="n">
        <f aca="false">+IF(M27&gt;M26,M27-M26,0)</f>
        <v>0</v>
      </c>
      <c r="N28" s="355" t="n">
        <f aca="false">+IF(N27&gt;N26,N27-N26,0)</f>
        <v>0</v>
      </c>
      <c r="O28" s="355" t="n">
        <f aca="false">+IF(O27&gt;O26,O27-O26,0)</f>
        <v>0</v>
      </c>
      <c r="P28" s="355" t="n">
        <f aca="false">+IF(P27&gt;P26,P27-P26,0)</f>
        <v>0</v>
      </c>
      <c r="Q28" s="355" t="n">
        <f aca="false">+IF(Q27&gt;Q26,Q27-Q26,0)</f>
        <v>0</v>
      </c>
      <c r="R28" s="355" t="n">
        <f aca="false">+IF(R27&gt;R26,R27-R26,0)</f>
        <v>0</v>
      </c>
      <c r="S28" s="355" t="n">
        <f aca="false">+IF(S27&gt;S26,S27-S26,0)</f>
        <v>0</v>
      </c>
      <c r="T28" s="355" t="n">
        <f aca="false">+IF(T27&gt;T26,T27-T26,0)</f>
        <v>0</v>
      </c>
      <c r="U28" s="355" t="n">
        <f aca="false">+IF(U27&gt;U26,U27-U26,0)</f>
        <v>0</v>
      </c>
      <c r="V28" s="355" t="n">
        <f aca="false">+IF(V27&gt;V26,V27-V26,0)</f>
        <v>0</v>
      </c>
      <c r="W28" s="355" t="n">
        <f aca="false">+IF(W27&gt;W26,W27-W26,0)</f>
        <v>0</v>
      </c>
      <c r="X28" s="355" t="n">
        <f aca="false">+IF(X27&gt;X26,X27-X26,0)</f>
        <v>4952.06920698473</v>
      </c>
      <c r="Y28" s="355" t="n">
        <f aca="false">+IF(Y27&gt;Y26,Y27-Y26,0)</f>
        <v>5426.46693319571</v>
      </c>
      <c r="Z28" s="355" t="n">
        <f aca="false">+IF(Z27&gt;Z26,Z27-Z26,0)</f>
        <v>5953.83361096377</v>
      </c>
      <c r="AA28" s="355" t="n">
        <f aca="false">+IF(AA27&gt;AA26,AA27-AA26,0)</f>
        <v>6540.68113654466</v>
      </c>
      <c r="AB28" s="355" t="n">
        <f aca="false">+IF(AB27&gt;AB26,AB27-AB26,0)</f>
        <v>7194.37055896549</v>
      </c>
      <c r="AC28" s="355" t="n">
        <f aca="false">+IF(AC27&gt;AC26,AC27-AC26,0)</f>
        <v>7923.22660052904</v>
      </c>
      <c r="AD28" s="355" t="n">
        <f aca="false">+IF(AD27&gt;AD26,AD27-AD26,0)</f>
        <v>8736.66790522704</v>
      </c>
      <c r="AE28" s="355" t="n">
        <f aca="false">+IF(AE27&gt;AE26,AE27-AE26,0)</f>
        <v>9645.35519562806</v>
      </c>
      <c r="AF28" s="355" t="n">
        <f aca="false">+IF(AF27&gt;AF26,AF27-AF26,0)</f>
        <v>10661.3598225917</v>
      </c>
      <c r="AG28" s="355" t="n">
        <f aca="false">+IF(AG27&gt;AG26,AG27-AG26,0)</f>
        <v>1745.19324996645</v>
      </c>
    </row>
    <row r="29" customFormat="false" ht="12.75" hidden="true" customHeight="false" outlineLevel="0" collapsed="false">
      <c r="A29" s="363" t="s">
        <v>468</v>
      </c>
      <c r="B29" s="188" t="n">
        <f aca="false">+B25+B28</f>
        <v>-64055.3019654802</v>
      </c>
      <c r="C29" s="188" t="n">
        <f aca="false">+C25+C28</f>
        <v>-64055.3019654802</v>
      </c>
      <c r="D29" s="188" t="n">
        <f aca="false">+D25+D28</f>
        <v>-64055.3019654802</v>
      </c>
      <c r="E29" s="188" t="n">
        <f aca="false">+E25+E28</f>
        <v>-64055.3019654802</v>
      </c>
      <c r="F29" s="188" t="n">
        <f aca="false">+F25+F28</f>
        <v>-64055.3019654802</v>
      </c>
      <c r="G29" s="188" t="n">
        <f aca="false">+G25+G28</f>
        <v>-64055.3019654802</v>
      </c>
      <c r="H29" s="188" t="n">
        <f aca="false">+H25+H28</f>
        <v>-64055.3019654802</v>
      </c>
      <c r="I29" s="188" t="n">
        <f aca="false">+I25+I28</f>
        <v>-64055.3019654802</v>
      </c>
      <c r="J29" s="188" t="n">
        <f aca="false">+J25+J28</f>
        <v>-64055.3019654802</v>
      </c>
      <c r="K29" s="188" t="n">
        <f aca="false">+K25+K28</f>
        <v>-64055.3019654802</v>
      </c>
      <c r="L29" s="188" t="n">
        <f aca="false">+L25+L28</f>
        <v>-64055.3019654802</v>
      </c>
      <c r="M29" s="188" t="n">
        <f aca="false">+M25+M28</f>
        <v>-64055.3019654802</v>
      </c>
      <c r="N29" s="188" t="n">
        <f aca="false">+N25+N28</f>
        <v>-64055.3019654802</v>
      </c>
      <c r="O29" s="188" t="n">
        <f aca="false">+O25+O28</f>
        <v>-64055.3019654802</v>
      </c>
      <c r="P29" s="188" t="n">
        <f aca="false">+P25+P28</f>
        <v>-64055.3019654802</v>
      </c>
      <c r="Q29" s="188" t="n">
        <f aca="false">+Q25+Q28</f>
        <v>-64055.3019654802</v>
      </c>
      <c r="R29" s="188" t="n">
        <f aca="false">+R25+R28</f>
        <v>-64055.3019654802</v>
      </c>
      <c r="S29" s="188" t="n">
        <f aca="false">+S25+S28</f>
        <v>-64055.3019654802</v>
      </c>
      <c r="T29" s="188" t="n">
        <f aca="false">+T25+T28</f>
        <v>-64055.3019654802</v>
      </c>
      <c r="U29" s="188" t="n">
        <f aca="false">+U25+U28</f>
        <v>-64055.3019654802</v>
      </c>
      <c r="V29" s="188" t="n">
        <f aca="false">+V25+V28</f>
        <v>-64055.3019654802</v>
      </c>
      <c r="W29" s="188" t="n">
        <f aca="false">+W25+W28</f>
        <v>-64055.3019654802</v>
      </c>
      <c r="X29" s="188" t="n">
        <f aca="false">+X25+X28</f>
        <v>-59103.2327584954</v>
      </c>
      <c r="Y29" s="188" t="n">
        <f aca="false">+Y25+Y28</f>
        <v>-53676.7658252997</v>
      </c>
      <c r="Z29" s="188" t="n">
        <f aca="false">+Z25+Z28</f>
        <v>-47722.9322143359</v>
      </c>
      <c r="AA29" s="188" t="n">
        <f aca="false">+AA25+AA28</f>
        <v>-41182.2510777913</v>
      </c>
      <c r="AB29" s="188" t="n">
        <f aca="false">+AB25+AB28</f>
        <v>-33987.8805188258</v>
      </c>
      <c r="AC29" s="188" t="n">
        <f aca="false">+AC25+AC28</f>
        <v>-26064.6539182968</v>
      </c>
      <c r="AD29" s="188" t="n">
        <f aca="false">+AD25+AD28</f>
        <v>-17327.9860130697</v>
      </c>
      <c r="AE29" s="188" t="n">
        <f aca="false">+AE25+AE28</f>
        <v>-7682.63081744166</v>
      </c>
      <c r="AF29" s="188" t="n">
        <f aca="false">+AF25+AF28</f>
        <v>2978.72900515007</v>
      </c>
      <c r="AG29" s="188" t="n">
        <f aca="false">+AG25+AG28</f>
        <v>4723.92225511652</v>
      </c>
    </row>
    <row r="30" customFormat="false" ht="12.75" hidden="true" customHeight="false" outlineLevel="0" collapsed="false">
      <c r="A30" s="363"/>
    </row>
    <row r="31" customFormat="false" ht="12.75" hidden="true" customHeight="false" outlineLevel="0" collapsed="false">
      <c r="A31" s="363"/>
    </row>
    <row r="32" customFormat="false" ht="12.75" hidden="false" customHeight="false" outlineLevel="0" collapsed="false">
      <c r="A32" s="363"/>
    </row>
    <row r="33" customFormat="false" ht="12.75" hidden="false" customHeight="false" outlineLevel="0" collapsed="false">
      <c r="A33" s="369" t="s">
        <v>469</v>
      </c>
    </row>
    <row r="34" customFormat="false" ht="12.75" hidden="false" customHeight="false" outlineLevel="0" collapsed="false">
      <c r="A34" s="369"/>
    </row>
    <row r="35" customFormat="false" ht="12.75" hidden="false" customHeight="false" outlineLevel="0" collapsed="false">
      <c r="A35" s="367" t="s">
        <v>470</v>
      </c>
    </row>
    <row r="36" customFormat="false" ht="12.75" hidden="false" customHeight="false" outlineLevel="0" collapsed="false">
      <c r="A36" s="363" t="s">
        <v>471</v>
      </c>
      <c r="B36" s="188" t="n">
        <f aca="false">-Assumptions!C11*Assumptions!$G$48</f>
        <v>-64055.3019654802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</row>
    <row r="37" customFormat="false" ht="12.75" hidden="false" customHeight="false" outlineLevel="0" collapsed="false">
      <c r="A37" s="363" t="s">
        <v>466</v>
      </c>
      <c r="B37" s="371" t="n">
        <f aca="false">B21*Assumptions!$G$48</f>
        <v>0</v>
      </c>
      <c r="C37" s="355" t="n">
        <f aca="false">C21*Assumptions!$G$48</f>
        <v>4874.99892616154</v>
      </c>
      <c r="D37" s="355" t="n">
        <f aca="false">D21*Assumptions!$G$48</f>
        <v>8403.14019482009</v>
      </c>
      <c r="E37" s="355" t="n">
        <f aca="false">E21*Assumptions!$G$48</f>
        <v>8361.37684562008</v>
      </c>
      <c r="F37" s="355" t="n">
        <f aca="false">F21*Assumptions!$G$48</f>
        <v>8318.77822943609</v>
      </c>
      <c r="G37" s="355" t="n">
        <f aca="false">G21*Assumptions!$G$48</f>
        <v>8275.32764092841</v>
      </c>
      <c r="H37" s="355" t="n">
        <f aca="false">H21*Assumptions!$G$48</f>
        <v>8231.00804065057</v>
      </c>
      <c r="I37" s="355" t="n">
        <f aca="false">I21*Assumptions!$G$48</f>
        <v>8185.80204836718</v>
      </c>
      <c r="J37" s="355" t="n">
        <f aca="false">J21*Assumptions!$G$48</f>
        <v>8139.69193623812</v>
      </c>
      <c r="K37" s="355" t="n">
        <f aca="false">K21*Assumptions!$G$48</f>
        <v>8092.65962186648</v>
      </c>
      <c r="L37" s="355" t="n">
        <f aca="false">L21*Assumptions!$G$48</f>
        <v>8044.68666120741</v>
      </c>
      <c r="M37" s="355" t="n">
        <f aca="false">M21*Assumptions!$G$48</f>
        <v>7995.75424133516</v>
      </c>
      <c r="N37" s="355" t="n">
        <f aca="false">N21*Assumptions!$G$48</f>
        <v>7945.84317306546</v>
      </c>
      <c r="O37" s="355" t="n">
        <f aca="false">O21*Assumptions!$G$48</f>
        <v>7894.93388343037</v>
      </c>
      <c r="P37" s="355" t="n">
        <f aca="false">P21*Assumptions!$G$48</f>
        <v>7843.00640800257</v>
      </c>
      <c r="Q37" s="355" t="n">
        <f aca="false">Q21*Assumptions!$G$48</f>
        <v>7790.04038306622</v>
      </c>
      <c r="R37" s="355" t="n">
        <f aca="false">R21*Assumptions!$G$48</f>
        <v>7736.01503763114</v>
      </c>
      <c r="S37" s="355" t="n">
        <f aca="false">S21*Assumptions!$G$48</f>
        <v>7680.90918528737</v>
      </c>
      <c r="T37" s="355" t="n">
        <f aca="false">T21*Assumptions!$G$48</f>
        <v>7624.70121589671</v>
      </c>
      <c r="U37" s="355" t="n">
        <f aca="false">U21*Assumptions!$G$48</f>
        <v>2459.35565532953</v>
      </c>
      <c r="V37" s="355" t="n">
        <f aca="false">V21*Assumptions!$G$48</f>
        <v>2275.94691099768</v>
      </c>
      <c r="W37" s="355" t="n">
        <f aca="false">W21*Assumptions!$G$48</f>
        <v>2081.46707542677</v>
      </c>
      <c r="X37" s="355" t="n">
        <f aca="false">X21*Assumptions!$G$48</f>
        <v>13919.8114821519</v>
      </c>
      <c r="Y37" s="355" t="n">
        <f aca="false">Y21*Assumptions!$G$48</f>
        <v>13700.9195193851</v>
      </c>
      <c r="Z37" s="355" t="n">
        <f aca="false">Z21*Assumptions!$G$48</f>
        <v>13468.5808265057</v>
      </c>
      <c r="AA37" s="355" t="n">
        <f aca="false">AA21*Assumptions!$G$48</f>
        <v>13221.8916465517</v>
      </c>
      <c r="AB37" s="355" t="n">
        <f aca="false">AB21*Assumptions!$G$48</f>
        <v>12959.8857098563</v>
      </c>
      <c r="AC37" s="355" t="n">
        <f aca="false">AC21*Assumptions!$G$48</f>
        <v>12681.5298731647</v>
      </c>
      <c r="AD37" s="355" t="n">
        <f aca="false">AD21*Assumptions!$G$48</f>
        <v>12385.7194537886</v>
      </c>
      <c r="AE37" s="355" t="n">
        <f aca="false">AE21*Assumptions!$G$48</f>
        <v>12071.2732374578</v>
      </c>
      <c r="AF37" s="355" t="n">
        <f aca="false">AF21*Assumptions!$G$48</f>
        <v>11736.9281370336</v>
      </c>
      <c r="AG37" s="355" t="n">
        <f aca="false">AG21*Assumptions!$G$48</f>
        <v>1328.17118924545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</row>
    <row r="38" customFormat="false" ht="12.75" hidden="false" customHeight="false" outlineLevel="0" collapsed="false">
      <c r="A38" s="363" t="s">
        <v>472</v>
      </c>
      <c r="B38" s="188" t="n">
        <f aca="false">SUM(B36:B37)</f>
        <v>-64055.3019654802</v>
      </c>
      <c r="C38" s="188" t="n">
        <f aca="false">SUM(C36:C37)</f>
        <v>4874.99892616154</v>
      </c>
      <c r="D38" s="188" t="n">
        <f aca="false">SUM(D36:D37)</f>
        <v>8403.14019482009</v>
      </c>
      <c r="E38" s="188" t="n">
        <f aca="false">SUM(E36:E37)</f>
        <v>8361.37684562008</v>
      </c>
      <c r="F38" s="188" t="n">
        <f aca="false">SUM(F36:F37)</f>
        <v>8318.77822943609</v>
      </c>
      <c r="G38" s="188" t="n">
        <f aca="false">SUM(G36:G37)</f>
        <v>8275.32764092841</v>
      </c>
      <c r="H38" s="188" t="n">
        <f aca="false">SUM(H36:H37)</f>
        <v>8231.00804065057</v>
      </c>
      <c r="I38" s="188" t="n">
        <f aca="false">SUM(I36:I37)</f>
        <v>8185.80204836718</v>
      </c>
      <c r="J38" s="188" t="n">
        <f aca="false">SUM(J36:J37)</f>
        <v>8139.69193623812</v>
      </c>
      <c r="K38" s="188" t="n">
        <f aca="false">SUM(K36:K37)</f>
        <v>8092.65962186648</v>
      </c>
      <c r="L38" s="188" t="n">
        <f aca="false">SUM(L36:L37)</f>
        <v>8044.68666120741</v>
      </c>
      <c r="M38" s="188" t="n">
        <f aca="false">SUM(M36:M37)</f>
        <v>7995.75424133516</v>
      </c>
      <c r="N38" s="188" t="n">
        <f aca="false">SUM(N36:N37)</f>
        <v>7945.84317306546</v>
      </c>
      <c r="O38" s="188" t="n">
        <f aca="false">SUM(O36:O37)</f>
        <v>7894.93388343037</v>
      </c>
      <c r="P38" s="188" t="n">
        <f aca="false">SUM(P36:P37)</f>
        <v>7843.00640800257</v>
      </c>
      <c r="Q38" s="188" t="n">
        <f aca="false">SUM(Q36:Q37)</f>
        <v>7790.04038306622</v>
      </c>
      <c r="R38" s="188" t="n">
        <f aca="false">SUM(R36:R37)</f>
        <v>7736.01503763114</v>
      </c>
      <c r="S38" s="188" t="n">
        <f aca="false">SUM(S36:S37)</f>
        <v>7680.90918528737</v>
      </c>
      <c r="T38" s="188" t="n">
        <f aca="false">SUM(T36:T37)</f>
        <v>7624.70121589671</v>
      </c>
      <c r="U38" s="188" t="n">
        <f aca="false">SUM(U36:U37)</f>
        <v>2459.35565532953</v>
      </c>
      <c r="V38" s="188" t="n">
        <f aca="false">SUM(V36:V37)</f>
        <v>2275.94691099768</v>
      </c>
      <c r="W38" s="188" t="n">
        <f aca="false">SUM(W36:W37)</f>
        <v>2081.46707542677</v>
      </c>
      <c r="X38" s="188" t="n">
        <f aca="false">SUM(X36:X37)</f>
        <v>13919.8114821519</v>
      </c>
      <c r="Y38" s="188" t="n">
        <f aca="false">SUM(Y36:Y37)</f>
        <v>13700.9195193851</v>
      </c>
      <c r="Z38" s="188" t="n">
        <f aca="false">SUM(Z36:Z37)</f>
        <v>13468.5808265057</v>
      </c>
      <c r="AA38" s="188" t="n">
        <f aca="false">SUM(AA36:AA37)</f>
        <v>13221.8916465517</v>
      </c>
      <c r="AB38" s="188" t="n">
        <f aca="false">SUM(AB36:AB37)</f>
        <v>12959.8857098563</v>
      </c>
      <c r="AC38" s="188" t="n">
        <f aca="false">SUM(AC36:AC37)</f>
        <v>12681.5298731647</v>
      </c>
      <c r="AD38" s="188" t="n">
        <f aca="false">SUM(AD36:AD37)</f>
        <v>12385.7194537886</v>
      </c>
      <c r="AE38" s="188" t="n">
        <f aca="false">SUM(AE36:AE37)</f>
        <v>12071.2732374578</v>
      </c>
      <c r="AF38" s="188" t="n">
        <f aca="false">SUM(AF36:AF37)</f>
        <v>11736.9281370336</v>
      </c>
      <c r="AG38" s="188" t="n">
        <f aca="false">SUM(AG36:AG37)</f>
        <v>1328.17118924545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2.75" hidden="false" customHeight="false" outlineLevel="0" collapsed="false">
      <c r="B39" s="367" t="s">
        <v>242</v>
      </c>
      <c r="C39" s="372" t="n">
        <f aca="false">XIRR(B38:W38,B8:W8)</f>
        <v>0.0920228198111426</v>
      </c>
    </row>
    <row r="40" customFormat="false" ht="12.75" hidden="false" customHeight="false" outlineLevel="0" collapsed="false">
      <c r="A40" s="363"/>
      <c r="B40" s="373" t="s">
        <v>243</v>
      </c>
      <c r="C40" s="374" t="n">
        <f aca="false">NPV(0.12,B38:W38)</f>
        <v>-6374.34910425542</v>
      </c>
    </row>
    <row r="41" customFormat="false" ht="12.75" hidden="false" customHeight="false" outlineLevel="0" collapsed="false">
      <c r="A41" s="19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75" t="s">
        <v>471</v>
      </c>
      <c r="B42" s="188" t="n">
        <f aca="false">-Assumptions!C11*Assumptions!$G$48</f>
        <v>-64055.3019654802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customFormat="false" ht="12.75" hidden="false" customHeight="false" outlineLevel="0" collapsed="false">
      <c r="A43" s="375" t="s">
        <v>466</v>
      </c>
      <c r="B43" s="376" t="n">
        <f aca="false">B21*Assumptions!$G$48</f>
        <v>0</v>
      </c>
      <c r="C43" s="188" t="n">
        <f aca="false">C21*Assumptions!$G$48</f>
        <v>4874.99892616154</v>
      </c>
      <c r="D43" s="188" t="n">
        <f aca="false">D21*Assumptions!$G$48</f>
        <v>8403.14019482009</v>
      </c>
      <c r="E43" s="188" t="n">
        <f aca="false">E21*Assumptions!$G$48</f>
        <v>8361.37684562008</v>
      </c>
      <c r="F43" s="188" t="n">
        <f aca="false">F21*Assumptions!$G$48</f>
        <v>8318.77822943609</v>
      </c>
      <c r="G43" s="188" t="n">
        <f aca="false">G21*Assumptions!$G$48</f>
        <v>8275.32764092841</v>
      </c>
      <c r="H43" s="188" t="n">
        <f aca="false">H21*Assumptions!$G$48</f>
        <v>8231.00804065057</v>
      </c>
      <c r="I43" s="188" t="n">
        <f aca="false">I21*Assumptions!$G$48</f>
        <v>8185.80204836718</v>
      </c>
      <c r="J43" s="188" t="n">
        <f aca="false">J21*Assumptions!$G$48</f>
        <v>8139.69193623812</v>
      </c>
      <c r="K43" s="188" t="n">
        <f aca="false">K21*Assumptions!$G$48</f>
        <v>8092.65962186648</v>
      </c>
      <c r="L43" s="188" t="n">
        <f aca="false">L21*Assumptions!$G$48</f>
        <v>8044.68666120741</v>
      </c>
      <c r="M43" s="188" t="n">
        <f aca="false">M21*Assumptions!$G$48</f>
        <v>7995.75424133516</v>
      </c>
      <c r="N43" s="188" t="n">
        <f aca="false">N21*Assumptions!$G$48</f>
        <v>7945.84317306546</v>
      </c>
      <c r="O43" s="188" t="n">
        <f aca="false">O21*Assumptions!$G$48</f>
        <v>7894.93388343037</v>
      </c>
      <c r="P43" s="188" t="n">
        <f aca="false">P21*Assumptions!$G$48</f>
        <v>7843.00640800257</v>
      </c>
      <c r="Q43" s="188" t="n">
        <f aca="false">Q21*Assumptions!$G$48</f>
        <v>7790.04038306622</v>
      </c>
      <c r="R43" s="188" t="n">
        <f aca="false">R21*Assumptions!$G$48</f>
        <v>7736.01503763114</v>
      </c>
      <c r="S43" s="188" t="n">
        <f aca="false">S21*Assumptions!$G$48</f>
        <v>7680.90918528737</v>
      </c>
      <c r="T43" s="188" t="n">
        <f aca="false">T21*Assumptions!$G$48</f>
        <v>7624.70121589671</v>
      </c>
      <c r="U43" s="188" t="n">
        <f aca="false">U21*Assumptions!$G$48</f>
        <v>2459.35565532953</v>
      </c>
      <c r="V43" s="188" t="n">
        <f aca="false">V21*Assumptions!$G$48</f>
        <v>2275.94691099768</v>
      </c>
      <c r="W43" s="188" t="n">
        <f aca="false">W21*Assumptions!$G$48</f>
        <v>2081.46707542677</v>
      </c>
      <c r="X43" s="188" t="n">
        <f aca="false">X21*Assumptions!$G$48</f>
        <v>13919.8114821519</v>
      </c>
      <c r="Y43" s="188" t="n">
        <f aca="false">Y21*Assumptions!$G$48</f>
        <v>13700.9195193851</v>
      </c>
      <c r="Z43" s="188" t="n">
        <f aca="false">Z21*Assumptions!$G$48</f>
        <v>13468.5808265057</v>
      </c>
      <c r="AA43" s="188" t="n">
        <f aca="false">AA21*Assumptions!$G$48</f>
        <v>13221.8916465517</v>
      </c>
      <c r="AB43" s="188" t="n">
        <f aca="false">AB21*Assumptions!$G$48</f>
        <v>12959.8857098563</v>
      </c>
      <c r="AC43" s="188" t="n">
        <f aca="false">AC21*Assumptions!$G$48</f>
        <v>12681.5298731647</v>
      </c>
      <c r="AD43" s="188" t="n">
        <f aca="false">AD21*Assumptions!$G$48</f>
        <v>12385.7194537886</v>
      </c>
      <c r="AE43" s="188" t="n">
        <f aca="false">AE21*Assumptions!$G$48</f>
        <v>12071.2732374578</v>
      </c>
      <c r="AF43" s="188" t="n">
        <f aca="false">AF21*Assumptions!$G$48</f>
        <v>11736.9281370336</v>
      </c>
      <c r="AG43" s="188" t="n">
        <f aca="false">AG21*Assumptions!$G$48</f>
        <v>1328.17118924545</v>
      </c>
    </row>
    <row r="44" customFormat="false" ht="12.75" hidden="false" customHeight="false" outlineLevel="0" collapsed="false">
      <c r="A44" s="375" t="s">
        <v>78</v>
      </c>
      <c r="B44" s="355" t="n">
        <v>0</v>
      </c>
      <c r="C44" s="355" t="n">
        <v>0</v>
      </c>
      <c r="D44" s="355" t="n">
        <v>0</v>
      </c>
      <c r="E44" s="355" t="n">
        <v>0</v>
      </c>
      <c r="F44" s="355" t="n">
        <v>0</v>
      </c>
      <c r="G44" s="355" t="n">
        <v>0</v>
      </c>
      <c r="H44" s="355" t="n">
        <v>0</v>
      </c>
      <c r="I44" s="355" t="n">
        <v>0</v>
      </c>
      <c r="J44" s="355" t="n">
        <v>0</v>
      </c>
      <c r="K44" s="355" t="n">
        <v>0</v>
      </c>
      <c r="L44" s="355" t="n">
        <v>0</v>
      </c>
      <c r="M44" s="355" t="n">
        <v>0</v>
      </c>
      <c r="N44" s="355" t="n">
        <v>0</v>
      </c>
      <c r="O44" s="355" t="n">
        <v>0</v>
      </c>
      <c r="P44" s="355" t="n">
        <v>0</v>
      </c>
      <c r="Q44" s="355" t="n">
        <v>0</v>
      </c>
      <c r="R44" s="355" t="n">
        <v>0</v>
      </c>
      <c r="S44" s="355" t="n">
        <v>0</v>
      </c>
      <c r="T44" s="355" t="n">
        <v>0</v>
      </c>
      <c r="U44" s="355" t="n">
        <v>0</v>
      </c>
      <c r="V44" s="355" t="n">
        <v>0</v>
      </c>
      <c r="W44" s="355" t="n">
        <f aca="false">IS!W32*Assumptions!H23</f>
        <v>97469.3846424385</v>
      </c>
      <c r="X44" s="355" t="n">
        <v>0</v>
      </c>
      <c r="Y44" s="355" t="n">
        <v>0</v>
      </c>
      <c r="Z44" s="355" t="n">
        <v>0</v>
      </c>
      <c r="AA44" s="355" t="n">
        <v>0</v>
      </c>
      <c r="AB44" s="355" t="n">
        <v>0</v>
      </c>
      <c r="AC44" s="355" t="n">
        <v>0</v>
      </c>
      <c r="AD44" s="355" t="n">
        <v>0</v>
      </c>
      <c r="AE44" s="355" t="n">
        <v>0</v>
      </c>
      <c r="AF44" s="355" t="n">
        <v>0</v>
      </c>
      <c r="AG44" s="355" t="n">
        <f aca="false">Assumptions!H23*IS!AF32*Assumptions!G48</f>
        <v>94501.9625995998</v>
      </c>
    </row>
    <row r="45" customFormat="false" ht="12.75" hidden="false" customHeight="false" outlineLevel="0" collapsed="false">
      <c r="A45" s="375" t="s">
        <v>472</v>
      </c>
      <c r="B45" s="188" t="n">
        <f aca="false">SUM(B42:B44)</f>
        <v>-64055.3019654802</v>
      </c>
      <c r="C45" s="188" t="n">
        <f aca="false">SUM(C42:C44)</f>
        <v>4874.99892616154</v>
      </c>
      <c r="D45" s="188" t="n">
        <f aca="false">SUM(D42:D44)</f>
        <v>8403.14019482009</v>
      </c>
      <c r="E45" s="188" t="n">
        <f aca="false">SUM(E42:E44)</f>
        <v>8361.37684562008</v>
      </c>
      <c r="F45" s="188" t="n">
        <f aca="false">SUM(F42:F44)</f>
        <v>8318.77822943609</v>
      </c>
      <c r="G45" s="188" t="n">
        <f aca="false">SUM(G42:G44)</f>
        <v>8275.32764092841</v>
      </c>
      <c r="H45" s="188" t="n">
        <f aca="false">SUM(H42:H44)</f>
        <v>8231.00804065057</v>
      </c>
      <c r="I45" s="188" t="n">
        <f aca="false">SUM(I42:I44)</f>
        <v>8185.80204836718</v>
      </c>
      <c r="J45" s="188" t="n">
        <f aca="false">SUM(J42:J44)</f>
        <v>8139.69193623812</v>
      </c>
      <c r="K45" s="188" t="n">
        <f aca="false">SUM(K42:K44)</f>
        <v>8092.65962186648</v>
      </c>
      <c r="L45" s="188" t="n">
        <f aca="false">SUM(L42:L44)</f>
        <v>8044.68666120741</v>
      </c>
      <c r="M45" s="188" t="n">
        <f aca="false">SUM(M42:M44)</f>
        <v>7995.75424133516</v>
      </c>
      <c r="N45" s="188" t="n">
        <f aca="false">SUM(N42:N44)</f>
        <v>7945.84317306546</v>
      </c>
      <c r="O45" s="188" t="n">
        <f aca="false">SUM(O42:O44)</f>
        <v>7894.93388343037</v>
      </c>
      <c r="P45" s="188" t="n">
        <f aca="false">SUM(P42:P44)</f>
        <v>7843.00640800257</v>
      </c>
      <c r="Q45" s="188" t="n">
        <f aca="false">SUM(Q42:Q44)</f>
        <v>7790.04038306622</v>
      </c>
      <c r="R45" s="188" t="n">
        <f aca="false">SUM(R42:R44)</f>
        <v>7736.01503763114</v>
      </c>
      <c r="S45" s="188" t="n">
        <f aca="false">SUM(S42:S44)</f>
        <v>7680.90918528737</v>
      </c>
      <c r="T45" s="188" t="n">
        <f aca="false">SUM(T42:T44)</f>
        <v>7624.70121589671</v>
      </c>
      <c r="U45" s="188" t="n">
        <f aca="false">SUM(U42:U44)</f>
        <v>2459.35565532953</v>
      </c>
      <c r="V45" s="188" t="n">
        <f aca="false">SUM(V42:V44)</f>
        <v>2275.94691099768</v>
      </c>
      <c r="W45" s="188" t="n">
        <f aca="false">SUM(W42:W44)</f>
        <v>99550.8517178652</v>
      </c>
      <c r="X45" s="188" t="n">
        <f aca="false">SUM(X42:X44)</f>
        <v>13919.8114821519</v>
      </c>
      <c r="Y45" s="188" t="n">
        <f aca="false">SUM(Y42:Y44)</f>
        <v>13700.9195193851</v>
      </c>
      <c r="Z45" s="188" t="n">
        <f aca="false">SUM(Z42:Z44)</f>
        <v>13468.5808265057</v>
      </c>
      <c r="AA45" s="188" t="n">
        <f aca="false">SUM(AA42:AA44)</f>
        <v>13221.8916465517</v>
      </c>
      <c r="AB45" s="188" t="n">
        <f aca="false">SUM(AB42:AB44)</f>
        <v>12959.8857098563</v>
      </c>
      <c r="AC45" s="188" t="n">
        <f aca="false">SUM(AC42:AC44)</f>
        <v>12681.5298731647</v>
      </c>
      <c r="AD45" s="188" t="n">
        <f aca="false">SUM(AD42:AD44)</f>
        <v>12385.7194537886</v>
      </c>
      <c r="AE45" s="188" t="n">
        <f aca="false">SUM(AE42:AE44)</f>
        <v>12071.2732374578</v>
      </c>
      <c r="AF45" s="188" t="n">
        <f aca="false">SUM(AF42:AF44)</f>
        <v>11736.9281370336</v>
      </c>
      <c r="AG45" s="188" t="n">
        <f aca="false">SUM(AG42:AG44)</f>
        <v>95830.1337888452</v>
      </c>
    </row>
    <row r="46" customFormat="false" ht="12.75" hidden="false" customHeight="false" outlineLevel="0" collapsed="false">
      <c r="A46" s="31"/>
      <c r="B46" s="367" t="s">
        <v>242</v>
      </c>
      <c r="C46" s="372" t="n">
        <f aca="false">XIRR(B45:AG45,B8:AG8)</f>
        <v>0.127288568831539</v>
      </c>
    </row>
    <row r="47" customFormat="false" ht="12.75" hidden="false" customHeight="false" outlineLevel="0" collapsed="false">
      <c r="A47" s="375"/>
      <c r="B47" s="373" t="s">
        <v>243</v>
      </c>
      <c r="C47" s="321" t="n">
        <f aca="false">NPV(0.12,B45:AG45)</f>
        <v>10001.5445233334</v>
      </c>
    </row>
    <row r="48" customFormat="false" ht="12.75" hidden="false" customHeight="false" outlineLevel="0" collapsed="false">
      <c r="A48" s="194" t="str">
        <f aca="false">CONCATENATE("With ",Assumptions!H24*100,"% Initial Project Cost")</f>
        <v>With 10% Initial Project Cost</v>
      </c>
    </row>
    <row r="49" customFormat="false" ht="12.75" hidden="false" customHeight="false" outlineLevel="0" collapsed="false">
      <c r="A49" s="375" t="s">
        <v>471</v>
      </c>
      <c r="B49" s="188" t="n">
        <f aca="false">-Assumptions!C11*Assumptions!G48</f>
        <v>-64055.3019654802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375" t="s">
        <v>466</v>
      </c>
      <c r="B50" s="188" t="n">
        <f aca="false">+B21*Assumptions!$G$48</f>
        <v>0</v>
      </c>
      <c r="C50" s="188" t="n">
        <f aca="false">+C21*Assumptions!$G$48</f>
        <v>4874.99892616154</v>
      </c>
      <c r="D50" s="188" t="n">
        <f aca="false">+D21*Assumptions!$G$48</f>
        <v>8403.14019482009</v>
      </c>
      <c r="E50" s="188" t="n">
        <f aca="false">+E21*Assumptions!$G$48</f>
        <v>8361.37684562008</v>
      </c>
      <c r="F50" s="188" t="n">
        <f aca="false">+F21*Assumptions!$G$48</f>
        <v>8318.77822943609</v>
      </c>
      <c r="G50" s="188" t="n">
        <f aca="false">+G21*Assumptions!$G$48</f>
        <v>8275.32764092841</v>
      </c>
      <c r="H50" s="188" t="n">
        <f aca="false">+H21*Assumptions!$G$48</f>
        <v>8231.00804065057</v>
      </c>
      <c r="I50" s="188" t="n">
        <f aca="false">+I21*Assumptions!$G$48</f>
        <v>8185.80204836718</v>
      </c>
      <c r="J50" s="188" t="n">
        <f aca="false">+J21*Assumptions!$G$48</f>
        <v>8139.69193623812</v>
      </c>
      <c r="K50" s="188" t="n">
        <f aca="false">+K21*Assumptions!$G$48</f>
        <v>8092.65962186648</v>
      </c>
      <c r="L50" s="188" t="n">
        <f aca="false">+L21*Assumptions!$G$48</f>
        <v>8044.68666120741</v>
      </c>
      <c r="M50" s="188" t="n">
        <f aca="false">+M21*Assumptions!$G$48</f>
        <v>7995.75424133516</v>
      </c>
      <c r="N50" s="188" t="n">
        <f aca="false">+N21*Assumptions!$G$48</f>
        <v>7945.84317306546</v>
      </c>
      <c r="O50" s="188" t="n">
        <f aca="false">+O21*Assumptions!$G$48</f>
        <v>7894.93388343037</v>
      </c>
      <c r="P50" s="188" t="n">
        <f aca="false">+P21*Assumptions!$G$48</f>
        <v>7843.00640800257</v>
      </c>
      <c r="Q50" s="188" t="n">
        <f aca="false">+Q21*Assumptions!$G$48</f>
        <v>7790.04038306622</v>
      </c>
      <c r="R50" s="188" t="n">
        <f aca="false">+R21*Assumptions!$G$48</f>
        <v>7736.01503763114</v>
      </c>
      <c r="S50" s="188" t="n">
        <f aca="false">+S21*Assumptions!$G$48</f>
        <v>7680.90918528737</v>
      </c>
      <c r="T50" s="188" t="n">
        <f aca="false">+T21*Assumptions!$G$48</f>
        <v>7624.70121589671</v>
      </c>
      <c r="U50" s="188" t="n">
        <f aca="false">+U21*Assumptions!$G$48</f>
        <v>2459.35565532953</v>
      </c>
      <c r="V50" s="188" t="n">
        <f aca="false">+V21*Assumptions!$G$48</f>
        <v>2275.94691099768</v>
      </c>
      <c r="W50" s="188" t="n">
        <f aca="false">+W21*Assumptions!$G$48</f>
        <v>2081.46707542677</v>
      </c>
      <c r="X50" s="188" t="n">
        <f aca="false">+X21*Assumptions!$G$48</f>
        <v>13919.8114821519</v>
      </c>
      <c r="Y50" s="188" t="n">
        <f aca="false">+Y21*Assumptions!$G$48</f>
        <v>13700.9195193851</v>
      </c>
      <c r="Z50" s="188" t="n">
        <f aca="false">+Z21*Assumptions!$G$48</f>
        <v>13468.5808265057</v>
      </c>
      <c r="AA50" s="188" t="n">
        <f aca="false">+AA21*Assumptions!$G$48</f>
        <v>13221.8916465517</v>
      </c>
      <c r="AB50" s="188" t="n">
        <f aca="false">+AB21*Assumptions!$G$48</f>
        <v>12959.8857098563</v>
      </c>
      <c r="AC50" s="188" t="n">
        <f aca="false">+AC21*Assumptions!$G$48</f>
        <v>12681.5298731647</v>
      </c>
      <c r="AD50" s="188" t="n">
        <f aca="false">+AD21*Assumptions!$G$48</f>
        <v>12385.7194537886</v>
      </c>
      <c r="AE50" s="188" t="n">
        <f aca="false">+AE21*Assumptions!$G$48</f>
        <v>12071.2732374578</v>
      </c>
      <c r="AF50" s="188" t="n">
        <f aca="false">+AF21*Assumptions!$G$48</f>
        <v>11736.9281370336</v>
      </c>
      <c r="AG50" s="188" t="n">
        <f aca="false">+AG21*Assumptions!$G$48</f>
        <v>1328.17118924545</v>
      </c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2.75" hidden="false" customHeight="false" outlineLevel="0" collapsed="false">
      <c r="A51" s="375" t="s">
        <v>78</v>
      </c>
      <c r="B51" s="355" t="n">
        <v>0</v>
      </c>
      <c r="C51" s="355" t="n">
        <v>0</v>
      </c>
      <c r="D51" s="355" t="n">
        <v>0</v>
      </c>
      <c r="E51" s="355" t="n">
        <v>0</v>
      </c>
      <c r="F51" s="355" t="n">
        <v>0</v>
      </c>
      <c r="G51" s="355" t="n">
        <v>0</v>
      </c>
      <c r="H51" s="355" t="n">
        <v>0</v>
      </c>
      <c r="I51" s="355" t="n">
        <v>0</v>
      </c>
      <c r="J51" s="355" t="n">
        <v>0</v>
      </c>
      <c r="K51" s="355" t="n">
        <v>0</v>
      </c>
      <c r="L51" s="355" t="n">
        <v>0</v>
      </c>
      <c r="M51" s="355" t="n">
        <v>0</v>
      </c>
      <c r="N51" s="355" t="n">
        <v>0</v>
      </c>
      <c r="O51" s="355" t="n">
        <v>0</v>
      </c>
      <c r="P51" s="355" t="n">
        <v>0</v>
      </c>
      <c r="Q51" s="355" t="n">
        <v>0</v>
      </c>
      <c r="R51" s="355" t="n">
        <v>0</v>
      </c>
      <c r="S51" s="355" t="n">
        <v>0</v>
      </c>
      <c r="T51" s="355" t="n">
        <v>0</v>
      </c>
      <c r="U51" s="355" t="n">
        <v>0</v>
      </c>
      <c r="V51" s="355" t="n">
        <v>0</v>
      </c>
      <c r="W51" s="355" t="n">
        <v>0</v>
      </c>
      <c r="X51" s="355" t="n">
        <v>0</v>
      </c>
      <c r="Y51" s="355" t="n">
        <v>0</v>
      </c>
      <c r="Z51" s="355" t="n">
        <v>0</v>
      </c>
      <c r="AA51" s="355" t="n">
        <v>0</v>
      </c>
      <c r="AB51" s="355" t="n">
        <v>0</v>
      </c>
      <c r="AC51" s="355" t="n">
        <v>0</v>
      </c>
      <c r="AD51" s="355" t="n">
        <v>0</v>
      </c>
      <c r="AE51" s="355" t="n">
        <v>0</v>
      </c>
      <c r="AF51" s="355" t="n">
        <v>0</v>
      </c>
      <c r="AG51" s="355" t="n">
        <f aca="false">Assumptions!H24*Assumptions!C60*Assumptions!G48</f>
        <v>21351.7673218267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  <c r="GY51" s="188"/>
      <c r="GZ51" s="188"/>
      <c r="HA51" s="188"/>
      <c r="HB51" s="188"/>
      <c r="HC51" s="188"/>
      <c r="HD51" s="188"/>
      <c r="HE51" s="188"/>
      <c r="HF51" s="188"/>
      <c r="HG51" s="188"/>
      <c r="HH51" s="188"/>
      <c r="HI51" s="188"/>
      <c r="HJ51" s="188"/>
      <c r="HK51" s="188"/>
      <c r="HL51" s="188"/>
      <c r="HM51" s="188"/>
      <c r="HN51" s="188"/>
      <c r="HO51" s="188"/>
      <c r="HP51" s="188"/>
      <c r="HQ51" s="188"/>
      <c r="HR51" s="188"/>
      <c r="HS51" s="188"/>
      <c r="HT51" s="188"/>
      <c r="HU51" s="188"/>
      <c r="HV51" s="188"/>
      <c r="HW51" s="188"/>
      <c r="HX51" s="188"/>
      <c r="HY51" s="188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188"/>
      <c r="IL51" s="188"/>
      <c r="IM51" s="188"/>
      <c r="IN51" s="188"/>
      <c r="IO51" s="188"/>
      <c r="IP51" s="188"/>
      <c r="IQ51" s="188"/>
      <c r="IR51" s="188"/>
      <c r="IS51" s="188"/>
      <c r="IT51" s="188"/>
      <c r="IU51" s="188"/>
      <c r="IV51" s="188"/>
      <c r="IW51" s="188"/>
    </row>
    <row r="52" customFormat="false" ht="12.75" hidden="false" customHeight="false" outlineLevel="0" collapsed="false">
      <c r="A52" s="375" t="s">
        <v>472</v>
      </c>
      <c r="B52" s="188" t="n">
        <f aca="false">SUM(B49:B51)</f>
        <v>-64055.3019654802</v>
      </c>
      <c r="C52" s="188" t="n">
        <f aca="false">SUM(C49:C51)</f>
        <v>4874.99892616154</v>
      </c>
      <c r="D52" s="188" t="n">
        <f aca="false">SUM(D49:D51)</f>
        <v>8403.14019482009</v>
      </c>
      <c r="E52" s="188" t="n">
        <f aca="false">SUM(E49:E51)</f>
        <v>8361.37684562008</v>
      </c>
      <c r="F52" s="188" t="n">
        <f aca="false">SUM(F49:F51)</f>
        <v>8318.77822943609</v>
      </c>
      <c r="G52" s="188" t="n">
        <f aca="false">SUM(G49:G51)</f>
        <v>8275.32764092841</v>
      </c>
      <c r="H52" s="188" t="n">
        <f aca="false">SUM(H49:H51)</f>
        <v>8231.00804065057</v>
      </c>
      <c r="I52" s="188" t="n">
        <f aca="false">SUM(I49:I51)</f>
        <v>8185.80204836718</v>
      </c>
      <c r="J52" s="188" t="n">
        <f aca="false">SUM(J49:J51)</f>
        <v>8139.69193623812</v>
      </c>
      <c r="K52" s="188" t="n">
        <f aca="false">SUM(K49:K51)</f>
        <v>8092.65962186648</v>
      </c>
      <c r="L52" s="188" t="n">
        <f aca="false">SUM(L49:L51)</f>
        <v>8044.68666120741</v>
      </c>
      <c r="M52" s="188" t="n">
        <f aca="false">SUM(M49:M51)</f>
        <v>7995.75424133516</v>
      </c>
      <c r="N52" s="188" t="n">
        <f aca="false">SUM(N49:N51)</f>
        <v>7945.84317306546</v>
      </c>
      <c r="O52" s="188" t="n">
        <f aca="false">SUM(O49:O51)</f>
        <v>7894.93388343037</v>
      </c>
      <c r="P52" s="188" t="n">
        <f aca="false">SUM(P49:P51)</f>
        <v>7843.00640800257</v>
      </c>
      <c r="Q52" s="188" t="n">
        <f aca="false">SUM(Q49:Q51)</f>
        <v>7790.04038306622</v>
      </c>
      <c r="R52" s="188" t="n">
        <f aca="false">SUM(R49:R51)</f>
        <v>7736.01503763114</v>
      </c>
      <c r="S52" s="188" t="n">
        <f aca="false">SUM(S49:S51)</f>
        <v>7680.90918528737</v>
      </c>
      <c r="T52" s="188" t="n">
        <f aca="false">SUM(T49:T51)</f>
        <v>7624.70121589671</v>
      </c>
      <c r="U52" s="188" t="n">
        <f aca="false">SUM(U49:U51)</f>
        <v>2459.35565532953</v>
      </c>
      <c r="V52" s="188" t="n">
        <f aca="false">SUM(V49:V51)</f>
        <v>2275.94691099768</v>
      </c>
      <c r="W52" s="188" t="n">
        <f aca="false">SUM(W49:W51)</f>
        <v>2081.46707542677</v>
      </c>
      <c r="X52" s="188" t="n">
        <f aca="false">SUM(X49:X51)</f>
        <v>13919.8114821519</v>
      </c>
      <c r="Y52" s="188" t="n">
        <f aca="false">SUM(Y49:Y51)</f>
        <v>13700.9195193851</v>
      </c>
      <c r="Z52" s="188" t="n">
        <f aca="false">SUM(Z49:Z51)</f>
        <v>13468.5808265057</v>
      </c>
      <c r="AA52" s="188" t="n">
        <f aca="false">SUM(AA49:AA51)</f>
        <v>13221.8916465517</v>
      </c>
      <c r="AB52" s="188" t="n">
        <f aca="false">SUM(AB49:AB51)</f>
        <v>12959.8857098563</v>
      </c>
      <c r="AC52" s="188" t="n">
        <f aca="false">SUM(AC49:AC51)</f>
        <v>12681.5298731647</v>
      </c>
      <c r="AD52" s="188" t="n">
        <f aca="false">SUM(AD49:AD51)</f>
        <v>12385.7194537886</v>
      </c>
      <c r="AE52" s="188" t="n">
        <f aca="false">SUM(AE49:AE51)</f>
        <v>12071.2732374578</v>
      </c>
      <c r="AF52" s="188" t="n">
        <f aca="false">SUM(AF49:AF51)</f>
        <v>11736.9281370336</v>
      </c>
      <c r="AG52" s="188" t="n">
        <f aca="false">SUM(AG49:AG51)</f>
        <v>22679.9385110722</v>
      </c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31"/>
      <c r="B53" s="367" t="s">
        <v>242</v>
      </c>
      <c r="C53" s="372" t="n">
        <f aca="false">XIRR(B52:AG52,B8:AG8)</f>
        <v>0.110537785756771</v>
      </c>
    </row>
    <row r="54" customFormat="false" ht="12.75" hidden="false" customHeight="false" outlineLevel="0" collapsed="false">
      <c r="A54" s="375"/>
      <c r="B54" s="373" t="s">
        <v>243</v>
      </c>
      <c r="C54" s="321" t="n">
        <f aca="false">NPV(0.12,B52:AG52)</f>
        <v>-1.70530256582424E-011</v>
      </c>
    </row>
    <row r="55" customFormat="false" ht="12.75" hidden="false" customHeight="false" outlineLevel="0" collapsed="false">
      <c r="A55" s="194" t="str">
        <f aca="false">CONCATENATE("With $",Assumptions!H25,"/kW")</f>
        <v>With $200/kW</v>
      </c>
    </row>
    <row r="56" customFormat="false" ht="12.75" hidden="false" customHeight="false" outlineLevel="0" collapsed="false">
      <c r="A56" s="375" t="s">
        <v>471</v>
      </c>
      <c r="B56" s="188" t="n">
        <f aca="false">-Assumptions!C11*Assumptions!G48</f>
        <v>-64055.3019654802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2.75" hidden="false" customHeight="false" outlineLevel="0" collapsed="false">
      <c r="A57" s="375" t="s">
        <v>466</v>
      </c>
      <c r="B57" s="376" t="n">
        <f aca="false">B21*Assumptions!$G$48</f>
        <v>0</v>
      </c>
      <c r="C57" s="188" t="n">
        <f aca="false">C21*Assumptions!$G$48</f>
        <v>4874.99892616154</v>
      </c>
      <c r="D57" s="188" t="n">
        <f aca="false">D21*Assumptions!$G$48</f>
        <v>8403.14019482009</v>
      </c>
      <c r="E57" s="188" t="n">
        <f aca="false">E21*Assumptions!$G$48</f>
        <v>8361.37684562008</v>
      </c>
      <c r="F57" s="188" t="n">
        <f aca="false">F21*Assumptions!$G$48</f>
        <v>8318.77822943609</v>
      </c>
      <c r="G57" s="188" t="n">
        <f aca="false">G21*Assumptions!$G$48</f>
        <v>8275.32764092841</v>
      </c>
      <c r="H57" s="188" t="n">
        <f aca="false">H21*Assumptions!$G$48</f>
        <v>8231.00804065057</v>
      </c>
      <c r="I57" s="188" t="n">
        <f aca="false">I21*Assumptions!$G$48</f>
        <v>8185.80204836718</v>
      </c>
      <c r="J57" s="188" t="n">
        <f aca="false">J21*Assumptions!$G$48</f>
        <v>8139.69193623812</v>
      </c>
      <c r="K57" s="188" t="n">
        <f aca="false">K21*Assumptions!$G$48</f>
        <v>8092.65962186648</v>
      </c>
      <c r="L57" s="188" t="n">
        <f aca="false">L21*Assumptions!$G$48</f>
        <v>8044.68666120741</v>
      </c>
      <c r="M57" s="188" t="n">
        <f aca="false">M21*Assumptions!$G$48</f>
        <v>7995.75424133516</v>
      </c>
      <c r="N57" s="188" t="n">
        <f aca="false">N21*Assumptions!$G$48</f>
        <v>7945.84317306546</v>
      </c>
      <c r="O57" s="188" t="n">
        <f aca="false">O21*Assumptions!$G$48</f>
        <v>7894.93388343037</v>
      </c>
      <c r="P57" s="188" t="n">
        <f aca="false">P21*Assumptions!$G$48</f>
        <v>7843.00640800257</v>
      </c>
      <c r="Q57" s="188" t="n">
        <f aca="false">Q21*Assumptions!$G$48</f>
        <v>7790.04038306622</v>
      </c>
      <c r="R57" s="188" t="n">
        <f aca="false">R21*Assumptions!$G$48</f>
        <v>7736.01503763114</v>
      </c>
      <c r="S57" s="188" t="n">
        <f aca="false">S21*Assumptions!$G$48</f>
        <v>7680.90918528737</v>
      </c>
      <c r="T57" s="188" t="n">
        <f aca="false">T21*Assumptions!$G$48</f>
        <v>7624.70121589671</v>
      </c>
      <c r="U57" s="188" t="n">
        <f aca="false">U21*Assumptions!$G$48</f>
        <v>2459.35565532953</v>
      </c>
      <c r="V57" s="188" t="n">
        <f aca="false">V21*Assumptions!$G$48</f>
        <v>2275.94691099768</v>
      </c>
      <c r="W57" s="188" t="n">
        <f aca="false">W21*Assumptions!$G$48</f>
        <v>2081.46707542677</v>
      </c>
      <c r="X57" s="188" t="n">
        <f aca="false">X21*Assumptions!$G$48</f>
        <v>13919.8114821519</v>
      </c>
      <c r="Y57" s="188" t="n">
        <f aca="false">Y21*Assumptions!$G$48</f>
        <v>13700.9195193851</v>
      </c>
      <c r="Z57" s="188" t="n">
        <f aca="false">Z21*Assumptions!$G$48</f>
        <v>13468.5808265057</v>
      </c>
      <c r="AA57" s="188" t="n">
        <f aca="false">AA21*Assumptions!$G$48</f>
        <v>13221.8916465517</v>
      </c>
      <c r="AB57" s="188" t="n">
        <f aca="false">AB21*Assumptions!$G$48</f>
        <v>12959.8857098563</v>
      </c>
      <c r="AC57" s="188" t="n">
        <f aca="false">AC21*Assumptions!$G$48</f>
        <v>12681.5298731647</v>
      </c>
      <c r="AD57" s="188" t="n">
        <f aca="false">AD21*Assumptions!$G$48</f>
        <v>12385.7194537886</v>
      </c>
      <c r="AE57" s="188" t="n">
        <f aca="false">AE21*Assumptions!$G$48</f>
        <v>12071.2732374578</v>
      </c>
      <c r="AF57" s="188" t="n">
        <f aca="false">AF21*Assumptions!$G$48</f>
        <v>11736.9281370336</v>
      </c>
      <c r="AG57" s="188" t="n">
        <f aca="false">AG21*Assumptions!$G$48</f>
        <v>1328.17118924545</v>
      </c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375" t="s">
        <v>78</v>
      </c>
      <c r="B58" s="355" t="n">
        <v>0</v>
      </c>
      <c r="C58" s="355" t="n">
        <v>0</v>
      </c>
      <c r="D58" s="355" t="n">
        <v>0</v>
      </c>
      <c r="E58" s="355" t="n">
        <v>0</v>
      </c>
      <c r="F58" s="355" t="n">
        <v>0</v>
      </c>
      <c r="G58" s="355" t="n">
        <v>0</v>
      </c>
      <c r="H58" s="355" t="n">
        <v>0</v>
      </c>
      <c r="I58" s="355" t="n">
        <v>0</v>
      </c>
      <c r="J58" s="355" t="n">
        <v>0</v>
      </c>
      <c r="K58" s="355" t="n">
        <v>0</v>
      </c>
      <c r="L58" s="355" t="n">
        <v>0</v>
      </c>
      <c r="M58" s="355" t="n">
        <v>0</v>
      </c>
      <c r="N58" s="355" t="n">
        <v>0</v>
      </c>
      <c r="O58" s="355" t="n">
        <v>0</v>
      </c>
      <c r="P58" s="355" t="n">
        <v>0</v>
      </c>
      <c r="Q58" s="355" t="n">
        <v>0</v>
      </c>
      <c r="R58" s="355" t="n">
        <v>0</v>
      </c>
      <c r="S58" s="355" t="n">
        <v>0</v>
      </c>
      <c r="T58" s="355" t="n">
        <v>0</v>
      </c>
      <c r="U58" s="355" t="n">
        <v>0</v>
      </c>
      <c r="V58" s="355" t="n">
        <v>0</v>
      </c>
      <c r="W58" s="355" t="n">
        <f aca="false">AG58</f>
        <v>69600</v>
      </c>
      <c r="X58" s="355" t="n">
        <v>0</v>
      </c>
      <c r="Y58" s="355" t="n">
        <v>0</v>
      </c>
      <c r="Z58" s="355" t="n">
        <v>0</v>
      </c>
      <c r="AA58" s="355" t="n">
        <v>0</v>
      </c>
      <c r="AB58" s="355" t="n">
        <v>0</v>
      </c>
      <c r="AC58" s="355" t="n">
        <v>0</v>
      </c>
      <c r="AD58" s="355" t="n">
        <v>0</v>
      </c>
      <c r="AE58" s="355" t="n">
        <v>0</v>
      </c>
      <c r="AF58" s="355" t="n">
        <v>0</v>
      </c>
      <c r="AG58" s="355" t="n">
        <f aca="false">Assumptions!H25*Assumptions!H68*Assumptions!G48</f>
        <v>69600</v>
      </c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2" hidden="false" customHeight="true" outlineLevel="0" collapsed="false">
      <c r="A59" s="375" t="s">
        <v>472</v>
      </c>
      <c r="B59" s="188" t="n">
        <f aca="false">SUM(B56:B58)</f>
        <v>-64055.3019654802</v>
      </c>
      <c r="C59" s="188" t="n">
        <f aca="false">SUM(C56:C58)</f>
        <v>4874.99892616154</v>
      </c>
      <c r="D59" s="188" t="n">
        <f aca="false">SUM(D56:D58)</f>
        <v>8403.14019482009</v>
      </c>
      <c r="E59" s="188" t="n">
        <f aca="false">SUM(E56:E58)</f>
        <v>8361.37684562008</v>
      </c>
      <c r="F59" s="188" t="n">
        <f aca="false">SUM(F56:F58)</f>
        <v>8318.77822943609</v>
      </c>
      <c r="G59" s="188" t="n">
        <f aca="false">SUM(G56:G58)</f>
        <v>8275.32764092841</v>
      </c>
      <c r="H59" s="188" t="n">
        <f aca="false">SUM(H56:H58)</f>
        <v>8231.00804065057</v>
      </c>
      <c r="I59" s="188" t="n">
        <f aca="false">SUM(I56:I58)</f>
        <v>8185.80204836718</v>
      </c>
      <c r="J59" s="188" t="n">
        <f aca="false">SUM(J56:J58)</f>
        <v>8139.69193623812</v>
      </c>
      <c r="K59" s="188" t="n">
        <f aca="false">SUM(K56:K58)</f>
        <v>8092.65962186648</v>
      </c>
      <c r="L59" s="188" t="n">
        <f aca="false">SUM(L56:L58)</f>
        <v>8044.68666120741</v>
      </c>
      <c r="M59" s="188" t="n">
        <f aca="false">SUM(M56:M58)</f>
        <v>7995.75424133516</v>
      </c>
      <c r="N59" s="188" t="n">
        <f aca="false">SUM(N56:N58)</f>
        <v>7945.84317306546</v>
      </c>
      <c r="O59" s="188" t="n">
        <f aca="false">SUM(O56:O58)</f>
        <v>7894.93388343037</v>
      </c>
      <c r="P59" s="188" t="n">
        <f aca="false">SUM(P56:P58)</f>
        <v>7843.00640800257</v>
      </c>
      <c r="Q59" s="188" t="n">
        <f aca="false">SUM(Q56:Q58)</f>
        <v>7790.04038306622</v>
      </c>
      <c r="R59" s="188" t="n">
        <f aca="false">SUM(R56:R58)</f>
        <v>7736.01503763114</v>
      </c>
      <c r="S59" s="188" t="n">
        <f aca="false">SUM(S56:S58)</f>
        <v>7680.90918528737</v>
      </c>
      <c r="T59" s="188" t="n">
        <f aca="false">SUM(T56:T58)</f>
        <v>7624.70121589671</v>
      </c>
      <c r="U59" s="188" t="n">
        <f aca="false">SUM(U56:U58)</f>
        <v>2459.35565532953</v>
      </c>
      <c r="V59" s="188" t="n">
        <f aca="false">SUM(V56:V58)</f>
        <v>2275.94691099768</v>
      </c>
      <c r="W59" s="188" t="n">
        <f aca="false">SUM(W56:W58)</f>
        <v>71681.4670754268</v>
      </c>
      <c r="X59" s="188" t="n">
        <f aca="false">SUM(X56:X58)</f>
        <v>13919.8114821519</v>
      </c>
      <c r="Y59" s="188" t="n">
        <f aca="false">SUM(Y56:Y58)</f>
        <v>13700.9195193851</v>
      </c>
      <c r="Z59" s="188" t="n">
        <f aca="false">SUM(Z56:Z58)</f>
        <v>13468.5808265057</v>
      </c>
      <c r="AA59" s="188" t="n">
        <f aca="false">SUM(AA56:AA58)</f>
        <v>13221.8916465517</v>
      </c>
      <c r="AB59" s="188" t="n">
        <f aca="false">SUM(AB56:AB58)</f>
        <v>12959.8857098563</v>
      </c>
      <c r="AC59" s="188" t="n">
        <f aca="false">SUM(AC56:AC58)</f>
        <v>12681.5298731647</v>
      </c>
      <c r="AD59" s="188" t="n">
        <f aca="false">SUM(AD56:AD58)</f>
        <v>12385.7194537886</v>
      </c>
      <c r="AE59" s="188" t="n">
        <f aca="false">SUM(AE56:AE58)</f>
        <v>12071.2732374578</v>
      </c>
      <c r="AF59" s="188" t="n">
        <f aca="false">SUM(AF56:AF58)</f>
        <v>11736.9281370336</v>
      </c>
      <c r="AG59" s="188" t="n">
        <f aca="false">SUM(AG56:AG58)</f>
        <v>70928.1711892455</v>
      </c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</row>
    <row r="60" customFormat="false" ht="12.75" hidden="false" customHeight="false" outlineLevel="0" collapsed="false">
      <c r="A60" s="31"/>
      <c r="B60" s="367" t="s">
        <v>242</v>
      </c>
      <c r="C60" s="372" t="n">
        <f aca="false">XIRR(B59:AG59,B8:AG8)</f>
        <v>0.123042242828969</v>
      </c>
    </row>
    <row r="61" customFormat="false" ht="12.75" hidden="false" customHeight="false" outlineLevel="0" collapsed="false">
      <c r="A61" s="375"/>
      <c r="B61" s="373" t="s">
        <v>243</v>
      </c>
      <c r="C61" s="321" t="n">
        <f aca="false">NPV(0.12,B59:AG59)</f>
        <v>7035.74034382051</v>
      </c>
    </row>
    <row r="62" customFormat="false" ht="12.75" hidden="false" customHeight="false" outlineLevel="0" collapsed="false">
      <c r="A62" s="3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J44" activeCellId="0" sqref="J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77" t="str">
        <f aca="false">Assumptions!A3</f>
        <v>PROJECT NAME: Homestead, Florida</v>
      </c>
      <c r="C2" s="378"/>
      <c r="D2" s="375"/>
      <c r="E2" s="375"/>
      <c r="F2" s="379"/>
      <c r="G2" s="3"/>
      <c r="H2" s="3"/>
      <c r="I2" s="304"/>
      <c r="J2" s="304"/>
      <c r="K2" s="304"/>
      <c r="L2" s="379"/>
      <c r="M2" s="3"/>
      <c r="N2" s="3"/>
      <c r="O2" s="304"/>
      <c r="P2" s="304"/>
      <c r="Q2" s="304"/>
      <c r="R2" s="37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63"/>
      <c r="C3" s="378"/>
      <c r="D3" s="375"/>
      <c r="E3" s="375"/>
      <c r="F3" s="379"/>
      <c r="G3" s="3"/>
      <c r="H3" s="3"/>
      <c r="I3" s="304"/>
      <c r="J3" s="304"/>
      <c r="K3" s="304"/>
      <c r="L3" s="379"/>
      <c r="M3" s="3"/>
      <c r="N3" s="3"/>
      <c r="O3" s="304"/>
      <c r="P3" s="304"/>
      <c r="Q3" s="304"/>
      <c r="R3" s="37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01" t="s">
        <v>473</v>
      </c>
      <c r="B4" s="380" t="s">
        <v>474</v>
      </c>
      <c r="C4" s="378"/>
      <c r="D4" s="375"/>
      <c r="E4" s="375"/>
      <c r="F4" s="379"/>
      <c r="I4" s="378"/>
      <c r="J4" s="378"/>
      <c r="K4" s="378"/>
      <c r="L4" s="379"/>
      <c r="O4" s="378"/>
      <c r="P4" s="378"/>
      <c r="Q4" s="378"/>
      <c r="R4" s="379"/>
      <c r="AG4" s="0"/>
      <c r="AN4" s="18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82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0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  <c r="BP6" s="384"/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/>
      <c r="DR6" s="384"/>
      <c r="DS6" s="384"/>
      <c r="DT6" s="384"/>
      <c r="DU6" s="384"/>
      <c r="DV6" s="384"/>
      <c r="DW6" s="384"/>
      <c r="DX6" s="384"/>
      <c r="DY6" s="384"/>
      <c r="DZ6" s="384"/>
      <c r="EA6" s="384"/>
      <c r="EB6" s="384"/>
      <c r="EC6" s="384"/>
      <c r="ED6" s="384"/>
      <c r="EE6" s="384"/>
      <c r="EF6" s="384"/>
      <c r="EG6" s="384"/>
      <c r="EH6" s="384"/>
      <c r="EI6" s="384"/>
      <c r="EJ6" s="384"/>
      <c r="EK6" s="384"/>
      <c r="EL6" s="384"/>
      <c r="EM6" s="384"/>
      <c r="EN6" s="384"/>
      <c r="EO6" s="384"/>
      <c r="EP6" s="384"/>
      <c r="EQ6" s="384"/>
      <c r="ER6" s="384"/>
      <c r="ES6" s="384"/>
      <c r="ET6" s="384"/>
      <c r="EU6" s="384"/>
      <c r="EV6" s="384"/>
      <c r="EW6" s="384"/>
      <c r="EX6" s="384"/>
      <c r="EY6" s="384"/>
      <c r="EZ6" s="384"/>
      <c r="FA6" s="384"/>
      <c r="FB6" s="384"/>
      <c r="FC6" s="384"/>
      <c r="FD6" s="384"/>
      <c r="FE6" s="384"/>
      <c r="FF6" s="384"/>
      <c r="FG6" s="384"/>
      <c r="FH6" s="384"/>
      <c r="FI6" s="384"/>
      <c r="FJ6" s="384"/>
      <c r="FK6" s="384"/>
      <c r="FL6" s="384"/>
      <c r="FM6" s="384"/>
      <c r="FN6" s="384"/>
      <c r="FO6" s="384"/>
      <c r="FP6" s="384"/>
      <c r="FQ6" s="384"/>
      <c r="FR6" s="384"/>
      <c r="FS6" s="384"/>
      <c r="FT6" s="384"/>
      <c r="FU6" s="384"/>
      <c r="FV6" s="384"/>
      <c r="FW6" s="384"/>
      <c r="FX6" s="384"/>
      <c r="FY6" s="384"/>
      <c r="FZ6" s="384"/>
      <c r="GA6" s="384"/>
      <c r="GB6" s="384"/>
      <c r="GC6" s="384"/>
      <c r="GD6" s="384"/>
      <c r="GE6" s="384"/>
      <c r="GF6" s="384"/>
      <c r="GG6" s="384"/>
      <c r="GH6" s="384"/>
      <c r="GI6" s="384"/>
      <c r="GJ6" s="384"/>
      <c r="GK6" s="384"/>
      <c r="GL6" s="384"/>
      <c r="GM6" s="384"/>
      <c r="GN6" s="384"/>
      <c r="GO6" s="384"/>
      <c r="GP6" s="384"/>
      <c r="GQ6" s="384"/>
      <c r="GR6" s="384"/>
      <c r="GS6" s="384"/>
      <c r="GT6" s="384"/>
      <c r="GU6" s="384"/>
      <c r="GV6" s="384"/>
      <c r="GW6" s="384"/>
      <c r="GX6" s="384"/>
      <c r="GY6" s="384"/>
      <c r="GZ6" s="384"/>
      <c r="HA6" s="384"/>
      <c r="HB6" s="384"/>
      <c r="HC6" s="384"/>
      <c r="HD6" s="384"/>
      <c r="HE6" s="384"/>
      <c r="HF6" s="384"/>
      <c r="HG6" s="384"/>
      <c r="HH6" s="384"/>
      <c r="HI6" s="384"/>
      <c r="HJ6" s="384"/>
      <c r="HK6" s="384"/>
      <c r="HL6" s="384"/>
      <c r="HM6" s="384"/>
      <c r="HN6" s="384"/>
      <c r="HO6" s="384"/>
      <c r="HP6" s="384"/>
      <c r="HQ6" s="384"/>
      <c r="HR6" s="384"/>
      <c r="HS6" s="384"/>
      <c r="HT6" s="384"/>
      <c r="HU6" s="384"/>
      <c r="HV6" s="384"/>
      <c r="HW6" s="384"/>
      <c r="HX6" s="384"/>
      <c r="HY6" s="384"/>
      <c r="HZ6" s="384"/>
      <c r="IA6" s="384"/>
      <c r="IB6" s="384"/>
      <c r="IC6" s="384"/>
      <c r="ID6" s="384"/>
      <c r="IE6" s="384"/>
      <c r="IF6" s="384"/>
      <c r="IG6" s="384"/>
      <c r="IH6" s="384"/>
      <c r="II6" s="384"/>
      <c r="IJ6" s="384"/>
      <c r="IK6" s="384"/>
      <c r="IL6" s="384"/>
      <c r="IM6" s="384"/>
      <c r="IN6" s="384"/>
      <c r="IO6" s="384"/>
      <c r="IP6" s="384"/>
      <c r="IQ6" s="384"/>
      <c r="IR6" s="384"/>
      <c r="IS6" s="384"/>
      <c r="IT6" s="384"/>
      <c r="IU6" s="384"/>
      <c r="IV6" s="384"/>
      <c r="IW6" s="384"/>
    </row>
    <row r="7" customFormat="false" ht="13.5" hidden="false" customHeight="false" outlineLevel="0" collapsed="false">
      <c r="A7" s="302" t="s">
        <v>382</v>
      </c>
      <c r="B7" s="385" t="n">
        <f aca="false">IS!C7</f>
        <v>2001</v>
      </c>
      <c r="C7" s="385" t="n">
        <f aca="false">B7+1</f>
        <v>2002</v>
      </c>
      <c r="D7" s="385" t="n">
        <f aca="false">C7+1</f>
        <v>2003</v>
      </c>
      <c r="E7" s="385" t="n">
        <f aca="false">D7+1</f>
        <v>2004</v>
      </c>
      <c r="F7" s="385" t="n">
        <f aca="false">E7+1</f>
        <v>2005</v>
      </c>
      <c r="G7" s="385" t="n">
        <f aca="false">F7+1</f>
        <v>2006</v>
      </c>
      <c r="H7" s="385" t="n">
        <f aca="false">G7+1</f>
        <v>2007</v>
      </c>
      <c r="I7" s="385" t="n">
        <f aca="false">H7+1</f>
        <v>2008</v>
      </c>
      <c r="J7" s="385" t="n">
        <f aca="false">I7+1</f>
        <v>2009</v>
      </c>
      <c r="K7" s="385" t="n">
        <f aca="false">J7+1</f>
        <v>2010</v>
      </c>
      <c r="L7" s="385" t="n">
        <f aca="false">K7+1</f>
        <v>2011</v>
      </c>
      <c r="M7" s="385" t="n">
        <f aca="false">L7+1</f>
        <v>2012</v>
      </c>
      <c r="N7" s="385" t="n">
        <f aca="false">M7+1</f>
        <v>2013</v>
      </c>
      <c r="O7" s="385" t="n">
        <f aca="false">N7+1</f>
        <v>2014</v>
      </c>
      <c r="P7" s="385" t="n">
        <f aca="false">O7+1</f>
        <v>2015</v>
      </c>
      <c r="Q7" s="385" t="n">
        <f aca="false">P7+1</f>
        <v>2016</v>
      </c>
      <c r="R7" s="385" t="n">
        <f aca="false">Q7+1</f>
        <v>2017</v>
      </c>
      <c r="S7" s="385" t="n">
        <f aca="false">R7+1</f>
        <v>2018</v>
      </c>
      <c r="T7" s="385" t="n">
        <f aca="false">S7+1</f>
        <v>2019</v>
      </c>
      <c r="U7" s="385" t="n">
        <f aca="false">T7+1</f>
        <v>2020</v>
      </c>
      <c r="V7" s="385" t="n">
        <f aca="false">U7+1</f>
        <v>2021</v>
      </c>
      <c r="W7" s="385" t="n">
        <f aca="false">V7+1</f>
        <v>2022</v>
      </c>
      <c r="X7" s="385" t="n">
        <f aca="false">W7+1</f>
        <v>2023</v>
      </c>
      <c r="Y7" s="385" t="n">
        <f aca="false">X7+1</f>
        <v>2024</v>
      </c>
      <c r="Z7" s="385" t="n">
        <f aca="false">Y7+1</f>
        <v>2025</v>
      </c>
      <c r="AA7" s="385" t="n">
        <f aca="false">Z7+1</f>
        <v>2026</v>
      </c>
      <c r="AB7" s="385" t="n">
        <f aca="false">AA7+1</f>
        <v>2027</v>
      </c>
      <c r="AC7" s="385" t="n">
        <f aca="false">AB7+1</f>
        <v>2028</v>
      </c>
      <c r="AD7" s="385" t="n">
        <f aca="false">AC7+1</f>
        <v>2029</v>
      </c>
      <c r="AE7" s="385" t="n">
        <f aca="false">AD7+1</f>
        <v>2030</v>
      </c>
      <c r="AF7" s="385" t="n">
        <f aca="false">AE7+1</f>
        <v>2031</v>
      </c>
      <c r="AG7" s="0"/>
      <c r="AH7" s="271"/>
    </row>
    <row r="8" customFormat="false" ht="12.75" hidden="false" customHeight="false" outlineLevel="0" collapsed="false">
      <c r="A8" s="386"/>
      <c r="B8" s="387" t="n">
        <f aca="false">IS!C8</f>
        <v>37256</v>
      </c>
      <c r="C8" s="387" t="n">
        <f aca="false">IS!D8</f>
        <v>37621</v>
      </c>
      <c r="D8" s="387" t="n">
        <f aca="false">IS!E8</f>
        <v>37986</v>
      </c>
      <c r="E8" s="387" t="n">
        <f aca="false">IS!F8</f>
        <v>38352</v>
      </c>
      <c r="F8" s="387" t="n">
        <f aca="false">IS!G8</f>
        <v>38717</v>
      </c>
      <c r="G8" s="387" t="n">
        <f aca="false">IS!H8</f>
        <v>39082</v>
      </c>
      <c r="H8" s="387" t="n">
        <f aca="false">IS!I8</f>
        <v>39447</v>
      </c>
      <c r="I8" s="387" t="n">
        <f aca="false">IS!J8</f>
        <v>39813</v>
      </c>
      <c r="J8" s="387" t="n">
        <f aca="false">IS!K8</f>
        <v>40178</v>
      </c>
      <c r="K8" s="387" t="n">
        <f aca="false">IS!L8</f>
        <v>40543</v>
      </c>
      <c r="L8" s="387" t="n">
        <f aca="false">IS!M8</f>
        <v>40908</v>
      </c>
      <c r="M8" s="387" t="n">
        <f aca="false">IS!N8</f>
        <v>41274</v>
      </c>
      <c r="N8" s="387" t="n">
        <f aca="false">IS!O8</f>
        <v>41639</v>
      </c>
      <c r="O8" s="387" t="n">
        <f aca="false">IS!P8</f>
        <v>42004</v>
      </c>
      <c r="P8" s="387" t="n">
        <f aca="false">IS!Q8</f>
        <v>42369</v>
      </c>
      <c r="Q8" s="387" t="n">
        <f aca="false">IS!R8</f>
        <v>42735</v>
      </c>
      <c r="R8" s="387" t="n">
        <f aca="false">IS!S8</f>
        <v>43100</v>
      </c>
      <c r="S8" s="387" t="n">
        <f aca="false">IS!T8</f>
        <v>43465</v>
      </c>
      <c r="T8" s="387" t="n">
        <f aca="false">IS!U8</f>
        <v>43830</v>
      </c>
      <c r="U8" s="387" t="n">
        <f aca="false">IS!V8</f>
        <v>44196</v>
      </c>
      <c r="V8" s="387" t="n">
        <f aca="false">IS!W8</f>
        <v>44561</v>
      </c>
      <c r="W8" s="387" t="n">
        <f aca="false">IS!X8</f>
        <v>44926</v>
      </c>
      <c r="X8" s="387" t="n">
        <f aca="false">IS!Y8</f>
        <v>45291</v>
      </c>
      <c r="Y8" s="387" t="n">
        <f aca="false">IS!Z8</f>
        <v>45657</v>
      </c>
      <c r="Z8" s="387" t="n">
        <f aca="false">IS!AA8</f>
        <v>46022</v>
      </c>
      <c r="AA8" s="387" t="n">
        <f aca="false">IS!AB8</f>
        <v>46387</v>
      </c>
      <c r="AB8" s="387" t="n">
        <f aca="false">IS!AC8</f>
        <v>46752</v>
      </c>
      <c r="AC8" s="387" t="n">
        <f aca="false">IS!AD8</f>
        <v>47118</v>
      </c>
      <c r="AD8" s="387" t="n">
        <f aca="false">IS!AE8</f>
        <v>47483</v>
      </c>
      <c r="AE8" s="387" t="n">
        <f aca="false">IS!AF8</f>
        <v>47848</v>
      </c>
      <c r="AF8" s="387" t="n">
        <f aca="false">IS!AG8</f>
        <v>48213</v>
      </c>
      <c r="AG8" s="0"/>
      <c r="AH8" s="271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  <c r="BL8" s="388"/>
      <c r="BM8" s="388"/>
      <c r="BN8" s="388"/>
      <c r="BO8" s="388"/>
      <c r="BP8" s="388"/>
      <c r="BQ8" s="388"/>
      <c r="BR8" s="388"/>
      <c r="BS8" s="388"/>
      <c r="BT8" s="388"/>
      <c r="BU8" s="388"/>
      <c r="BV8" s="388"/>
      <c r="BW8" s="388"/>
      <c r="BX8" s="388"/>
      <c r="BY8" s="388"/>
      <c r="BZ8" s="388"/>
      <c r="CA8" s="388"/>
      <c r="CB8" s="388"/>
      <c r="CC8" s="388"/>
      <c r="CD8" s="388"/>
      <c r="CE8" s="388"/>
      <c r="CF8" s="388"/>
      <c r="CG8" s="388"/>
      <c r="CH8" s="388"/>
      <c r="CI8" s="388"/>
      <c r="CJ8" s="388"/>
      <c r="CK8" s="388"/>
      <c r="CL8" s="388"/>
      <c r="CM8" s="388"/>
      <c r="CN8" s="388"/>
      <c r="CO8" s="388"/>
      <c r="CP8" s="388"/>
      <c r="CQ8" s="388"/>
      <c r="CR8" s="388"/>
      <c r="CS8" s="388"/>
      <c r="CT8" s="388"/>
      <c r="CU8" s="388"/>
      <c r="CV8" s="388"/>
      <c r="CW8" s="388"/>
      <c r="CX8" s="388"/>
      <c r="CY8" s="388"/>
      <c r="CZ8" s="388"/>
      <c r="DA8" s="388"/>
      <c r="DB8" s="388"/>
      <c r="DC8" s="388"/>
      <c r="DD8" s="388"/>
      <c r="DE8" s="388"/>
      <c r="DF8" s="388"/>
      <c r="DG8" s="388"/>
      <c r="DH8" s="388"/>
      <c r="DI8" s="388"/>
      <c r="DJ8" s="388"/>
      <c r="DK8" s="388"/>
      <c r="DL8" s="388"/>
      <c r="DM8" s="388"/>
      <c r="DN8" s="388"/>
      <c r="DO8" s="388"/>
      <c r="DP8" s="388"/>
      <c r="DQ8" s="388"/>
      <c r="DR8" s="388"/>
      <c r="DS8" s="388"/>
      <c r="DT8" s="388"/>
      <c r="DU8" s="388"/>
      <c r="DV8" s="388"/>
      <c r="DW8" s="388"/>
      <c r="DX8" s="388"/>
      <c r="DY8" s="388"/>
      <c r="DZ8" s="388"/>
      <c r="EA8" s="388"/>
      <c r="EB8" s="388"/>
      <c r="EC8" s="388"/>
      <c r="ED8" s="388"/>
      <c r="EE8" s="388"/>
      <c r="EF8" s="388"/>
      <c r="EG8" s="388"/>
      <c r="EH8" s="388"/>
      <c r="EI8" s="388"/>
      <c r="EJ8" s="388"/>
      <c r="EK8" s="388"/>
      <c r="EL8" s="388"/>
      <c r="EM8" s="388"/>
      <c r="EN8" s="388"/>
      <c r="EO8" s="388"/>
      <c r="EP8" s="388"/>
      <c r="EQ8" s="388"/>
      <c r="ER8" s="388"/>
      <c r="ES8" s="388"/>
      <c r="ET8" s="388"/>
      <c r="EU8" s="388"/>
      <c r="EV8" s="388"/>
      <c r="EW8" s="388"/>
      <c r="EX8" s="388"/>
      <c r="EY8" s="388"/>
      <c r="EZ8" s="388"/>
      <c r="FA8" s="388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8"/>
      <c r="FM8" s="388"/>
      <c r="FN8" s="388"/>
      <c r="FO8" s="388"/>
      <c r="FP8" s="388"/>
      <c r="FQ8" s="388"/>
      <c r="FR8" s="388"/>
      <c r="FS8" s="388"/>
      <c r="FT8" s="388"/>
      <c r="FU8" s="388"/>
      <c r="FV8" s="388"/>
      <c r="FW8" s="388"/>
      <c r="FX8" s="388"/>
      <c r="FY8" s="388"/>
      <c r="FZ8" s="388"/>
      <c r="GA8" s="388"/>
      <c r="GB8" s="388"/>
      <c r="GC8" s="388"/>
      <c r="GD8" s="388"/>
      <c r="GE8" s="388"/>
      <c r="GF8" s="388"/>
      <c r="GG8" s="388"/>
      <c r="GH8" s="388"/>
      <c r="GI8" s="388"/>
      <c r="GJ8" s="388"/>
      <c r="GK8" s="388"/>
      <c r="GL8" s="388"/>
      <c r="GM8" s="388"/>
      <c r="GN8" s="388"/>
      <c r="GO8" s="388"/>
      <c r="GP8" s="388"/>
      <c r="GQ8" s="388"/>
      <c r="GR8" s="388"/>
      <c r="GS8" s="388"/>
      <c r="GT8" s="388"/>
      <c r="GU8" s="388"/>
      <c r="GV8" s="388"/>
      <c r="GW8" s="388"/>
      <c r="GX8" s="388"/>
      <c r="GY8" s="388"/>
      <c r="GZ8" s="388"/>
      <c r="HA8" s="388"/>
      <c r="HB8" s="388"/>
      <c r="HC8" s="388"/>
      <c r="HD8" s="388"/>
      <c r="HE8" s="388"/>
      <c r="HF8" s="388"/>
      <c r="HG8" s="388"/>
      <c r="HH8" s="388"/>
      <c r="HI8" s="388"/>
      <c r="HJ8" s="388"/>
      <c r="HK8" s="388"/>
      <c r="HL8" s="388"/>
      <c r="HM8" s="388"/>
      <c r="HN8" s="388"/>
      <c r="HO8" s="388"/>
      <c r="HP8" s="388"/>
      <c r="HQ8" s="388"/>
      <c r="HR8" s="388"/>
      <c r="HS8" s="388"/>
      <c r="HT8" s="388"/>
      <c r="HU8" s="388"/>
      <c r="HV8" s="388"/>
      <c r="HW8" s="388"/>
      <c r="HX8" s="388"/>
      <c r="HY8" s="388"/>
      <c r="HZ8" s="388"/>
      <c r="IA8" s="388"/>
      <c r="IB8" s="388"/>
      <c r="IC8" s="388"/>
      <c r="ID8" s="388"/>
      <c r="IE8" s="388"/>
      <c r="IF8" s="388"/>
      <c r="IG8" s="388"/>
      <c r="IH8" s="388"/>
      <c r="II8" s="388"/>
      <c r="IJ8" s="388"/>
      <c r="IK8" s="388"/>
      <c r="IL8" s="388"/>
      <c r="IM8" s="388"/>
      <c r="IN8" s="388"/>
      <c r="IO8" s="388"/>
      <c r="IP8" s="388"/>
      <c r="IQ8" s="388"/>
      <c r="IR8" s="388"/>
      <c r="IS8" s="388"/>
      <c r="IT8" s="388"/>
      <c r="IU8" s="388"/>
      <c r="IV8" s="388"/>
      <c r="IW8" s="38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89" t="s">
        <v>475</v>
      </c>
      <c r="B11" s="390" t="n">
        <f aca="false">B29+B38</f>
        <v>7875.93505242359</v>
      </c>
      <c r="C11" s="390" t="n">
        <f aca="false">C29+C38</f>
        <v>20034.2163628946</v>
      </c>
      <c r="D11" s="390" t="n">
        <f aca="false">D29+D38</f>
        <v>20416.424037391</v>
      </c>
      <c r="E11" s="390" t="n">
        <f aca="false">E29+E38</f>
        <v>20387.9049930489</v>
      </c>
      <c r="F11" s="390" t="n">
        <f aca="false">F29+F38</f>
        <v>20316.9241596863</v>
      </c>
      <c r="G11" s="390" t="n">
        <f aca="false">G29+G38</f>
        <v>20286.692544334</v>
      </c>
      <c r="H11" s="390" t="n">
        <f aca="false">H29+H38</f>
        <v>20241.7075429342</v>
      </c>
      <c r="I11" s="390" t="n">
        <f aca="false">I29+I38</f>
        <v>20209.5721771417</v>
      </c>
      <c r="J11" s="390" t="n">
        <f aca="false">J29+J38</f>
        <v>20135.2711104148</v>
      </c>
      <c r="K11" s="390" t="n">
        <f aca="false">K29+K38</f>
        <v>20101.2820026845</v>
      </c>
      <c r="L11" s="390" t="n">
        <f aca="false">L29+L38</f>
        <v>20052.5887904517</v>
      </c>
      <c r="M11" s="390" t="n">
        <f aca="false">M29+M38</f>
        <v>20016.5390020203</v>
      </c>
      <c r="N11" s="390" t="n">
        <f aca="false">N29+N38</f>
        <v>19938.6440079213</v>
      </c>
      <c r="O11" s="390" t="n">
        <f aca="false">O29+O38</f>
        <v>19900.5876696001</v>
      </c>
      <c r="P11" s="391" t="n">
        <f aca="false">P29+P38</f>
        <v>19847.8805707056</v>
      </c>
      <c r="Q11" s="390" t="n">
        <f aca="false">Q29+Q38</f>
        <v>19807.593685322</v>
      </c>
      <c r="R11" s="390" t="n">
        <f aca="false">R29+R38</f>
        <v>19725.8085086547</v>
      </c>
      <c r="S11" s="390" t="n">
        <f aca="false">S29+S38</f>
        <v>19683.3496691398</v>
      </c>
      <c r="T11" s="390" t="n">
        <f aca="false">T29+T38</f>
        <v>19626.2978102361</v>
      </c>
      <c r="U11" s="390" t="n">
        <f aca="false">U29+U38</f>
        <v>19581.4245548464</v>
      </c>
      <c r="V11" s="390" t="n">
        <f aca="false">V29+V38</f>
        <v>19495.4285194589</v>
      </c>
      <c r="W11" s="390" t="n">
        <f aca="false">W29+W38</f>
        <v>19448.2042710675</v>
      </c>
      <c r="X11" s="390" t="n">
        <f aca="false">X29+X38</f>
        <v>19386.4495042023</v>
      </c>
      <c r="Y11" s="390" t="n">
        <f aca="false">Y29+Y38</f>
        <v>19336.6118144203</v>
      </c>
      <c r="Z11" s="390" t="n">
        <f aca="false">Z29+Z38</f>
        <v>19246.0578101329</v>
      </c>
      <c r="AA11" s="390" t="n">
        <f aca="false">AA29+AA38</f>
        <v>19193.6753299179</v>
      </c>
      <c r="AB11" s="390" t="n">
        <f aca="false">AB29+AB38</f>
        <v>19126.8299842298</v>
      </c>
      <c r="AC11" s="390" t="n">
        <f aca="false">AC29+AC38</f>
        <v>19071.6186310055</v>
      </c>
      <c r="AD11" s="390" t="n">
        <f aca="false">AD29+AD38</f>
        <v>18976.1309345964</v>
      </c>
      <c r="AE11" s="390" t="n">
        <f aca="false">AE29+AE38</f>
        <v>18918.165018367</v>
      </c>
      <c r="AF11" s="391" t="n">
        <f aca="false">AF29+AF38</f>
        <v>6909.29275365863</v>
      </c>
      <c r="AG11" s="0"/>
      <c r="AN11" s="392" t="n">
        <f aca="false">IF(MONTH(C23)=MONTH(Assumptions!G34),1,2)</f>
        <v>1</v>
      </c>
    </row>
    <row r="12" customFormat="false" ht="12.75" hidden="false" customHeight="false" outlineLevel="0" collapsed="false">
      <c r="A12" s="393" t="s">
        <v>62</v>
      </c>
      <c r="B12" s="394" t="n">
        <v>1.3</v>
      </c>
      <c r="C12" s="394" t="n">
        <v>1.3</v>
      </c>
      <c r="D12" s="394" t="n">
        <v>1.3</v>
      </c>
      <c r="E12" s="394" t="n">
        <v>1.3</v>
      </c>
      <c r="F12" s="394" t="n">
        <v>1.3</v>
      </c>
      <c r="G12" s="394" t="n">
        <v>1.3</v>
      </c>
      <c r="H12" s="394" t="n">
        <v>1.3</v>
      </c>
      <c r="I12" s="394" t="n">
        <v>1.3</v>
      </c>
      <c r="J12" s="394" t="n">
        <v>1.3</v>
      </c>
      <c r="K12" s="394" t="n">
        <v>1.3</v>
      </c>
      <c r="L12" s="394" t="n">
        <v>1.3</v>
      </c>
      <c r="M12" s="394" t="n">
        <v>1.3</v>
      </c>
      <c r="N12" s="394" t="n">
        <v>1.3</v>
      </c>
      <c r="O12" s="394" t="n">
        <v>1.3</v>
      </c>
      <c r="P12" s="394" t="n">
        <v>1.3</v>
      </c>
      <c r="Q12" s="394" t="n">
        <v>1.3</v>
      </c>
      <c r="R12" s="394" t="n">
        <v>1.3</v>
      </c>
      <c r="S12" s="394" t="n">
        <v>1.3</v>
      </c>
      <c r="T12" s="394" t="n">
        <v>1.3</v>
      </c>
      <c r="U12" s="394" t="n">
        <v>1.3</v>
      </c>
      <c r="V12" s="394" t="n">
        <v>1.3</v>
      </c>
      <c r="W12" s="394" t="n">
        <v>1.3</v>
      </c>
      <c r="X12" s="394" t="n">
        <v>1.3</v>
      </c>
      <c r="Y12" s="394" t="n">
        <v>1.3</v>
      </c>
      <c r="Z12" s="394" t="n">
        <v>1.3</v>
      </c>
      <c r="AA12" s="394" t="n">
        <v>1.3</v>
      </c>
      <c r="AB12" s="394" t="n">
        <v>1.3</v>
      </c>
      <c r="AC12" s="394" t="n">
        <v>1.3</v>
      </c>
      <c r="AD12" s="394" t="n">
        <v>1.3</v>
      </c>
      <c r="AE12" s="394" t="n">
        <v>1.3</v>
      </c>
      <c r="AF12" s="394" t="n">
        <v>1.3</v>
      </c>
      <c r="AG12" s="0"/>
      <c r="AN12" s="392" t="n">
        <f aca="false">IF(AN11=1,6,15)</f>
        <v>6</v>
      </c>
    </row>
    <row r="13" customFormat="false" ht="12.75" hidden="false" customHeight="false" outlineLevel="0" collapsed="false">
      <c r="A13" s="395" t="s">
        <v>476</v>
      </c>
      <c r="B13" s="352" t="n">
        <f aca="false">B11/B12</f>
        <v>6058.41157878738</v>
      </c>
      <c r="C13" s="352" t="n">
        <f aca="false">C11/C12</f>
        <v>15410.9356637651</v>
      </c>
      <c r="D13" s="352" t="n">
        <f aca="false">D11/D12</f>
        <v>15704.9415672238</v>
      </c>
      <c r="E13" s="352" t="n">
        <f aca="false">E11/E12</f>
        <v>15683.0038408069</v>
      </c>
      <c r="F13" s="352" t="n">
        <f aca="false">F11/F12</f>
        <v>15628.4031997587</v>
      </c>
      <c r="G13" s="352" t="n">
        <f aca="false">G11/G12</f>
        <v>15605.1481110262</v>
      </c>
      <c r="H13" s="352" t="n">
        <f aca="false">H11/H12</f>
        <v>15570.5442637956</v>
      </c>
      <c r="I13" s="352" t="n">
        <f aca="false">I11/I12</f>
        <v>15545.8247516474</v>
      </c>
      <c r="J13" s="352" t="n">
        <f aca="false">J11/J12</f>
        <v>15488.6700849345</v>
      </c>
      <c r="K13" s="352" t="n">
        <f aca="false">K11/K12</f>
        <v>15462.5246174497</v>
      </c>
      <c r="L13" s="352" t="n">
        <f aca="false">L11/L12</f>
        <v>15425.0683003475</v>
      </c>
      <c r="M13" s="352" t="n">
        <f aca="false">M11/M12</f>
        <v>15397.3376938618</v>
      </c>
      <c r="N13" s="352" t="n">
        <f aca="false">N11/N12</f>
        <v>15337.4184676318</v>
      </c>
      <c r="O13" s="352" t="n">
        <f aca="false">O11/O12</f>
        <v>15308.1443612309</v>
      </c>
      <c r="P13" s="396" t="n">
        <f aca="false">P11/P12</f>
        <v>15267.6004390043</v>
      </c>
      <c r="Q13" s="352" t="n">
        <f aca="false">Q11/Q12</f>
        <v>15236.6105271708</v>
      </c>
      <c r="R13" s="352" t="n">
        <f aca="false">R11/R12</f>
        <v>15173.6988528113</v>
      </c>
      <c r="S13" s="352" t="n">
        <f aca="false">S11/S12</f>
        <v>15141.0382070306</v>
      </c>
      <c r="T13" s="352" t="n">
        <f aca="false">T11/T12</f>
        <v>15097.1521617201</v>
      </c>
      <c r="U13" s="352" t="n">
        <f aca="false">U11/U12</f>
        <v>15062.6342729587</v>
      </c>
      <c r="V13" s="352" t="n">
        <f aca="false">V11/V12</f>
        <v>14996.4834765068</v>
      </c>
      <c r="W13" s="352" t="n">
        <f aca="false">W11/W12</f>
        <v>14960.1571315903</v>
      </c>
      <c r="X13" s="352" t="n">
        <f aca="false">X11/X12</f>
        <v>14912.653464771</v>
      </c>
      <c r="Y13" s="352" t="n">
        <f aca="false">Y11/Y12</f>
        <v>14874.3167803233</v>
      </c>
      <c r="Z13" s="352" t="n">
        <f aca="false">Z11/Z12</f>
        <v>14804.6598539484</v>
      </c>
      <c r="AA13" s="352" t="n">
        <f aca="false">AA11/AA12</f>
        <v>14764.3656383984</v>
      </c>
      <c r="AB13" s="352" t="n">
        <f aca="false">AB11/AB12</f>
        <v>14712.9461417152</v>
      </c>
      <c r="AC13" s="352" t="n">
        <f aca="false">AC11/AC12</f>
        <v>14670.4758700042</v>
      </c>
      <c r="AD13" s="352" t="n">
        <f aca="false">AD11/AD12</f>
        <v>14597.0237958434</v>
      </c>
      <c r="AE13" s="352" t="n">
        <f aca="false">AE11/AE12</f>
        <v>14552.434629513</v>
      </c>
      <c r="AF13" s="396" t="n">
        <f aca="false">AF11/AF12</f>
        <v>5314.84057973741</v>
      </c>
      <c r="AG13" s="0"/>
    </row>
    <row r="14" customFormat="false" ht="12.75" hidden="false" customHeight="false" outlineLevel="0" collapsed="false">
      <c r="A14" s="19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0"/>
    </row>
    <row r="15" customFormat="false" ht="12.75" hidden="false" customHeight="false" outlineLevel="0" collapsed="false">
      <c r="A15" s="19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0"/>
    </row>
    <row r="16" customFormat="false" ht="12.75" hidden="false" customHeight="false" outlineLevel="0" collapsed="false">
      <c r="A16" s="7"/>
      <c r="B16" s="182"/>
      <c r="C16" s="282"/>
      <c r="AG16" s="0"/>
    </row>
    <row r="17" customFormat="false" ht="12.75" hidden="false" customHeight="false" outlineLevel="0" collapsed="false">
      <c r="A17" s="7"/>
      <c r="B17" s="182"/>
      <c r="C17" s="397"/>
      <c r="AG17" s="0"/>
    </row>
    <row r="18" customFormat="false" ht="12.75" hidden="false" customHeight="false" outlineLevel="0" collapsed="false">
      <c r="A18" s="7"/>
      <c r="B18" s="182"/>
      <c r="AG18" s="0"/>
    </row>
    <row r="19" customFormat="false" ht="12.75" hidden="false" customHeight="false" outlineLevel="0" collapsed="false">
      <c r="A19" s="271" t="s">
        <v>477</v>
      </c>
      <c r="B19" s="398" t="n">
        <v>84092.2306130835</v>
      </c>
      <c r="S19" s="188"/>
      <c r="AF19" s="282"/>
      <c r="AG19" s="0"/>
    </row>
    <row r="20" customFormat="false" ht="12.75" hidden="false" customHeight="false" outlineLevel="0" collapsed="false">
      <c r="A20" s="271" t="s">
        <v>478</v>
      </c>
      <c r="B20" s="399" t="n">
        <f aca="false">HLOOKUP(Assumptions!G34,B23:AF39,AN12)</f>
        <v>0</v>
      </c>
      <c r="AF20" s="397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71"/>
      <c r="B22" s="0"/>
      <c r="C22" s="7"/>
      <c r="AG22" s="0"/>
    </row>
    <row r="23" customFormat="false" ht="12.75" hidden="false" customHeight="false" outlineLevel="0" collapsed="false">
      <c r="A23" s="0"/>
      <c r="B23" s="400" t="n">
        <v>36982</v>
      </c>
      <c r="C23" s="400" t="n">
        <v>37347</v>
      </c>
      <c r="D23" s="400" t="n">
        <v>37712</v>
      </c>
      <c r="E23" s="400" t="n">
        <v>38078</v>
      </c>
      <c r="F23" s="400" t="n">
        <v>38443</v>
      </c>
      <c r="G23" s="400" t="n">
        <v>38808</v>
      </c>
      <c r="H23" s="400" t="n">
        <v>39173</v>
      </c>
      <c r="I23" s="400" t="n">
        <v>39539</v>
      </c>
      <c r="J23" s="400" t="n">
        <v>39904</v>
      </c>
      <c r="K23" s="400" t="n">
        <v>40269</v>
      </c>
      <c r="L23" s="400" t="n">
        <v>40634</v>
      </c>
      <c r="M23" s="400" t="n">
        <v>41000</v>
      </c>
      <c r="N23" s="400" t="n">
        <v>41365</v>
      </c>
      <c r="O23" s="400" t="n">
        <v>41730</v>
      </c>
      <c r="P23" s="400" t="n">
        <v>42095</v>
      </c>
      <c r="Q23" s="400" t="n">
        <v>42461</v>
      </c>
      <c r="R23" s="400" t="n">
        <v>42826</v>
      </c>
      <c r="S23" s="400" t="n">
        <v>43191</v>
      </c>
      <c r="T23" s="400" t="n">
        <v>43556</v>
      </c>
      <c r="U23" s="400" t="n">
        <v>43922</v>
      </c>
      <c r="V23" s="400" t="n">
        <v>44287</v>
      </c>
      <c r="W23" s="400" t="n">
        <v>44652</v>
      </c>
      <c r="X23" s="400" t="n">
        <v>45017</v>
      </c>
      <c r="Y23" s="400" t="n">
        <v>45383</v>
      </c>
      <c r="Z23" s="400" t="n">
        <v>45748</v>
      </c>
      <c r="AA23" s="400" t="n">
        <v>46113</v>
      </c>
      <c r="AB23" s="400" t="n">
        <v>46478</v>
      </c>
      <c r="AC23" s="400" t="n">
        <v>46844</v>
      </c>
      <c r="AD23" s="400" t="n">
        <v>47209</v>
      </c>
      <c r="AE23" s="400" t="n">
        <v>47574</v>
      </c>
      <c r="AF23" s="400" t="n">
        <v>47939</v>
      </c>
      <c r="AG23" s="401" t="n">
        <v>47969</v>
      </c>
    </row>
    <row r="24" customFormat="false" ht="12.75" hidden="false" customHeight="false" outlineLevel="0" collapsed="false">
      <c r="A24" s="402" t="s">
        <v>464</v>
      </c>
      <c r="B24" s="0"/>
      <c r="C24" s="402" t="n">
        <f aca="false">B45</f>
        <v>147786.552408065</v>
      </c>
      <c r="D24" s="402" t="n">
        <f aca="false">C45</f>
        <v>142629.455017663</v>
      </c>
      <c r="E24" s="402" t="n">
        <f aca="false">D45</f>
        <v>136807.705618522</v>
      </c>
      <c r="F24" s="402" t="n">
        <f aca="false">E45</f>
        <v>130601.129793781</v>
      </c>
      <c r="G24" s="402" t="n">
        <f aca="false">F45</f>
        <v>123994.098459644</v>
      </c>
      <c r="H24" s="402" t="n">
        <f aca="false">G45</f>
        <v>116946.590587308</v>
      </c>
      <c r="I24" s="402" t="n">
        <f aca="false">H45</f>
        <v>109432.335105213</v>
      </c>
      <c r="J24" s="402" t="n">
        <f aca="false">I45</f>
        <v>101414.177206251</v>
      </c>
      <c r="K24" s="402" t="n">
        <f aca="false">J45</f>
        <v>92871.9311578101</v>
      </c>
      <c r="L24" s="402" t="n">
        <f aca="false">K45</f>
        <v>83752.8734483954</v>
      </c>
      <c r="M24" s="402" t="n">
        <f aca="false">L45</f>
        <v>74022.4245359793</v>
      </c>
      <c r="N24" s="402" t="n">
        <f aca="false">M45</f>
        <v>63631.5337837888</v>
      </c>
      <c r="O24" s="402" t="n">
        <f aca="false">N45</f>
        <v>52553.9899037785</v>
      </c>
      <c r="P24" s="402" t="n">
        <f aca="false">O45</f>
        <v>40720.3765117634</v>
      </c>
      <c r="Q24" s="402" t="n">
        <f aca="false">P45</f>
        <v>28085.1694994639</v>
      </c>
      <c r="R24" s="402" t="n">
        <f aca="false">Q45</f>
        <v>14583.6705483831</v>
      </c>
      <c r="S24" s="402" t="n">
        <f aca="false">R45</f>
        <v>181.706458478056</v>
      </c>
      <c r="T24" s="402" t="n">
        <f aca="false">S45</f>
        <v>0</v>
      </c>
      <c r="U24" s="402" t="n">
        <f aca="false">T45</f>
        <v>0</v>
      </c>
      <c r="V24" s="402" t="n">
        <f aca="false">U45</f>
        <v>0</v>
      </c>
      <c r="W24" s="402" t="n">
        <f aca="false">V45</f>
        <v>0</v>
      </c>
      <c r="X24" s="402" t="n">
        <f aca="false">W45</f>
        <v>0</v>
      </c>
      <c r="Y24" s="402" t="n">
        <f aca="false">X45</f>
        <v>0</v>
      </c>
      <c r="Z24" s="402" t="n">
        <f aca="false">Y45</f>
        <v>0</v>
      </c>
      <c r="AA24" s="402" t="n">
        <f aca="false">Z45</f>
        <v>0</v>
      </c>
      <c r="AB24" s="402" t="n">
        <f aca="false">AA45</f>
        <v>0</v>
      </c>
      <c r="AC24" s="402" t="n">
        <f aca="false">AB45</f>
        <v>0</v>
      </c>
      <c r="AD24" s="402" t="n">
        <f aca="false">AC45</f>
        <v>0</v>
      </c>
      <c r="AE24" s="402" t="n">
        <f aca="false">AD45</f>
        <v>0</v>
      </c>
      <c r="AF24" s="402" t="n">
        <f aca="false">AE45</f>
        <v>0</v>
      </c>
      <c r="AG24" s="0"/>
    </row>
    <row r="25" customFormat="false" ht="12.75" hidden="false" customHeight="false" outlineLevel="0" collapsed="false">
      <c r="A25" s="402" t="s">
        <v>479</v>
      </c>
      <c r="B25" s="0"/>
      <c r="C25" s="403" t="n">
        <v>0</v>
      </c>
      <c r="D25" s="403" t="n">
        <v>0</v>
      </c>
      <c r="E25" s="403" t="n">
        <v>0</v>
      </c>
      <c r="F25" s="403" t="n">
        <v>0</v>
      </c>
      <c r="G25" s="403" t="n">
        <v>0</v>
      </c>
      <c r="H25" s="403" t="n">
        <v>0</v>
      </c>
      <c r="I25" s="403" t="n">
        <v>0</v>
      </c>
      <c r="J25" s="403" t="n">
        <v>0</v>
      </c>
      <c r="K25" s="403" t="n">
        <v>0</v>
      </c>
      <c r="L25" s="403" t="n">
        <v>0</v>
      </c>
      <c r="M25" s="403" t="n">
        <v>0</v>
      </c>
      <c r="N25" s="403" t="n">
        <v>0</v>
      </c>
      <c r="O25" s="403" t="n">
        <v>0</v>
      </c>
      <c r="P25" s="403" t="n">
        <v>0</v>
      </c>
      <c r="Q25" s="403" t="n">
        <v>0</v>
      </c>
      <c r="R25" s="403" t="n">
        <v>0</v>
      </c>
      <c r="S25" s="403" t="n">
        <v>0</v>
      </c>
      <c r="T25" s="403" t="n">
        <v>0</v>
      </c>
      <c r="U25" s="403" t="n">
        <v>0</v>
      </c>
      <c r="V25" s="403" t="n">
        <v>0</v>
      </c>
      <c r="W25" s="403" t="n">
        <v>0</v>
      </c>
      <c r="X25" s="403" t="n">
        <v>0</v>
      </c>
      <c r="Y25" s="403" t="n">
        <v>0</v>
      </c>
      <c r="Z25" s="403" t="n">
        <v>0</v>
      </c>
      <c r="AA25" s="403" t="n">
        <v>0</v>
      </c>
      <c r="AB25" s="403" t="n">
        <v>0</v>
      </c>
      <c r="AC25" s="403" t="n">
        <v>0</v>
      </c>
      <c r="AD25" s="403" t="n">
        <v>0</v>
      </c>
      <c r="AE25" s="403" t="n">
        <v>0</v>
      </c>
      <c r="AF25" s="403" t="n">
        <v>0</v>
      </c>
      <c r="AG25" s="0"/>
    </row>
    <row r="26" customFormat="false" ht="12.75" hidden="false" customHeight="false" outlineLevel="0" collapsed="false">
      <c r="A26" s="402" t="s">
        <v>480</v>
      </c>
      <c r="B26" s="0"/>
      <c r="C26" s="402" t="n">
        <f aca="false">C24-C28</f>
        <v>2548.87516266591</v>
      </c>
      <c r="D26" s="402" t="n">
        <f aca="false">D24-D28</f>
        <v>2874.11665505017</v>
      </c>
      <c r="E26" s="402" t="n">
        <f aca="false">E24-E28</f>
        <v>3046.70879322299</v>
      </c>
      <c r="F26" s="402" t="n">
        <f aca="false">F24-F28</f>
        <v>3261.91293417946</v>
      </c>
      <c r="G26" s="402" t="n">
        <f aca="false">G24-G28</f>
        <v>3474.67045448332</v>
      </c>
      <c r="H26" s="402" t="n">
        <f aca="false">H24-H28</f>
        <v>3703.35551797366</v>
      </c>
      <c r="I26" s="402" t="n">
        <f aca="false">I24-I28</f>
        <v>3937.56256214523</v>
      </c>
      <c r="J26" s="402" t="n">
        <f aca="false">J24-J28</f>
        <v>4209.39924086837</v>
      </c>
      <c r="K26" s="402" t="n">
        <f aca="false">K24-K28</f>
        <v>4489.65024584673</v>
      </c>
      <c r="L26" s="402" t="n">
        <f aca="false">L24-L28</f>
        <v>4789.21467693386</v>
      </c>
      <c r="M26" s="402" t="n">
        <f aca="false">M24-M28</f>
        <v>5104.35436137099</v>
      </c>
      <c r="N26" s="402" t="n">
        <f aca="false">N24-N28</f>
        <v>5450.74136108439</v>
      </c>
      <c r="O26" s="402" t="n">
        <f aca="false">O24-O28</f>
        <v>5819.72195767259</v>
      </c>
      <c r="P26" s="402" t="n">
        <f aca="false">P24-P28</f>
        <v>6212.49173522857</v>
      </c>
      <c r="Q26" s="402" t="n">
        <f aca="false">Q24-Q28</f>
        <v>6633.98514007404</v>
      </c>
      <c r="R26" s="402" t="n">
        <f aca="false">R24-R28</f>
        <v>7078.51478759714</v>
      </c>
      <c r="S26" s="402" t="n">
        <f aca="false">S24-S28</f>
        <v>181.706458478056</v>
      </c>
      <c r="T26" s="402" t="n">
        <f aca="false">T24-T28</f>
        <v>0</v>
      </c>
      <c r="U26" s="402" t="n">
        <f aca="false">U24-U28</f>
        <v>0</v>
      </c>
      <c r="V26" s="402" t="n">
        <f aca="false">V24-V28</f>
        <v>0</v>
      </c>
      <c r="W26" s="402" t="n">
        <f aca="false">W24-W28</f>
        <v>0</v>
      </c>
      <c r="X26" s="402" t="n">
        <f aca="false">X24-X28</f>
        <v>0</v>
      </c>
      <c r="Y26" s="402" t="n">
        <f aca="false">Y24-Y28</f>
        <v>0</v>
      </c>
      <c r="Z26" s="402" t="n">
        <f aca="false">Z24-Z28</f>
        <v>0</v>
      </c>
      <c r="AA26" s="402" t="n">
        <f aca="false">AA24-AA28</f>
        <v>0</v>
      </c>
      <c r="AB26" s="402" t="n">
        <f aca="false">AB24-AB28</f>
        <v>0</v>
      </c>
      <c r="AC26" s="402" t="n">
        <f aca="false">AC24-AC28</f>
        <v>0</v>
      </c>
      <c r="AD26" s="402" t="n">
        <f aca="false">AD24-AD28</f>
        <v>0</v>
      </c>
      <c r="AE26" s="402" t="n">
        <f aca="false">AE24-AE28</f>
        <v>0</v>
      </c>
      <c r="AF26" s="402" t="n">
        <f aca="false">AF24-AF28</f>
        <v>0</v>
      </c>
      <c r="AG26" s="0"/>
    </row>
    <row r="27" customFormat="false" ht="12.75" hidden="false" customHeight="false" outlineLevel="0" collapsed="false">
      <c r="A27" s="402" t="s">
        <v>481</v>
      </c>
      <c r="B27" s="0"/>
      <c r="C27" s="404" t="n">
        <f aca="false">C24*(C23-B41)/(C41-B41)*$E$64</f>
        <v>2579.17901051883</v>
      </c>
      <c r="D27" s="404" t="n">
        <f aca="false">D24*(D23-C41)/(D41-C41)*$E$64</f>
        <v>2489.17706428086</v>
      </c>
      <c r="E27" s="404" t="n">
        <f aca="false">E24*(E23-D41)/(E41-D41)*$E$64</f>
        <v>2407.21755241334</v>
      </c>
      <c r="F27" s="404" t="n">
        <f aca="false">F24*(F23-E41)/(F41-E41)*$E$64</f>
        <v>2279.25807338735</v>
      </c>
      <c r="G27" s="404" t="n">
        <f aca="false">G24*(G23-F41)/(G41-F41)*$E$64</f>
        <v>2163.95180051488</v>
      </c>
      <c r="H27" s="404" t="n">
        <f aca="false">H24*(H23-G41)/(H41-G41)*$E$64</f>
        <v>2040.95830696206</v>
      </c>
      <c r="I27" s="404" t="n">
        <f aca="false">I24*(I23-H41)/(I41-H41)*$E$64</f>
        <v>1925.53070512997</v>
      </c>
      <c r="J27" s="404" t="n">
        <f aca="false">J24*(J23-I41)/(J41-I41)*$E$64</f>
        <v>1769.88577754471</v>
      </c>
      <c r="K27" s="404" t="n">
        <f aca="false">K24*(K23-J41)/(K41-J41)*$E$64</f>
        <v>1620.80603143904</v>
      </c>
      <c r="L27" s="404" t="n">
        <f aca="false">L24*(L23-K41)/(L41-K41)*$E$64</f>
        <v>1461.65973661994</v>
      </c>
      <c r="M27" s="404" t="n">
        <f aca="false">M24*(M23-L41)/(M41-L41)*$E$64</f>
        <v>1302.47107653472</v>
      </c>
      <c r="N27" s="404" t="n">
        <f aca="false">N24*(N23-M41)/(N41-M41)*$E$64</f>
        <v>1110.50101425407</v>
      </c>
      <c r="O27" s="404" t="n">
        <f aca="false">O24*(O23-N41)/(O41-N41)*$E$64</f>
        <v>917.175111471422</v>
      </c>
      <c r="P27" s="404" t="n">
        <f aca="false">P24*(P23-O41)/(P41-O41)*$E$64</f>
        <v>710.654242136802</v>
      </c>
      <c r="Q27" s="404" t="n">
        <f aca="false">Q24*(Q23-P41)/(Q41-P41)*$E$64</f>
        <v>494.176206493299</v>
      </c>
      <c r="R27" s="404" t="n">
        <f aca="false">R24*(R23-Q41)/(R41-Q41)*$E$64</f>
        <v>254.515017515618</v>
      </c>
      <c r="S27" s="404" t="n">
        <f aca="false">S24*(S23-R41)/(S41-R41)*$E$64</f>
        <v>3.1711510698773</v>
      </c>
      <c r="T27" s="404" t="n">
        <f aca="false">T24*(T23-S41)/(T41-S41)*$E$64</f>
        <v>0</v>
      </c>
      <c r="U27" s="404" t="n">
        <f aca="false">U24*(U23-T41)/(U41-T41)*$E$64</f>
        <v>0</v>
      </c>
      <c r="V27" s="404" t="n">
        <f aca="false">V24*(V23-U41)/(V41-U41)*$E$64</f>
        <v>0</v>
      </c>
      <c r="W27" s="404" t="n">
        <f aca="false">W24*(W23-V41)/(W41-V41)*$E$64</f>
        <v>0</v>
      </c>
      <c r="X27" s="404" t="n">
        <f aca="false">X24*(X23-W41)/(X41-W41)*$E$64</f>
        <v>0</v>
      </c>
      <c r="Y27" s="404" t="n">
        <f aca="false">Y24*(Y23-X41)/(Y41-X41)*$E$64</f>
        <v>0</v>
      </c>
      <c r="Z27" s="404" t="n">
        <f aca="false">Z24*(Z23-Y41)/(Z41-Y41)*$E$64</f>
        <v>0</v>
      </c>
      <c r="AA27" s="404" t="n">
        <f aca="false">AA24*(AA23-Z41)/(AA41-Z41)*$E$64</f>
        <v>0</v>
      </c>
      <c r="AB27" s="404" t="n">
        <f aca="false">AB24*(AB23-AA41)/(AB41-AA41)*$E$64</f>
        <v>0</v>
      </c>
      <c r="AC27" s="404" t="n">
        <f aca="false">AC24*(AC23-AB41)/(AC41-AB41)*$E$64</f>
        <v>0</v>
      </c>
      <c r="AD27" s="404" t="n">
        <f aca="false">AD24*(AD23-AC41)/(AD41-AC41)*$E$64</f>
        <v>0</v>
      </c>
      <c r="AE27" s="404" t="n">
        <f aca="false">AE24*(AE23-AD41)/(AE41-AD41)*$E$64</f>
        <v>0</v>
      </c>
      <c r="AF27" s="404" t="n">
        <f aca="false">AF24*(AF23-AE41)/(AF41-AE41)*$E$64</f>
        <v>0</v>
      </c>
      <c r="AG27" s="0"/>
    </row>
    <row r="28" customFormat="false" ht="12.75" hidden="false" customHeight="false" outlineLevel="0" collapsed="false">
      <c r="A28" s="402" t="s">
        <v>468</v>
      </c>
      <c r="B28" s="0"/>
      <c r="C28" s="405" t="n">
        <f aca="false">MAX(C24+C25+B44+C27-0.5*C13,0)</f>
        <v>145237.677245399</v>
      </c>
      <c r="D28" s="405" t="n">
        <f aca="false">MAX(D24+D25+C44+D27-0.5*D13,0)</f>
        <v>139755.338362613</v>
      </c>
      <c r="E28" s="405" t="n">
        <f aca="false">MAX(E24+E25+D44+E27-0.5*E13,0)</f>
        <v>133760.996825299</v>
      </c>
      <c r="F28" s="405" t="n">
        <f aca="false">MAX(F24+F25+E44+F27-0.5*F13,0)</f>
        <v>127339.216859601</v>
      </c>
      <c r="G28" s="405" t="n">
        <f aca="false">MAX(G24+G25+F44+G27-0.5*G13,0)</f>
        <v>120519.428005161</v>
      </c>
      <c r="H28" s="405" t="n">
        <f aca="false">MAX(H24+H25+G44+H27-0.5*H13,0)</f>
        <v>113243.235069335</v>
      </c>
      <c r="I28" s="405" t="n">
        <f aca="false">MAX(I24+I25+H44+I27-0.5*I13,0)</f>
        <v>105494.772543067</v>
      </c>
      <c r="J28" s="405" t="n">
        <f aca="false">MAX(J24+J25+I44+J27-0.5*J13,0)</f>
        <v>97204.7779653826</v>
      </c>
      <c r="K28" s="405" t="n">
        <f aca="false">MAX(K24+K25+J44+K27-0.5*K13,0)</f>
        <v>88382.2809119634</v>
      </c>
      <c r="L28" s="405" t="n">
        <f aca="false">MAX(L24+L25+K44+L27-0.5*L13,0)</f>
        <v>78963.6587714615</v>
      </c>
      <c r="M28" s="405" t="n">
        <f aca="false">MAX(M24+M25+L44+M27-0.5*M13,0)</f>
        <v>68918.0701746084</v>
      </c>
      <c r="N28" s="405" t="n">
        <f aca="false">MAX(N24+N25+M44+N27-0.5*N13,0)</f>
        <v>58180.7924227044</v>
      </c>
      <c r="O28" s="405" t="n">
        <f aca="false">MAX(O24+O25+N44+O27-0.5*O13,0)</f>
        <v>46734.2679461059</v>
      </c>
      <c r="P28" s="405" t="n">
        <f aca="false">MAX(P24+P25+O44+P27-0.5*P13,0)</f>
        <v>34507.8847765348</v>
      </c>
      <c r="Q28" s="405" t="n">
        <f aca="false">MAX(Q24+Q25+P44+Q27-0.5*Q13,0)</f>
        <v>21451.1843593899</v>
      </c>
      <c r="R28" s="405" t="n">
        <f aca="false">MAX(R24+R25+Q44+R27-0.5*R13,0)</f>
        <v>7505.15576078599</v>
      </c>
      <c r="S28" s="405" t="n">
        <f aca="false">MAX(S24+S25+R44+S27-0.5*S13,0)</f>
        <v>0</v>
      </c>
      <c r="T28" s="405" t="n">
        <f aca="false">MAX(T24+T25+S44+T27-0.5*T13,0)</f>
        <v>0</v>
      </c>
      <c r="U28" s="405" t="n">
        <f aca="false">MAX(U24+U25+T44+U27-0.5*U13,0)</f>
        <v>0</v>
      </c>
      <c r="V28" s="405" t="n">
        <f aca="false">MAX(V24+V25+U44+V27-0.5*V13,0)</f>
        <v>0</v>
      </c>
      <c r="W28" s="405" t="n">
        <f aca="false">MAX(W24+W25+V44+W27-0.5*W13,0)</f>
        <v>0</v>
      </c>
      <c r="X28" s="405" t="n">
        <f aca="false">MAX(X24+X25+W44+X27-0.5*X13,0)</f>
        <v>0</v>
      </c>
      <c r="Y28" s="405" t="n">
        <f aca="false">MAX(Y24+Y25+X44+Y27-0.5*Y13,0)</f>
        <v>0</v>
      </c>
      <c r="Z28" s="405" t="n">
        <f aca="false">MAX(Z24+Z25+Y44+Z27-0.5*Z13,0)</f>
        <v>0</v>
      </c>
      <c r="AA28" s="405" t="n">
        <f aca="false">MAX(AA24+AA25+Z44+AA27-0.5*AA13,0)</f>
        <v>0</v>
      </c>
      <c r="AB28" s="405" t="n">
        <f aca="false">MAX(AB24+AB25+AA44+AB27-0.5*AB13,0)</f>
        <v>0</v>
      </c>
      <c r="AC28" s="405" t="n">
        <f aca="false">MAX(AC24+AC25+AB44+AC27-0.5*AC13,0)</f>
        <v>0</v>
      </c>
      <c r="AD28" s="405" t="n">
        <f aca="false">MAX(AD24+AD25+AC44+AD27-0.5*AD13,0)</f>
        <v>0</v>
      </c>
      <c r="AE28" s="405" t="n">
        <f aca="false">MAX(AE24+AE25+AD44+AE27-0.5*AE13,0)</f>
        <v>0</v>
      </c>
      <c r="AF28" s="405" t="n">
        <f aca="false">MAX(AF24+AF25+AE44+AF27-0.5*AF13,0)</f>
        <v>0</v>
      </c>
      <c r="AG28" s="0"/>
    </row>
    <row r="29" customFormat="false" ht="12.75" hidden="false" customHeight="false" outlineLevel="0" collapsed="false">
      <c r="A29" s="402" t="s">
        <v>482</v>
      </c>
      <c r="B29" s="0"/>
      <c r="C29" s="405" t="n">
        <f aca="false">(C23-B41)/(C41-B41)*IS!D32+(B41-B32)/(B41-Assumptions!H17)*IS!C32</f>
        <v>9782.31813483593</v>
      </c>
      <c r="D29" s="405" t="n">
        <f aca="false">(D23-C41)/(D41-C41)*IS!E32+(C41-C32)/(C41-B41)*IS!D32</f>
        <v>10185.4646939997</v>
      </c>
      <c r="E29" s="405" t="n">
        <f aca="false">(E23-D41)/(E41-D41)*IS!F32+(D41-D32)/(D41-C41)*IS!E32</f>
        <v>10206.1983985786</v>
      </c>
      <c r="F29" s="405" t="n">
        <f aca="false">(F23-E41)/(F41-E41)*IS!G32+(E41-E32)/(E41-D41)*IS!F32</f>
        <v>10129.1072942637</v>
      </c>
      <c r="G29" s="405" t="n">
        <f aca="false">(G23-F41)/(G41-F41)*IS!H32+(F41-F32)/(F41-E41)*IS!G32</f>
        <v>10121.0961908316</v>
      </c>
      <c r="H29" s="405" t="n">
        <f aca="false">(H23-G41)/(H41-G41)*IS!I32+(G41-G32)/(G41-F41)*IS!H32</f>
        <v>10098.7761115903</v>
      </c>
      <c r="I29" s="405" t="n">
        <f aca="false">(I23-H41)/(I41-H41)*IS!J32+(H41-H32)/(H41-G41)*IS!I32</f>
        <v>10117.4087292703</v>
      </c>
      <c r="J29" s="405" t="n">
        <f aca="false">(J23-I41)/(J41-I41)*IS!K32+(I41-I32)/(I41-H41)*IS!J32</f>
        <v>10039.0384846863</v>
      </c>
      <c r="K29" s="405" t="n">
        <f aca="false">(K23-J41)/(K41-J41)*IS!L32+(J41-J32)/(J41-I41)*IS!K32</f>
        <v>10029.10157367</v>
      </c>
      <c r="L29" s="405" t="n">
        <f aca="false">(L23-K41)/(L41-K41)*IS!M32+(K41-K32)/(K41-J41)*IS!L32</f>
        <v>10004.9416020855</v>
      </c>
      <c r="M29" s="405" t="n">
        <f aca="false">(M23-L41)/(M41-L41)*IS!N32+(L41-L32)/(L41-K41)*IS!M32</f>
        <v>10021.2999357352</v>
      </c>
      <c r="N29" s="405" t="n">
        <f aca="false">(N23-M41)/(N41-M41)*IS!O32+(M41-M32)/(M41-L41)*IS!N32</f>
        <v>9941.54510858677</v>
      </c>
      <c r="O29" s="405" t="n">
        <f aca="false">(O23-N41)/(O41-N41)*IS!P32+(N41-N32)/(N41-M41)*IS!O32</f>
        <v>9929.52364150749</v>
      </c>
      <c r="P29" s="405" t="n">
        <f aca="false">(P23-O41)/(P41-O41)*IS!Q32+(O41-O32)/(O41-N41)*IS!P32</f>
        <v>9903.37211127972</v>
      </c>
      <c r="Q29" s="405" t="n">
        <f aca="false">(Q23-P41)/(Q41-P41)*IS!R32+(P41-P32)/(P41-O41)*IS!Q32</f>
        <v>9917.26868675411</v>
      </c>
      <c r="R29" s="405" t="n">
        <f aca="false">(R23-Q41)/(R41-Q41)*IS!S32+(Q41-Q32)/(Q41-P41)*IS!R32</f>
        <v>9836.01514290969</v>
      </c>
      <c r="S29" s="405" t="n">
        <f aca="false">(S23-R41)/(S41-R41)*IS!T32+(R41-R32)/(R41-Q41)*IS!S32</f>
        <v>9821.73728530846</v>
      </c>
      <c r="T29" s="405" t="n">
        <f aca="false">(T23-S41)/(T41-S41)*IS!U32+(S41-S32)/(S41-R41)*IS!T32</f>
        <v>9793.43002795671</v>
      </c>
      <c r="U29" s="405" t="n">
        <f aca="false">(U23-T41)/(U41-T41)*IS!V32+(T41-T32)/(T41-S41)*IS!U32</f>
        <v>9804.66191721197</v>
      </c>
      <c r="V29" s="405" t="n">
        <f aca="false">(V23-U41)/(V41-U41)*IS!W32+(U41-U32)/(U41-T41)*IS!V32</f>
        <v>9721.78611421712</v>
      </c>
      <c r="W29" s="405" t="n">
        <f aca="false">(W23-V41)/(W41-V41)*IS!X32+(V41-V32)/(V41-U41)*IS!W32</f>
        <v>9705.06586694942</v>
      </c>
      <c r="X29" s="405" t="n">
        <f aca="false">(X23-W41)/(X41-W41)*IS!Y32+(W41-W32)/(W41-V41)*IS!X32</f>
        <v>9674.42518123048</v>
      </c>
      <c r="Y29" s="405" t="n">
        <f aca="false">(Y23-X41)/(Y41-X41)*IS!Z32+(X41-X32)/(X41-W41)*IS!Y32</f>
        <v>9682.77272842584</v>
      </c>
      <c r="Z29" s="405" t="n">
        <f aca="false">(Z23-Y41)/(Z41-Y41)*IS!AA32+(Y41-Y32)/(Y41-X41)*IS!Z32</f>
        <v>9598.14093995471</v>
      </c>
      <c r="AA29" s="405" t="n">
        <f aca="false">(AA23-Z41)/(AA41-Z41)*IS!AB32+(Z41-Z32)/(Z41-Y41)*IS!AA32</f>
        <v>9578.77697156477</v>
      </c>
      <c r="AB29" s="405" t="n">
        <f aca="false">(AB23-AA41)/(AB41-AA41)*IS!AC32+(AA41-AA32)/(AA41-Z41)*IS!AB32</f>
        <v>9545.61050793814</v>
      </c>
      <c r="AC29" s="405" t="n">
        <f aca="false">(AC23-AB41)/(AC41-AB41)*IS!AD32+(AB41-AB32)/(AB41-AA41)*IS!AC32</f>
        <v>9550.83595052743</v>
      </c>
      <c r="AD29" s="405" t="n">
        <f aca="false">(AD23-AC41)/(AD41-AC41)*IS!AE32+(AC41-AC32)/(AC41-AB41)*IS!AD32</f>
        <v>9464.30342690429</v>
      </c>
      <c r="AE29" s="405" t="n">
        <f aca="false">(AE23-AD41)/(AE41-AD41)*IS!AF32+(AD41-AD32)/(AD41-AC41)*IS!AE32</f>
        <v>9442.07780974955</v>
      </c>
      <c r="AF29" s="405" t="n">
        <f aca="false">(AF23-AE41)/(AG23-AE41)*IS!AG32+(AE41-AE32)/(AE41-AD41)*IS!AF32</f>
        <v>6364.54727481383</v>
      </c>
      <c r="AG29" s="0"/>
    </row>
    <row r="30" customFormat="false" ht="12.75" hidden="false" customHeight="false" outlineLevel="0" collapsed="false">
      <c r="A30" s="406" t="s">
        <v>62</v>
      </c>
      <c r="B30" s="407"/>
      <c r="C30" s="408" t="n">
        <f aca="false">IF(C28&gt;0.1,C29/(C27+C26+B44)," ")</f>
        <v>1.26952942355558</v>
      </c>
      <c r="D30" s="408" t="n">
        <f aca="false">IF(D28&gt;0.1,D29/(D27+D26+C44)," ")</f>
        <v>1.297103163409</v>
      </c>
      <c r="E30" s="408" t="n">
        <f aca="false">IF(E28&gt;0.1,E29/(E27+E26+D44)," ")</f>
        <v>1.30156167812983</v>
      </c>
      <c r="F30" s="408" t="n">
        <f aca="false">IF(F28&gt;0.1,F29/(F27+F26+E44)," ")</f>
        <v>1.29624340565005</v>
      </c>
      <c r="G30" s="408" t="n">
        <f aca="false">IF(G28&gt;0.1,G29/(G27+G26+F44)," ")</f>
        <v>1.29714836652916</v>
      </c>
      <c r="H30" s="408" t="n">
        <f aca="false">IF(H28&gt;0.1,H29/(H27+H26+G44)," ")</f>
        <v>1.29716417621596</v>
      </c>
      <c r="I30" s="408" t="n">
        <f aca="false">IF(I28&gt;0.1,I29/(I27+I26+H44)," ")</f>
        <v>1.30162392679721</v>
      </c>
      <c r="J30" s="408" t="n">
        <f aca="false">IF(J28&gt;0.1,J29/(J27+J26+I44)," ")</f>
        <v>1.29630735623339</v>
      </c>
      <c r="K30" s="408" t="n">
        <f aca="false">IF(K28&gt;0.1,K29/(K27+K26+J44)," ")</f>
        <v>1.29721398307131</v>
      </c>
      <c r="L30" s="408" t="n">
        <f aca="false">IF(L28&gt;0.1,L29/(L27+L26+K44)," ")</f>
        <v>1.29723141671407</v>
      </c>
      <c r="M30" s="408" t="n">
        <f aca="false">IF(M28&gt;0.1,M29/(M27+M26+L44)," ")</f>
        <v>1.3016925568542</v>
      </c>
      <c r="N30" s="408" t="n">
        <f aca="false">IF(N28&gt;0.1,N29/(N27+N26+M44)," ")</f>
        <v>1.29637789169899</v>
      </c>
      <c r="O30" s="408" t="n">
        <f aca="false">IF(O28&gt;0.1,O29/(O27+O26+N44)," ")</f>
        <v>1.29728638654007</v>
      </c>
      <c r="P30" s="408" t="n">
        <f aca="false">IF(P28&gt;0.1,P29/(P27+P26+O44)," ")</f>
        <v>1.29730564417699</v>
      </c>
      <c r="Q30" s="408" t="n">
        <f aca="false">IF(Q28&gt;0.1,Q29/(Q27+Q26+P44)," ")</f>
        <v>1.30176835183509</v>
      </c>
      <c r="R30" s="408" t="n">
        <f aca="false">IF(R28&gt;0.1,R29/(R27+R26+Q44)," ")</f>
        <v>1.2964558264035</v>
      </c>
      <c r="S30" s="408" t="str">
        <f aca="false">IF(S28&gt;0.1,S29/(S27+S26+R44)," ")</f>
        <v> </v>
      </c>
      <c r="T30" s="408" t="str">
        <f aca="false">IF(T28&gt;0.1,T29/(T27+T26+S44)," ")</f>
        <v> </v>
      </c>
      <c r="U30" s="408" t="str">
        <f aca="false">IF(U28&gt;0.1,U29/(U27+U26+T44)," ")</f>
        <v> </v>
      </c>
      <c r="V30" s="408" t="str">
        <f aca="false">IF(V28&gt;0.1,V29/(V27+V26+U44)," ")</f>
        <v> </v>
      </c>
      <c r="W30" s="408" t="str">
        <f aca="false">IF(W28&gt;0.1,W29/(W27+W26+V44)," ")</f>
        <v> </v>
      </c>
      <c r="X30" s="408" t="str">
        <f aca="false">IF(X28&gt;0.1,X29/(X27+X26+W44)," ")</f>
        <v> </v>
      </c>
      <c r="Y30" s="408" t="str">
        <f aca="false">IF(Y28&gt;0.1,Y29/(Y27+Y26+X44)," ")</f>
        <v> </v>
      </c>
      <c r="Z30" s="408" t="str">
        <f aca="false">IF(Z28&gt;0.1,Z29/(Z27+Z26+Y44)," ")</f>
        <v> </v>
      </c>
      <c r="AA30" s="408" t="str">
        <f aca="false">IF(AA28&gt;0.1,AA29/(AA27+AA26+Z44)," ")</f>
        <v> </v>
      </c>
      <c r="AB30" s="408" t="str">
        <f aca="false">IF(AB28&gt;0.1,AB29/(AB27+AB26+AA44)," ")</f>
        <v> </v>
      </c>
      <c r="AC30" s="408" t="str">
        <f aca="false">IF(AC28&gt;0.1,AC29/(AC27+AC26+AB44)," ")</f>
        <v> </v>
      </c>
      <c r="AD30" s="408" t="str">
        <f aca="false">IF(AD28&gt;0.1,AD29/(AD27+AD26+AC44)," ")</f>
        <v> </v>
      </c>
      <c r="AE30" s="408" t="str">
        <f aca="false">IF(AE28&gt;0.1,AE29/(AE27+AE26+AD44)," ")</f>
        <v> </v>
      </c>
      <c r="AF30" s="408" t="str">
        <f aca="false">IF(AF28&gt;0.1,AF29/(AF27+AF26+AE44)," ")</f>
        <v> </v>
      </c>
      <c r="AG30" s="0"/>
    </row>
    <row r="31" customFormat="false" ht="12.75" hidden="false" customHeight="false" outlineLevel="0" collapsed="false">
      <c r="A31" s="271"/>
      <c r="B31" s="409"/>
      <c r="C31" s="7"/>
      <c r="AG31" s="0"/>
    </row>
    <row r="32" customFormat="false" ht="12.75" hidden="false" customHeight="false" outlineLevel="0" collapsed="false">
      <c r="A32" s="410" t="s">
        <v>483</v>
      </c>
      <c r="B32" s="400" t="n">
        <v>37165</v>
      </c>
      <c r="C32" s="400" t="n">
        <v>37530</v>
      </c>
      <c r="D32" s="400" t="n">
        <v>37895</v>
      </c>
      <c r="E32" s="400" t="n">
        <v>38261</v>
      </c>
      <c r="F32" s="400" t="n">
        <v>38626</v>
      </c>
      <c r="G32" s="400" t="n">
        <v>38991</v>
      </c>
      <c r="H32" s="400" t="n">
        <v>39356</v>
      </c>
      <c r="I32" s="400" t="n">
        <v>39722</v>
      </c>
      <c r="J32" s="400" t="n">
        <v>40087</v>
      </c>
      <c r="K32" s="400" t="n">
        <v>40452</v>
      </c>
      <c r="L32" s="400" t="n">
        <v>40817</v>
      </c>
      <c r="M32" s="400" t="n">
        <v>41183</v>
      </c>
      <c r="N32" s="400" t="n">
        <v>41548</v>
      </c>
      <c r="O32" s="400" t="n">
        <v>41913</v>
      </c>
      <c r="P32" s="400" t="n">
        <v>42278</v>
      </c>
      <c r="Q32" s="400" t="n">
        <v>42644</v>
      </c>
      <c r="R32" s="400" t="n">
        <v>43009</v>
      </c>
      <c r="S32" s="400" t="n">
        <v>43374</v>
      </c>
      <c r="T32" s="400" t="n">
        <v>43739</v>
      </c>
      <c r="U32" s="400" t="n">
        <v>44105</v>
      </c>
      <c r="V32" s="400" t="n">
        <v>44470</v>
      </c>
      <c r="W32" s="400" t="n">
        <v>44835</v>
      </c>
      <c r="X32" s="400" t="n">
        <v>45200</v>
      </c>
      <c r="Y32" s="400" t="n">
        <v>45566</v>
      </c>
      <c r="Z32" s="400" t="n">
        <v>45931</v>
      </c>
      <c r="AA32" s="400" t="n">
        <v>46296</v>
      </c>
      <c r="AB32" s="400" t="n">
        <v>46661</v>
      </c>
      <c r="AC32" s="400" t="n">
        <v>47027</v>
      </c>
      <c r="AD32" s="400" t="n">
        <v>47392</v>
      </c>
      <c r="AE32" s="400" t="n">
        <v>47757</v>
      </c>
      <c r="AF32" s="400" t="n">
        <v>47969</v>
      </c>
      <c r="AG32" s="0"/>
    </row>
    <row r="33" customFormat="false" ht="12.75" hidden="false" customHeight="false" outlineLevel="0" collapsed="false">
      <c r="A33" s="402" t="s">
        <v>464</v>
      </c>
      <c r="B33" s="403" t="n">
        <f aca="false">Assumptions!C12</f>
        <v>149462.371252787</v>
      </c>
      <c r="C33" s="402" t="n">
        <f aca="false">C28</f>
        <v>145237.677245399</v>
      </c>
      <c r="D33" s="402" t="n">
        <f aca="false">D28</f>
        <v>139755.338362613</v>
      </c>
      <c r="E33" s="402" t="n">
        <f aca="false">E28</f>
        <v>133760.996825299</v>
      </c>
      <c r="F33" s="402" t="n">
        <f aca="false">F28</f>
        <v>127339.216859601</v>
      </c>
      <c r="G33" s="402" t="n">
        <f aca="false">G28</f>
        <v>120519.428005161</v>
      </c>
      <c r="H33" s="402" t="n">
        <f aca="false">H28</f>
        <v>113243.235069335</v>
      </c>
      <c r="I33" s="402" t="n">
        <f aca="false">I28</f>
        <v>105494.772543067</v>
      </c>
      <c r="J33" s="402" t="n">
        <f aca="false">J28</f>
        <v>97204.7779653826</v>
      </c>
      <c r="K33" s="402" t="n">
        <f aca="false">K28</f>
        <v>88382.2809119634</v>
      </c>
      <c r="L33" s="402" t="n">
        <f aca="false">L28</f>
        <v>78963.6587714615</v>
      </c>
      <c r="M33" s="402" t="n">
        <f aca="false">M28</f>
        <v>68918.0701746084</v>
      </c>
      <c r="N33" s="402" t="n">
        <f aca="false">N28</f>
        <v>58180.7924227044</v>
      </c>
      <c r="O33" s="402" t="n">
        <f aca="false">O28</f>
        <v>46734.2679461059</v>
      </c>
      <c r="P33" s="402" t="n">
        <f aca="false">P28</f>
        <v>34507.8847765348</v>
      </c>
      <c r="Q33" s="402" t="n">
        <f aca="false">Q28</f>
        <v>21451.1843593899</v>
      </c>
      <c r="R33" s="402" t="n">
        <f aca="false">R28</f>
        <v>7505.15576078599</v>
      </c>
      <c r="S33" s="402" t="n">
        <f aca="false">S28</f>
        <v>0</v>
      </c>
      <c r="T33" s="402" t="n">
        <f aca="false">T28</f>
        <v>0</v>
      </c>
      <c r="U33" s="402" t="n">
        <f aca="false">U28</f>
        <v>0</v>
      </c>
      <c r="V33" s="402" t="n">
        <f aca="false">V28</f>
        <v>0</v>
      </c>
      <c r="W33" s="402" t="n">
        <f aca="false">W28</f>
        <v>0</v>
      </c>
      <c r="X33" s="402" t="n">
        <f aca="false">X28</f>
        <v>0</v>
      </c>
      <c r="Y33" s="402" t="n">
        <f aca="false">Y28</f>
        <v>0</v>
      </c>
      <c r="Z33" s="402" t="n">
        <f aca="false">Z28</f>
        <v>0</v>
      </c>
      <c r="AA33" s="402" t="n">
        <f aca="false">AA28</f>
        <v>0</v>
      </c>
      <c r="AB33" s="402" t="n">
        <f aca="false">AB28</f>
        <v>0</v>
      </c>
      <c r="AC33" s="402" t="n">
        <f aca="false">AC28</f>
        <v>0</v>
      </c>
      <c r="AD33" s="402" t="n">
        <f aca="false">AD28</f>
        <v>0</v>
      </c>
      <c r="AE33" s="402" t="n">
        <f aca="false">AE28</f>
        <v>0</v>
      </c>
      <c r="AF33" s="402" t="n">
        <f aca="false">AF28</f>
        <v>0</v>
      </c>
      <c r="AG33" s="0"/>
    </row>
    <row r="34" customFormat="false" ht="12.75" hidden="false" customHeight="false" outlineLevel="0" collapsed="false">
      <c r="A34" s="402" t="s">
        <v>479</v>
      </c>
      <c r="B34" s="403" t="n">
        <v>0</v>
      </c>
      <c r="C34" s="403" t="n">
        <v>0</v>
      </c>
      <c r="D34" s="403" t="n">
        <v>0</v>
      </c>
      <c r="E34" s="403" t="n">
        <v>0</v>
      </c>
      <c r="F34" s="403" t="n">
        <v>0</v>
      </c>
      <c r="G34" s="403" t="n">
        <v>0</v>
      </c>
      <c r="H34" s="403" t="n">
        <v>0</v>
      </c>
      <c r="I34" s="403" t="n">
        <v>0</v>
      </c>
      <c r="J34" s="403" t="n">
        <v>0</v>
      </c>
      <c r="K34" s="403" t="n">
        <v>0</v>
      </c>
      <c r="L34" s="403" t="n">
        <v>0</v>
      </c>
      <c r="M34" s="403" t="n">
        <v>0</v>
      </c>
      <c r="N34" s="403" t="n">
        <v>0</v>
      </c>
      <c r="O34" s="403" t="n">
        <v>0</v>
      </c>
      <c r="P34" s="403" t="n">
        <v>0</v>
      </c>
      <c r="Q34" s="403" t="n">
        <v>0</v>
      </c>
      <c r="R34" s="403" t="n">
        <v>0</v>
      </c>
      <c r="S34" s="403" t="n">
        <v>0</v>
      </c>
      <c r="T34" s="403" t="n">
        <v>0</v>
      </c>
      <c r="U34" s="403" t="n">
        <v>0</v>
      </c>
      <c r="V34" s="403" t="n">
        <v>0</v>
      </c>
      <c r="W34" s="403" t="n">
        <v>0</v>
      </c>
      <c r="X34" s="403" t="n">
        <v>0</v>
      </c>
      <c r="Y34" s="403" t="n">
        <v>0</v>
      </c>
      <c r="Z34" s="403" t="n">
        <v>0</v>
      </c>
      <c r="AA34" s="403" t="n">
        <v>0</v>
      </c>
      <c r="AB34" s="403" t="n">
        <v>0</v>
      </c>
      <c r="AC34" s="403" t="n">
        <v>0</v>
      </c>
      <c r="AD34" s="403" t="n">
        <v>0</v>
      </c>
      <c r="AE34" s="403" t="n">
        <v>0</v>
      </c>
      <c r="AF34" s="403" t="n">
        <v>0</v>
      </c>
      <c r="AG34" s="0"/>
    </row>
    <row r="35" customFormat="false" ht="12.75" hidden="false" customHeight="false" outlineLevel="0" collapsed="false">
      <c r="A35" s="402" t="s">
        <v>480</v>
      </c>
      <c r="B35" s="402" t="n">
        <f aca="false">B33-B37</f>
        <v>1675.81884472209</v>
      </c>
      <c r="C35" s="402" t="n">
        <f aca="false">C33-C37</f>
        <v>2608.22222773579</v>
      </c>
      <c r="D35" s="402" t="n">
        <f aca="false">D33-D37</f>
        <v>2947.63274409116</v>
      </c>
      <c r="E35" s="402" t="n">
        <f aca="false">E33-E37</f>
        <v>3159.86703151798</v>
      </c>
      <c r="F35" s="402" t="n">
        <f aca="false">F33-F37</f>
        <v>3345.11839995743</v>
      </c>
      <c r="G35" s="402" t="n">
        <f aca="false">G33-G37</f>
        <v>3572.83741785251</v>
      </c>
      <c r="H35" s="402" t="n">
        <f aca="false">H33-H37</f>
        <v>3810.89996412194</v>
      </c>
      <c r="I35" s="402" t="n">
        <f aca="false">I33-I37</f>
        <v>4080.59533681636</v>
      </c>
      <c r="J35" s="402" t="n">
        <f aca="false">J33-J37</f>
        <v>4332.84680757257</v>
      </c>
      <c r="K35" s="402" t="n">
        <f aca="false">K33-K37</f>
        <v>4629.40746356797</v>
      </c>
      <c r="L35" s="402" t="n">
        <f aca="false">L33-L37</f>
        <v>4941.23423548217</v>
      </c>
      <c r="M35" s="402" t="n">
        <f aca="false">M33-M37</f>
        <v>5286.53639081959</v>
      </c>
      <c r="N35" s="402" t="n">
        <f aca="false">N33-N37</f>
        <v>5626.8025189259</v>
      </c>
      <c r="O35" s="402" t="n">
        <f aca="false">O33-O37</f>
        <v>6013.89143434251</v>
      </c>
      <c r="P35" s="402" t="n">
        <f aca="false">P33-P37</f>
        <v>6422.71527707091</v>
      </c>
      <c r="Q35" s="402" t="n">
        <f aca="false">Q33-Q37</f>
        <v>6867.51381100674</v>
      </c>
      <c r="R35" s="402" t="n">
        <f aca="false">R33-R37</f>
        <v>7323.44930230793</v>
      </c>
      <c r="S35" s="402" t="n">
        <f aca="false">S33-S37</f>
        <v>0</v>
      </c>
      <c r="T35" s="402" t="n">
        <f aca="false">T33-T37</f>
        <v>0</v>
      </c>
      <c r="U35" s="402" t="n">
        <f aca="false">U33-U37</f>
        <v>0</v>
      </c>
      <c r="V35" s="402" t="n">
        <f aca="false">V33-V37</f>
        <v>0</v>
      </c>
      <c r="W35" s="402" t="n">
        <f aca="false">W33-W37</f>
        <v>0</v>
      </c>
      <c r="X35" s="402" t="n">
        <f aca="false">X33-X37</f>
        <v>0</v>
      </c>
      <c r="Y35" s="402" t="n">
        <f aca="false">Y33-Y37</f>
        <v>0</v>
      </c>
      <c r="Z35" s="402" t="n">
        <f aca="false">Z33-Z37</f>
        <v>0</v>
      </c>
      <c r="AA35" s="402" t="n">
        <f aca="false">AA33-AA37</f>
        <v>0</v>
      </c>
      <c r="AB35" s="402" t="n">
        <f aca="false">AB33-AB37</f>
        <v>0</v>
      </c>
      <c r="AC35" s="402" t="n">
        <f aca="false">AC33-AC37</f>
        <v>0</v>
      </c>
      <c r="AD35" s="402" t="n">
        <f aca="false">AD33-AD37</f>
        <v>0</v>
      </c>
      <c r="AE35" s="402" t="n">
        <f aca="false">AE33-AE37</f>
        <v>0</v>
      </c>
      <c r="AF35" s="402" t="n">
        <f aca="false">AF33-AF37</f>
        <v>0</v>
      </c>
      <c r="AG35" s="0"/>
    </row>
    <row r="36" customFormat="false" ht="12.75" hidden="false" customHeight="false" outlineLevel="0" collapsed="false">
      <c r="A36" s="402" t="s">
        <v>481</v>
      </c>
      <c r="B36" s="404" t="n">
        <f aca="false">B33*(B32-Assumptions!H17)/365.25*$E$64</f>
        <v>4382.59273406529</v>
      </c>
      <c r="C36" s="404" t="n">
        <f aca="false">C33*(C32-C23)/(C41-B41)*$E$64</f>
        <v>5097.24560414674</v>
      </c>
      <c r="D36" s="404" t="n">
        <f aca="false">D33*(D32-D23)/(D41-C41)*$E$64</f>
        <v>4904.83803952075</v>
      </c>
      <c r="E36" s="404" t="n">
        <f aca="false">E33*(E32-E23)/(E41-D41)*$E$64</f>
        <v>4681.63488888546</v>
      </c>
      <c r="F36" s="404" t="n">
        <f aca="false">F33*(F32-F23)/(F41-E41)*$E$64</f>
        <v>4469.0831999219</v>
      </c>
      <c r="G36" s="404" t="n">
        <f aca="false">G33*(G32-G23)/(G41-F41)*$E$64</f>
        <v>4229.73663766057</v>
      </c>
      <c r="H36" s="404" t="n">
        <f aca="false">H33*(H32-H23)/(H41-G41)*$E$64</f>
        <v>3974.37216777582</v>
      </c>
      <c r="I36" s="404" t="n">
        <f aca="false">I33*(I32-I23)/(I41-H41)*$E$64</f>
        <v>3692.31703900736</v>
      </c>
      <c r="J36" s="404" t="n">
        <f aca="false">J33*(J32-J23)/(J41-I41)*$E$64</f>
        <v>3411.48823489466</v>
      </c>
      <c r="K36" s="404" t="n">
        <f aca="false">K33*(K32-K23)/(K41-J41)*$E$64</f>
        <v>3101.85484515685</v>
      </c>
      <c r="L36" s="404" t="n">
        <f aca="false">L33*(L32-L23)/(L41-K41)*$E$64</f>
        <v>2771.29991469157</v>
      </c>
      <c r="M36" s="404" t="n">
        <f aca="false">M33*(M32-M23)/(M41-L41)*$E$64</f>
        <v>2412.13245611129</v>
      </c>
      <c r="N36" s="404" t="n">
        <f aca="false">N33*(N32-N23)/(N41-M41)*$E$64</f>
        <v>2041.90671488998</v>
      </c>
      <c r="O36" s="404" t="n">
        <f aca="false">O33*(O32-O23)/(O41-N41)*$E$64</f>
        <v>1640.18074627292</v>
      </c>
      <c r="P36" s="404" t="n">
        <f aca="false">P33*(P32-P23)/(P41-O41)*$E$64</f>
        <v>1211.08494243126</v>
      </c>
      <c r="Q36" s="404" t="n">
        <f aca="false">Q33*(Q32-Q23)/(Q41-P41)*$E$64</f>
        <v>750.791452578645</v>
      </c>
      <c r="R36" s="404" t="n">
        <f aca="false">R33*(R32-R23)/(R41-Q41)*$E$64</f>
        <v>263.400124097722</v>
      </c>
      <c r="S36" s="404" t="n">
        <f aca="false">S33*(S32-S23)/(S41-R41)*$E$64</f>
        <v>0</v>
      </c>
      <c r="T36" s="404" t="n">
        <f aca="false">T33*(T32-T23)/(T41-S41)*$E$64</f>
        <v>0</v>
      </c>
      <c r="U36" s="404" t="n">
        <f aca="false">U33*(U32-U23)/(U41-T41)*$E$64</f>
        <v>0</v>
      </c>
      <c r="V36" s="404" t="n">
        <f aca="false">V33*(V32-V23)/(V41-U41)*$E$64</f>
        <v>0</v>
      </c>
      <c r="W36" s="404" t="n">
        <f aca="false">W33*(W32-W23)/(W41-V41)*$E$64</f>
        <v>0</v>
      </c>
      <c r="X36" s="404" t="n">
        <f aca="false">X33*(X32-X23)/(X41-W41)*$E$64</f>
        <v>0</v>
      </c>
      <c r="Y36" s="404" t="n">
        <f aca="false">Y33*(Y32-Y23)/(Y41-X41)*$E$64</f>
        <v>0</v>
      </c>
      <c r="Z36" s="404" t="n">
        <f aca="false">Z33*(Z32-Z23)/(Z41-Y41)*$E$64</f>
        <v>0</v>
      </c>
      <c r="AA36" s="404" t="n">
        <f aca="false">AA33*(AA32-AA23)/(AA41-Z41)*$E$64</f>
        <v>0</v>
      </c>
      <c r="AB36" s="404" t="n">
        <f aca="false">AB33*(AB32-AB23)/(AB41-AA41)*$E$64</f>
        <v>0</v>
      </c>
      <c r="AC36" s="404" t="n">
        <f aca="false">AC33*(AC32-AC23)/(AC41-AB41)*$E$64</f>
        <v>0</v>
      </c>
      <c r="AD36" s="404" t="n">
        <f aca="false">AD33*(AD32-AD23)/(AD41-AC41)*$E$64</f>
        <v>0</v>
      </c>
      <c r="AE36" s="404" t="n">
        <f aca="false">AE33*(AE32-AE23)/(AE41-AD41)*$E$64</f>
        <v>0</v>
      </c>
      <c r="AF36" s="404" t="n">
        <f aca="false">AF33*(AF32-AF23)/(AF41-AE41)*$E$64</f>
        <v>0</v>
      </c>
      <c r="AG36" s="0"/>
    </row>
    <row r="37" customFormat="false" ht="12.75" hidden="false" customHeight="false" outlineLevel="0" collapsed="false">
      <c r="A37" s="402" t="s">
        <v>468</v>
      </c>
      <c r="B37" s="405" t="n">
        <f aca="false">MAX(B33+B34+B36-B13,0)</f>
        <v>147786.552408065</v>
      </c>
      <c r="C37" s="405" t="n">
        <f aca="false">MAX(C33+C34+C36-0.5*C13,0)</f>
        <v>142629.455017663</v>
      </c>
      <c r="D37" s="405" t="n">
        <f aca="false">MAX(D33+D34+D36-0.5*D13,0)</f>
        <v>136807.705618522</v>
      </c>
      <c r="E37" s="405" t="n">
        <f aca="false">MAX(E33+E34+E36-0.5*E13,0)</f>
        <v>130601.129793781</v>
      </c>
      <c r="F37" s="405" t="n">
        <f aca="false">MAX(F33+F34+F36-0.5*F13,0)</f>
        <v>123994.098459644</v>
      </c>
      <c r="G37" s="405" t="n">
        <f aca="false">MAX(G33+G34+G36-0.5*G13,0)</f>
        <v>116946.590587308</v>
      </c>
      <c r="H37" s="405" t="n">
        <f aca="false">MAX(H33+H34+H36-0.5*H13,0)</f>
        <v>109432.335105213</v>
      </c>
      <c r="I37" s="405" t="n">
        <f aca="false">MAX(I33+I34+I36-0.5*I13,0)</f>
        <v>101414.177206251</v>
      </c>
      <c r="J37" s="405" t="n">
        <f aca="false">MAX(J33+J34+J36-0.5*J13,0)</f>
        <v>92871.9311578101</v>
      </c>
      <c r="K37" s="405" t="n">
        <f aca="false">MAX(K33+K34+K36-0.5*K13,0)</f>
        <v>83752.8734483954</v>
      </c>
      <c r="L37" s="405" t="n">
        <f aca="false">MAX(L33+L34+L36-0.5*L13,0)</f>
        <v>74022.4245359793</v>
      </c>
      <c r="M37" s="405" t="n">
        <f aca="false">MAX(M33+M34+M36-0.5*M13,0)</f>
        <v>63631.5337837888</v>
      </c>
      <c r="N37" s="405" t="n">
        <f aca="false">MAX(N33+N34+N36-0.5*N13,0)</f>
        <v>52553.9899037785</v>
      </c>
      <c r="O37" s="405" t="n">
        <f aca="false">MAX(O33+O34+O36-0.5*O13,0)</f>
        <v>40720.3765117634</v>
      </c>
      <c r="P37" s="405" t="n">
        <f aca="false">MAX(P33+P34+P36-0.5*P13,0)</f>
        <v>28085.1694994639</v>
      </c>
      <c r="Q37" s="405" t="n">
        <f aca="false">MAX(Q33+Q34+Q36-0.5*Q13,0)</f>
        <v>14583.6705483831</v>
      </c>
      <c r="R37" s="405" t="n">
        <f aca="false">MAX(R33+R34+R36-0.5*R13,0)</f>
        <v>181.706458478056</v>
      </c>
      <c r="S37" s="405" t="n">
        <f aca="false">MAX(S33+S34+S36-0.5*S13,0)</f>
        <v>0</v>
      </c>
      <c r="T37" s="405" t="n">
        <f aca="false">MAX(T33+T34+T36-0.5*T13,0)</f>
        <v>0</v>
      </c>
      <c r="U37" s="405" t="n">
        <f aca="false">MAX(U33+U34+U36-0.5*U13,0)</f>
        <v>0</v>
      </c>
      <c r="V37" s="405" t="n">
        <f aca="false">MAX(V33+V34+V36-0.5*V13,0)</f>
        <v>0</v>
      </c>
      <c r="W37" s="405" t="n">
        <f aca="false">MAX(W33+W34+W36-0.5*W13,0)</f>
        <v>0</v>
      </c>
      <c r="X37" s="405" t="n">
        <f aca="false">MAX(X33+X34+X36-0.5*X13,0)</f>
        <v>0</v>
      </c>
      <c r="Y37" s="405" t="n">
        <f aca="false">MAX(Y33+Y34+Y36-0.5*Y13,0)</f>
        <v>0</v>
      </c>
      <c r="Z37" s="405" t="n">
        <f aca="false">MAX(Z33+Z34+Z36-0.5*Z13,0)</f>
        <v>0</v>
      </c>
      <c r="AA37" s="405" t="n">
        <f aca="false">MAX(AA33+AA34+AA36-0.5*AA13,0)</f>
        <v>0</v>
      </c>
      <c r="AB37" s="405" t="n">
        <f aca="false">MAX(AB33+AB34+AB36-0.5*AB13,0)</f>
        <v>0</v>
      </c>
      <c r="AC37" s="405" t="n">
        <f aca="false">MAX(AC33+AC34+AC36-0.5*AC13,0)</f>
        <v>0</v>
      </c>
      <c r="AD37" s="405" t="n">
        <f aca="false">MAX(AD33+AD34+AD36-0.5*AD13,0)</f>
        <v>0</v>
      </c>
      <c r="AE37" s="405" t="n">
        <f aca="false">MAX(AE33+AE34+AE36-0.5*AE13,0)</f>
        <v>0</v>
      </c>
      <c r="AF37" s="405" t="n">
        <f aca="false">MAX(AF33+AF34+AF36-0.5*AF13,0)</f>
        <v>0</v>
      </c>
      <c r="AG37" s="0"/>
    </row>
    <row r="38" customFormat="false" ht="12.75" hidden="false" customHeight="false" outlineLevel="0" collapsed="false">
      <c r="A38" s="402" t="s">
        <v>482</v>
      </c>
      <c r="B38" s="405" t="n">
        <f aca="false">(B32-Assumptions!H17)/(Debt!B41-Assumptions!H17)*IS!C32</f>
        <v>7875.93505242359</v>
      </c>
      <c r="C38" s="405" t="n">
        <f aca="false">(C32-C23)/(C41-B41)*IS!D32</f>
        <v>10251.8982280587</v>
      </c>
      <c r="D38" s="405" t="n">
        <f aca="false">(D32-D23)/(D41-C41)*IS!E32</f>
        <v>10230.9593433913</v>
      </c>
      <c r="E38" s="405" t="n">
        <f aca="false">(E32-E23)/(E41-D41)*IS!F32</f>
        <v>10181.7065944703</v>
      </c>
      <c r="F38" s="405" t="n">
        <f aca="false">(F32-F23)/(F41-E41)*IS!G32</f>
        <v>10187.8168654226</v>
      </c>
      <c r="G38" s="405" t="n">
        <f aca="false">(G32-G23)/(G41-F41)*IS!H32</f>
        <v>10165.5963535025</v>
      </c>
      <c r="H38" s="405" t="n">
        <f aca="false">(H32-H23)/(H41-G41)*IS!I32</f>
        <v>10142.9314313439</v>
      </c>
      <c r="I38" s="405" t="n">
        <f aca="false">(I32-I23)/(I41-H41)*IS!J32</f>
        <v>10092.1634478714</v>
      </c>
      <c r="J38" s="405" t="n">
        <f aca="false">(J32-J23)/(J41-I41)*IS!K32</f>
        <v>10096.2326257285</v>
      </c>
      <c r="K38" s="405" t="n">
        <f aca="false">(K32-K23)/(K41-J41)*IS!L32</f>
        <v>10072.1804290145</v>
      </c>
      <c r="L38" s="405" t="n">
        <f aca="false">(L32-L23)/(L41-K41)*IS!M32</f>
        <v>10047.6471883662</v>
      </c>
      <c r="M38" s="405" t="n">
        <f aca="false">(M32-M23)/(M41-L41)*IS!N32</f>
        <v>9995.23906628503</v>
      </c>
      <c r="N38" s="405" t="n">
        <f aca="false">(N32-N23)/(N41-M41)*IS!O32</f>
        <v>9997.09889933452</v>
      </c>
      <c r="O38" s="405" t="n">
        <f aca="false">(O32-O23)/(O41-N41)*IS!P32</f>
        <v>9971.06402809264</v>
      </c>
      <c r="P38" s="405" t="n">
        <f aca="false">(P32-P23)/(P41-O41)*IS!Q32</f>
        <v>9944.50845942592</v>
      </c>
      <c r="Q38" s="405" t="n">
        <f aca="false">(Q32-Q23)/(Q41-P41)*IS!R32</f>
        <v>9890.32499856787</v>
      </c>
      <c r="R38" s="405" t="n">
        <f aca="false">(R32-R23)/(R41-Q41)*IS!S32</f>
        <v>9889.79336574501</v>
      </c>
      <c r="S38" s="405" t="n">
        <f aca="false">(S32-S23)/(S41-R41)*IS!T32</f>
        <v>9861.61238383134</v>
      </c>
      <c r="T38" s="405" t="n">
        <f aca="false">(T32-T23)/(T41-S41)*IS!U32</f>
        <v>9832.8677822794</v>
      </c>
      <c r="U38" s="405" t="n">
        <f aca="false">(U32-U23)/(U41-T41)*IS!V32</f>
        <v>9776.7626376344</v>
      </c>
      <c r="V38" s="405" t="n">
        <f aca="false">(V32-V23)/(V41-U41)*IS!W32</f>
        <v>9773.64240524178</v>
      </c>
      <c r="W38" s="405" t="n">
        <f aca="false">(W32-W23)/(W41-V41)*IS!X32</f>
        <v>9743.13840411804</v>
      </c>
      <c r="X38" s="405" t="n">
        <f aca="false">(X32-X23)/(X41-W41)*IS!Y32</f>
        <v>9712.02432297183</v>
      </c>
      <c r="Y38" s="405" t="n">
        <f aca="false">(Y32-Y23)/(Y41-X41)*IS!Z32</f>
        <v>9653.83908599449</v>
      </c>
      <c r="Z38" s="405" t="n">
        <f aca="false">(Z32-Z23)/(Z41-Y41)*IS!AA32</f>
        <v>9647.91687017818</v>
      </c>
      <c r="AA38" s="405" t="n">
        <f aca="false">(AA32-AA23)/(AA41-Z41)*IS!AB32</f>
        <v>9614.89835835317</v>
      </c>
      <c r="AB38" s="405" t="n">
        <f aca="false">(AB32-AB23)/(AB41-AA41)*IS!AC32</f>
        <v>9581.21947629166</v>
      </c>
      <c r="AC38" s="405" t="n">
        <f aca="false">(AC32-AC23)/(AC41-AB41)*IS!AD32</f>
        <v>9520.78268047803</v>
      </c>
      <c r="AD38" s="405" t="n">
        <f aca="false">(AD32-AD23)/(AD41-AC41)*IS!AE32</f>
        <v>9511.82750769213</v>
      </c>
      <c r="AE38" s="405" t="n">
        <f aca="false">(AE32-AE23)/(AE41-AD41)*IS!AF32</f>
        <v>9476.0872086174</v>
      </c>
      <c r="AF38" s="405" t="n">
        <f aca="false">(AF32-AF23)/(AG23-AE41)*IS!AG32</f>
        <v>544.745478844798</v>
      </c>
      <c r="AG38" s="0"/>
    </row>
    <row r="39" customFormat="false" ht="12.75" hidden="false" customHeight="false" outlineLevel="0" collapsed="false">
      <c r="A39" s="406" t="s">
        <v>62</v>
      </c>
      <c r="B39" s="408" t="n">
        <f aca="false">IF(B37&gt;0.1,B38/(B36+B35)," ")</f>
        <v>1.3</v>
      </c>
      <c r="C39" s="408" t="n">
        <f aca="false">IF(C37&gt;0.1,C38/(C36+C35)," ")</f>
        <v>1.33047057644442</v>
      </c>
      <c r="D39" s="408" t="n">
        <f aca="false">IF(D37&gt;0.1,D38/(D36+D35)," ")</f>
        <v>1.30289683659101</v>
      </c>
      <c r="E39" s="408" t="n">
        <f aca="false">IF(E37&gt;0.1,E38/(E36+E35)," ")</f>
        <v>1.29843832187017</v>
      </c>
      <c r="F39" s="408" t="n">
        <f aca="false">IF(F37&gt;0.1,F38/(F36+F35)," ")</f>
        <v>1.30375659434995</v>
      </c>
      <c r="G39" s="408" t="n">
        <f aca="false">IF(G37&gt;0.1,G38/(G36+G35)," ")</f>
        <v>1.30285163347085</v>
      </c>
      <c r="H39" s="408" t="n">
        <f aca="false">IF(H37&gt;0.1,H38/(H36+H35)," ")</f>
        <v>1.30283582378404</v>
      </c>
      <c r="I39" s="408" t="n">
        <f aca="false">IF(I37&gt;0.1,I38/(I36+I35)," ")</f>
        <v>1.29837607320279</v>
      </c>
      <c r="J39" s="408" t="n">
        <f aca="false">IF(J37&gt;0.1,J38/(J36+J35)," ")</f>
        <v>1.30369264376661</v>
      </c>
      <c r="K39" s="408" t="n">
        <f aca="false">IF(K37&gt;0.1,K38/(K36+K35)," ")</f>
        <v>1.30278601692869</v>
      </c>
      <c r="L39" s="408" t="n">
        <f aca="false">IF(L37&gt;0.1,L38/(L36+L35)," ")</f>
        <v>1.30276858328593</v>
      </c>
      <c r="M39" s="408" t="n">
        <f aca="false">IF(M37&gt;0.1,M38/(M36+M35)," ")</f>
        <v>1.2983074431458</v>
      </c>
      <c r="N39" s="408" t="n">
        <f aca="false">IF(N37&gt;0.1,N38/(N36+N35)," ")</f>
        <v>1.30362210830101</v>
      </c>
      <c r="O39" s="408" t="n">
        <f aca="false">IF(O37&gt;0.1,O38/(O36+O35)," ")</f>
        <v>1.30271361345993</v>
      </c>
      <c r="P39" s="408" t="n">
        <f aca="false">IF(P37&gt;0.1,P38/(P36+P35)," ")</f>
        <v>1.30269435582301</v>
      </c>
      <c r="Q39" s="408" t="n">
        <f aca="false">IF(Q37&gt;0.1,Q38/(Q36+Q35)," ")</f>
        <v>1.29823164816491</v>
      </c>
      <c r="R39" s="408" t="n">
        <f aca="false">IF(R37&gt;0.1,R38/(R36+R35)," ")</f>
        <v>1.3035441735965</v>
      </c>
      <c r="S39" s="408" t="str">
        <f aca="false">IF(S37&gt;0.1,S38/(S36+S35)," ")</f>
        <v> </v>
      </c>
      <c r="T39" s="408" t="str">
        <f aca="false">IF(T37&gt;0.1,T38/(T36+T35)," ")</f>
        <v> </v>
      </c>
      <c r="U39" s="408" t="str">
        <f aca="false">IF(U37&gt;0.1,U38/(U36+U35)," ")</f>
        <v> </v>
      </c>
      <c r="V39" s="408" t="str">
        <f aca="false">IF(V37&gt;0.1,V38/(V36+V35)," ")</f>
        <v> </v>
      </c>
      <c r="W39" s="408" t="str">
        <f aca="false">IF(W37&gt;0.1,W38/(W36+W35)," ")</f>
        <v> </v>
      </c>
      <c r="X39" s="408" t="str">
        <f aca="false">IF(X37&gt;0.1,X38/(X36+X35)," ")</f>
        <v> </v>
      </c>
      <c r="Y39" s="408" t="str">
        <f aca="false">IF(Y37&gt;0.1,Y38/(Y36+Y35)," ")</f>
        <v> </v>
      </c>
      <c r="Z39" s="408" t="str">
        <f aca="false">IF(Z37&gt;0.1,Z38/(Z36+Z35)," ")</f>
        <v> </v>
      </c>
      <c r="AA39" s="408" t="str">
        <f aca="false">IF(AA37&gt;0.1,AA38/(AA36+AA35)," ")</f>
        <v> </v>
      </c>
      <c r="AB39" s="408" t="str">
        <f aca="false">IF(AB37&gt;0.1,AB38/(AB36+AB35)," ")</f>
        <v> </v>
      </c>
      <c r="AC39" s="408" t="str">
        <f aca="false">IF(AC37&gt;0.1,AC38/(AC36+AC35)," ")</f>
        <v> </v>
      </c>
      <c r="AD39" s="408" t="str">
        <f aca="false">IF(AD37&gt;0.1,AD38/(AD36+AD35)," ")</f>
        <v> </v>
      </c>
      <c r="AE39" s="408" t="str">
        <f aca="false">IF(AE37&gt;0.1,AE38/(AE36+AE35)," ")</f>
        <v> </v>
      </c>
      <c r="AF39" s="408" t="str">
        <f aca="false">IF(AF37&gt;0.1,AF38/(AF36+AF35)," ")</f>
        <v> </v>
      </c>
    </row>
    <row r="40" customFormat="false" ht="12.75" hidden="false" customHeight="false" outlineLevel="0" collapsed="false">
      <c r="A40" s="402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</row>
    <row r="41" customFormat="false" ht="12.75" hidden="false" customHeight="false" outlineLevel="0" collapsed="false">
      <c r="A41" s="0"/>
      <c r="B41" s="411" t="n">
        <f aca="false">B8</f>
        <v>37256</v>
      </c>
      <c r="C41" s="411" t="n">
        <f aca="false">C8</f>
        <v>37621</v>
      </c>
      <c r="D41" s="411" t="n">
        <f aca="false">D8</f>
        <v>37986</v>
      </c>
      <c r="E41" s="411" t="n">
        <f aca="false">E8</f>
        <v>38352</v>
      </c>
      <c r="F41" s="411" t="n">
        <f aca="false">F8</f>
        <v>38717</v>
      </c>
      <c r="G41" s="411" t="n">
        <f aca="false">G8</f>
        <v>39082</v>
      </c>
      <c r="H41" s="411" t="n">
        <f aca="false">H8</f>
        <v>39447</v>
      </c>
      <c r="I41" s="411" t="n">
        <f aca="false">I8</f>
        <v>39813</v>
      </c>
      <c r="J41" s="411" t="n">
        <f aca="false">J8</f>
        <v>40178</v>
      </c>
      <c r="K41" s="411" t="n">
        <f aca="false">K8</f>
        <v>40543</v>
      </c>
      <c r="L41" s="411" t="n">
        <f aca="false">L8</f>
        <v>40908</v>
      </c>
      <c r="M41" s="411" t="n">
        <f aca="false">M8</f>
        <v>41274</v>
      </c>
      <c r="N41" s="411" t="n">
        <f aca="false">N8</f>
        <v>41639</v>
      </c>
      <c r="O41" s="411" t="n">
        <f aca="false">O8</f>
        <v>42004</v>
      </c>
      <c r="P41" s="411" t="n">
        <f aca="false">P8</f>
        <v>42369</v>
      </c>
      <c r="Q41" s="411" t="n">
        <f aca="false">Q8</f>
        <v>42735</v>
      </c>
      <c r="R41" s="411" t="n">
        <f aca="false">R8</f>
        <v>43100</v>
      </c>
      <c r="S41" s="411" t="n">
        <f aca="false">S8</f>
        <v>43465</v>
      </c>
      <c r="T41" s="411" t="n">
        <f aca="false">T8</f>
        <v>43830</v>
      </c>
      <c r="U41" s="411" t="n">
        <f aca="false">U8</f>
        <v>44196</v>
      </c>
      <c r="V41" s="411" t="n">
        <f aca="false">V8</f>
        <v>44561</v>
      </c>
      <c r="W41" s="411" t="n">
        <f aca="false">W8</f>
        <v>44926</v>
      </c>
      <c r="X41" s="411" t="n">
        <f aca="false">X8</f>
        <v>45291</v>
      </c>
      <c r="Y41" s="411" t="n">
        <f aca="false">Y8</f>
        <v>45657</v>
      </c>
      <c r="Z41" s="411" t="n">
        <f aca="false">Z8</f>
        <v>46022</v>
      </c>
      <c r="AA41" s="411" t="n">
        <f aca="false">AA8</f>
        <v>46387</v>
      </c>
      <c r="AB41" s="411" t="n">
        <f aca="false">AB8</f>
        <v>46752</v>
      </c>
      <c r="AC41" s="411" t="n">
        <f aca="false">AC8</f>
        <v>47118</v>
      </c>
      <c r="AD41" s="411" t="n">
        <f aca="false">AD8</f>
        <v>47483</v>
      </c>
      <c r="AE41" s="411" t="n">
        <f aca="false">AE8</f>
        <v>47848</v>
      </c>
      <c r="AF41" s="411" t="n">
        <f aca="false">AF8</f>
        <v>48213</v>
      </c>
    </row>
    <row r="42" customFormat="false" ht="12.75" hidden="false" customHeight="false" outlineLevel="0" collapsed="false">
      <c r="A42" s="402" t="s">
        <v>464</v>
      </c>
      <c r="B42" s="402" t="n">
        <f aca="false">B37</f>
        <v>147786.552408065</v>
      </c>
      <c r="C42" s="402" t="n">
        <f aca="false">C37</f>
        <v>142629.455017663</v>
      </c>
      <c r="D42" s="402" t="n">
        <f aca="false">D37</f>
        <v>136807.705618522</v>
      </c>
      <c r="E42" s="402" t="n">
        <f aca="false">E37</f>
        <v>130601.129793781</v>
      </c>
      <c r="F42" s="402" t="n">
        <f aca="false">F37</f>
        <v>123994.098459644</v>
      </c>
      <c r="G42" s="402" t="n">
        <f aca="false">G37</f>
        <v>116946.590587308</v>
      </c>
      <c r="H42" s="402" t="n">
        <f aca="false">H37</f>
        <v>109432.335105213</v>
      </c>
      <c r="I42" s="402" t="n">
        <f aca="false">I37</f>
        <v>101414.177206251</v>
      </c>
      <c r="J42" s="402" t="n">
        <f aca="false">J37</f>
        <v>92871.9311578101</v>
      </c>
      <c r="K42" s="402" t="n">
        <f aca="false">K37</f>
        <v>83752.8734483954</v>
      </c>
      <c r="L42" s="402" t="n">
        <f aca="false">L37</f>
        <v>74022.4245359793</v>
      </c>
      <c r="M42" s="402" t="n">
        <f aca="false">M37</f>
        <v>63631.5337837888</v>
      </c>
      <c r="N42" s="402" t="n">
        <f aca="false">N37</f>
        <v>52553.9899037785</v>
      </c>
      <c r="O42" s="402" t="n">
        <f aca="false">O37</f>
        <v>40720.3765117634</v>
      </c>
      <c r="P42" s="402" t="n">
        <f aca="false">P37</f>
        <v>28085.1694994639</v>
      </c>
      <c r="Q42" s="402" t="n">
        <f aca="false">Q37</f>
        <v>14583.6705483831</v>
      </c>
      <c r="R42" s="402" t="n">
        <f aca="false">R37</f>
        <v>181.706458478056</v>
      </c>
      <c r="S42" s="402" t="n">
        <f aca="false">S37</f>
        <v>0</v>
      </c>
      <c r="T42" s="402" t="n">
        <f aca="false">T37</f>
        <v>0</v>
      </c>
      <c r="U42" s="402" t="n">
        <f aca="false">U37</f>
        <v>0</v>
      </c>
      <c r="V42" s="402" t="n">
        <f aca="false">V37</f>
        <v>0</v>
      </c>
      <c r="W42" s="402" t="n">
        <f aca="false">W37</f>
        <v>0</v>
      </c>
      <c r="X42" s="402" t="n">
        <f aca="false">X37</f>
        <v>0</v>
      </c>
      <c r="Y42" s="402" t="n">
        <f aca="false">Y37</f>
        <v>0</v>
      </c>
      <c r="Z42" s="402" t="n">
        <f aca="false">Z37</f>
        <v>0</v>
      </c>
      <c r="AA42" s="402" t="n">
        <f aca="false">AA37</f>
        <v>0</v>
      </c>
      <c r="AB42" s="402" t="n">
        <f aca="false">AB37</f>
        <v>0</v>
      </c>
      <c r="AC42" s="402" t="n">
        <f aca="false">AC37</f>
        <v>0</v>
      </c>
      <c r="AD42" s="402" t="n">
        <f aca="false">AD37</f>
        <v>0</v>
      </c>
      <c r="AE42" s="402" t="n">
        <f aca="false">AE37</f>
        <v>0</v>
      </c>
      <c r="AF42" s="402" t="n">
        <f aca="false">AF37</f>
        <v>0</v>
      </c>
    </row>
    <row r="43" customFormat="false" ht="12.75" hidden="false" customHeight="false" outlineLevel="0" collapsed="false">
      <c r="A43" s="402" t="s">
        <v>479</v>
      </c>
      <c r="B43" s="403" t="n">
        <v>0</v>
      </c>
      <c r="C43" s="403" t="n">
        <v>0</v>
      </c>
      <c r="D43" s="403" t="n">
        <v>0</v>
      </c>
      <c r="E43" s="403" t="n">
        <v>0</v>
      </c>
      <c r="F43" s="403" t="n">
        <v>0</v>
      </c>
      <c r="G43" s="403" t="n">
        <v>0</v>
      </c>
      <c r="H43" s="403" t="n">
        <v>0</v>
      </c>
      <c r="I43" s="403" t="n">
        <v>0</v>
      </c>
      <c r="J43" s="403" t="n">
        <v>0</v>
      </c>
      <c r="K43" s="403" t="n">
        <v>0</v>
      </c>
      <c r="L43" s="403" t="n">
        <v>0</v>
      </c>
      <c r="M43" s="403" t="n">
        <v>0</v>
      </c>
      <c r="N43" s="403" t="n">
        <v>0</v>
      </c>
      <c r="O43" s="403" t="n">
        <v>0</v>
      </c>
      <c r="P43" s="403" t="n">
        <v>0</v>
      </c>
      <c r="Q43" s="403" t="n">
        <v>0</v>
      </c>
      <c r="R43" s="403" t="n">
        <v>0</v>
      </c>
      <c r="S43" s="403" t="n">
        <v>0</v>
      </c>
      <c r="T43" s="403" t="n">
        <v>0</v>
      </c>
      <c r="U43" s="403" t="n">
        <v>0</v>
      </c>
      <c r="V43" s="403" t="n">
        <v>0</v>
      </c>
      <c r="W43" s="403" t="n">
        <v>0</v>
      </c>
      <c r="X43" s="403" t="n">
        <v>0</v>
      </c>
      <c r="Y43" s="403" t="n">
        <v>0</v>
      </c>
      <c r="Z43" s="403" t="n">
        <v>0</v>
      </c>
      <c r="AA43" s="403" t="n">
        <v>0</v>
      </c>
      <c r="AB43" s="403" t="n">
        <v>0</v>
      </c>
      <c r="AC43" s="403" t="n">
        <v>0</v>
      </c>
      <c r="AD43" s="403" t="n">
        <v>0</v>
      </c>
      <c r="AE43" s="403" t="n">
        <v>0</v>
      </c>
      <c r="AF43" s="403" t="n">
        <v>0</v>
      </c>
    </row>
    <row r="44" customFormat="false" ht="12.75" hidden="false" customHeight="false" outlineLevel="0" collapsed="false">
      <c r="A44" s="402" t="s">
        <v>481</v>
      </c>
      <c r="B44" s="404" t="n">
        <f aca="false">B42*(B41-B32)/365.25*$E$64</f>
        <v>2577.41365869781</v>
      </c>
      <c r="C44" s="404" t="n">
        <f aca="false">C42*(C41-C32)/(C41-B41)*$E$64</f>
        <v>2489.17706428086</v>
      </c>
      <c r="D44" s="404" t="n">
        <f aca="false">D42*(D41-D32)/(D41-C41)*$E$64</f>
        <v>2387.57557476708</v>
      </c>
      <c r="E44" s="404" t="n">
        <f aca="false">E42*(E41-E32)/(E41-D41)*$E$64</f>
        <v>2273.03059231253</v>
      </c>
      <c r="F44" s="404" t="n">
        <f aca="false">F42*(F41-F32)/(F41-E41)*$E$64</f>
        <v>2163.95180051488</v>
      </c>
      <c r="G44" s="404" t="n">
        <f aca="false">G42*(G41-G32)/(G41-F41)*$E$64</f>
        <v>2040.95830696206</v>
      </c>
      <c r="H44" s="404" t="n">
        <f aca="false">H42*(H41-H32)/(H41-G41)*$E$64</f>
        <v>1909.8191085485</v>
      </c>
      <c r="I44" s="404" t="n">
        <f aca="false">I42*(I41-I32)/(I41-H41)*$E$64</f>
        <v>1765.05002405415</v>
      </c>
      <c r="J44" s="404" t="n">
        <f aca="false">J42*(J41-J32)/(J41-I41)*$E$64</f>
        <v>1620.80603143904</v>
      </c>
      <c r="K44" s="404" t="n">
        <f aca="false">K42*(K41-K32)/(K41-J41)*$E$64</f>
        <v>1461.65973661994</v>
      </c>
      <c r="L44" s="404" t="n">
        <f aca="false">L42*(L41-L32)/(L41-K41)*$E$64</f>
        <v>1291.84340902517</v>
      </c>
      <c r="M44" s="404" t="n">
        <f aca="false">M42*(M41-M32)/(M41-L41)*$E$64</f>
        <v>1107.46685847742</v>
      </c>
      <c r="N44" s="404" t="n">
        <f aca="false">N42*(N41-N32)/(N41-M41)*$E$64</f>
        <v>917.175111471422</v>
      </c>
      <c r="O44" s="404" t="n">
        <f aca="false">O42*(O41-O32)/(O41-N41)*$E$64</f>
        <v>710.654242136802</v>
      </c>
      <c r="P44" s="404" t="n">
        <f aca="false">P42*(P41-P32)/(P41-O41)*$E$64</f>
        <v>490.143917018041</v>
      </c>
      <c r="Q44" s="404" t="n">
        <f aca="false">Q42*(Q41-Q32)/(Q41-P41)*$E$64</f>
        <v>253.819621292898</v>
      </c>
      <c r="R44" s="404" t="n">
        <f aca="false">R42*(R41-R32)/(R41-Q41)*$E$64</f>
        <v>3.1711510698773</v>
      </c>
      <c r="S44" s="404" t="n">
        <f aca="false">S42*(S41-S32)/(S41-R41)*$E$64</f>
        <v>0</v>
      </c>
      <c r="T44" s="404" t="n">
        <f aca="false">T42*(T41-T32)/(T41-S41)*$E$64</f>
        <v>0</v>
      </c>
      <c r="U44" s="404" t="n">
        <f aca="false">U42*(U41-U32)/(U41-T41)*$E$64</f>
        <v>0</v>
      </c>
      <c r="V44" s="404" t="n">
        <f aca="false">V42*(V41-V32)/(V41-U41)*$E$64</f>
        <v>0</v>
      </c>
      <c r="W44" s="404" t="n">
        <f aca="false">W42*(W41-W32)/(W41-V41)*$E$64</f>
        <v>0</v>
      </c>
      <c r="X44" s="404" t="n">
        <f aca="false">X42*(X41-X32)/(X41-W41)*$E$64</f>
        <v>0</v>
      </c>
      <c r="Y44" s="404" t="n">
        <f aca="false">Y42*(Y41-Y32)/(Y41-X41)*$E$64</f>
        <v>0</v>
      </c>
      <c r="Z44" s="404" t="n">
        <f aca="false">Z42*(Z41-Z32)/(Z41-Y41)*$E$64</f>
        <v>0</v>
      </c>
      <c r="AA44" s="404" t="n">
        <f aca="false">AA42*(AA41-AA32)/(AA41-Z41)*$E$64</f>
        <v>0</v>
      </c>
      <c r="AB44" s="404" t="n">
        <f aca="false">AB42*(AB41-AB32)/(AB41-AA41)*$E$64</f>
        <v>0</v>
      </c>
      <c r="AC44" s="404" t="n">
        <f aca="false">AC42*(AC41-AC32)/(AC41-AB41)*$E$64</f>
        <v>0</v>
      </c>
      <c r="AD44" s="404" t="n">
        <f aca="false">AD42*(AD41-AD32)/(AD41-AC41)*$E$64</f>
        <v>0</v>
      </c>
      <c r="AE44" s="404" t="n">
        <f aca="false">AE42*(AE41-AE32)/(AE41-AD41)*$E$64</f>
        <v>0</v>
      </c>
      <c r="AF44" s="404" t="n">
        <f aca="false">AF42*(AF41-AF32)/(AF41-AE41)*$E$64</f>
        <v>0</v>
      </c>
    </row>
    <row r="45" customFormat="false" ht="12.75" hidden="false" customHeight="false" outlineLevel="0" collapsed="false">
      <c r="A45" s="402" t="s">
        <v>468</v>
      </c>
      <c r="B45" s="402" t="n">
        <f aca="false">B42+B43</f>
        <v>147786.552408065</v>
      </c>
      <c r="C45" s="402" t="n">
        <f aca="false">C42+C43</f>
        <v>142629.455017663</v>
      </c>
      <c r="D45" s="402" t="n">
        <f aca="false">D42+D43</f>
        <v>136807.705618522</v>
      </c>
      <c r="E45" s="402" t="n">
        <f aca="false">E42+E43</f>
        <v>130601.129793781</v>
      </c>
      <c r="F45" s="402" t="n">
        <f aca="false">F42+F43</f>
        <v>123994.098459644</v>
      </c>
      <c r="G45" s="402" t="n">
        <f aca="false">G42+G43</f>
        <v>116946.590587308</v>
      </c>
      <c r="H45" s="402" t="n">
        <f aca="false">H42+H43</f>
        <v>109432.335105213</v>
      </c>
      <c r="I45" s="402" t="n">
        <f aca="false">I42+I43</f>
        <v>101414.177206251</v>
      </c>
      <c r="J45" s="402" t="n">
        <f aca="false">J42+J43</f>
        <v>92871.9311578101</v>
      </c>
      <c r="K45" s="402" t="n">
        <f aca="false">K42+K43</f>
        <v>83752.8734483954</v>
      </c>
      <c r="L45" s="402" t="n">
        <f aca="false">L42+L43</f>
        <v>74022.4245359793</v>
      </c>
      <c r="M45" s="402" t="n">
        <f aca="false">M42+M43</f>
        <v>63631.5337837888</v>
      </c>
      <c r="N45" s="402" t="n">
        <f aca="false">N42+N43</f>
        <v>52553.9899037785</v>
      </c>
      <c r="O45" s="402" t="n">
        <f aca="false">O42+O43</f>
        <v>40720.3765117634</v>
      </c>
      <c r="P45" s="402" t="n">
        <f aca="false">P42+P43</f>
        <v>28085.1694994639</v>
      </c>
      <c r="Q45" s="402" t="n">
        <f aca="false">Q42+Q43</f>
        <v>14583.6705483831</v>
      </c>
      <c r="R45" s="402" t="n">
        <f aca="false">R42+R43</f>
        <v>181.706458478056</v>
      </c>
      <c r="S45" s="402" t="n">
        <f aca="false">S42+S43</f>
        <v>0</v>
      </c>
      <c r="T45" s="402" t="n">
        <f aca="false">T42+T43</f>
        <v>0</v>
      </c>
      <c r="U45" s="402" t="n">
        <f aca="false">U42+U43</f>
        <v>0</v>
      </c>
      <c r="V45" s="402" t="n">
        <f aca="false">V42+V43</f>
        <v>0</v>
      </c>
      <c r="W45" s="402" t="n">
        <f aca="false">W42+W43</f>
        <v>0</v>
      </c>
      <c r="X45" s="402" t="n">
        <f aca="false">X42+X43</f>
        <v>0</v>
      </c>
      <c r="Y45" s="402" t="n">
        <f aca="false">Y42+Y43</f>
        <v>0</v>
      </c>
      <c r="Z45" s="402" t="n">
        <f aca="false">Z42+Z43</f>
        <v>0</v>
      </c>
      <c r="AA45" s="402" t="n">
        <f aca="false">AA42+AA43</f>
        <v>0</v>
      </c>
      <c r="AB45" s="402" t="n">
        <f aca="false">AB42+AB43</f>
        <v>0</v>
      </c>
      <c r="AC45" s="402" t="n">
        <f aca="false">AC42+AC43</f>
        <v>0</v>
      </c>
      <c r="AD45" s="402" t="n">
        <f aca="false">AD42+AD43</f>
        <v>0</v>
      </c>
      <c r="AE45" s="402" t="n">
        <f aca="false">AE42+AE43</f>
        <v>0</v>
      </c>
      <c r="AF45" s="402" t="n">
        <f aca="false">AF42+AF43</f>
        <v>0</v>
      </c>
    </row>
    <row r="46" customFormat="false" ht="12.75" hidden="false" customHeight="false" outlineLevel="0" collapsed="false">
      <c r="A46" s="402"/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</row>
    <row r="47" customFormat="false" ht="12.75" hidden="false" customHeight="false" outlineLevel="0" collapsed="false">
      <c r="A47" s="412" t="s">
        <v>484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13"/>
      <c r="AH47" s="413"/>
      <c r="AI47" s="413"/>
      <c r="AJ47" s="413"/>
      <c r="AK47" s="413"/>
      <c r="AL47" s="413"/>
      <c r="AM47" s="413"/>
    </row>
    <row r="48" customFormat="false" ht="12.75" hidden="false" customHeight="false" outlineLevel="0" collapsed="false">
      <c r="A48" s="402" t="s">
        <v>485</v>
      </c>
      <c r="B48" s="405" t="n">
        <f aca="false">SUM(B35,B26)</f>
        <v>1675.81884472209</v>
      </c>
      <c r="C48" s="405" t="n">
        <f aca="false">SUM(C35,C26)</f>
        <v>5157.0973904017</v>
      </c>
      <c r="D48" s="405" t="n">
        <f aca="false">SUM(D35,D26)</f>
        <v>5821.74939914132</v>
      </c>
      <c r="E48" s="405" t="n">
        <f aca="false">SUM(E35,E26)</f>
        <v>6206.57582474097</v>
      </c>
      <c r="F48" s="405" t="n">
        <f aca="false">SUM(F35,F26)</f>
        <v>6607.03133413689</v>
      </c>
      <c r="G48" s="405" t="n">
        <f aca="false">SUM(G35,G26)</f>
        <v>7047.50787233583</v>
      </c>
      <c r="H48" s="405" t="n">
        <f aca="false">SUM(H35,H26)</f>
        <v>7514.2554820956</v>
      </c>
      <c r="I48" s="405" t="n">
        <f aca="false">SUM(I35,I26)</f>
        <v>8018.1578989616</v>
      </c>
      <c r="J48" s="405" t="n">
        <f aca="false">SUM(J35,J26)</f>
        <v>8542.24604844094</v>
      </c>
      <c r="K48" s="405" t="n">
        <f aca="false">SUM(K35,K26)</f>
        <v>9119.0577094147</v>
      </c>
      <c r="L48" s="405" t="n">
        <f aca="false">SUM(L35,L26)</f>
        <v>9730.44891241603</v>
      </c>
      <c r="M48" s="405" t="n">
        <f aca="false">SUM(M35,M26)</f>
        <v>10390.8907521906</v>
      </c>
      <c r="N48" s="405" t="n">
        <f aca="false">SUM(N35,N26)</f>
        <v>11077.5438800103</v>
      </c>
      <c r="O48" s="405" t="n">
        <f aca="false">SUM(O35,O26)</f>
        <v>11833.6133920151</v>
      </c>
      <c r="P48" s="405" t="n">
        <f aca="false">SUM(P35,P26)</f>
        <v>12635.2070122995</v>
      </c>
      <c r="Q48" s="405" t="n">
        <f aca="false">SUM(Q35,Q26)</f>
        <v>13501.4989510808</v>
      </c>
      <c r="R48" s="405" t="n">
        <f aca="false">SUM(R35,R26)</f>
        <v>14401.9640899051</v>
      </c>
      <c r="S48" s="405" t="n">
        <f aca="false">SUM(S35,S26)</f>
        <v>181.706458478056</v>
      </c>
      <c r="T48" s="405" t="n">
        <f aca="false">SUM(T35,T26)</f>
        <v>0</v>
      </c>
      <c r="U48" s="405" t="n">
        <f aca="false">SUM(U35,U26)</f>
        <v>0</v>
      </c>
      <c r="V48" s="405" t="n">
        <f aca="false">SUM(V35,V26)</f>
        <v>0</v>
      </c>
      <c r="W48" s="405" t="n">
        <f aca="false">SUM(W35,W26)</f>
        <v>0</v>
      </c>
      <c r="X48" s="405" t="n">
        <f aca="false">SUM(X35,X26)</f>
        <v>0</v>
      </c>
      <c r="Y48" s="405" t="n">
        <f aca="false">SUM(Y35,Y26)</f>
        <v>0</v>
      </c>
      <c r="Z48" s="405" t="n">
        <f aca="false">SUM(Z35,Z26)</f>
        <v>0</v>
      </c>
      <c r="AA48" s="405" t="n">
        <f aca="false">SUM(AA35,AA26)</f>
        <v>0</v>
      </c>
      <c r="AB48" s="405" t="n">
        <f aca="false">SUM(AB35,AB26)</f>
        <v>0</v>
      </c>
      <c r="AC48" s="405" t="n">
        <f aca="false">SUM(AC35,AC26)</f>
        <v>0</v>
      </c>
      <c r="AD48" s="405" t="n">
        <f aca="false">SUM(AD35,AD26)</f>
        <v>0</v>
      </c>
      <c r="AE48" s="405" t="n">
        <f aca="false">SUM(AE35,AE26)</f>
        <v>0</v>
      </c>
      <c r="AF48" s="405" t="n">
        <f aca="false">SUM(AF35,AF26)</f>
        <v>0</v>
      </c>
      <c r="AG48" s="413"/>
      <c r="AH48" s="413"/>
      <c r="AI48" s="413"/>
      <c r="AJ48" s="413"/>
      <c r="AK48" s="413"/>
      <c r="AL48" s="413"/>
      <c r="AM48" s="413"/>
    </row>
    <row r="49" customFormat="false" ht="12.75" hidden="false" customHeight="false" outlineLevel="0" collapsed="false">
      <c r="A49" s="412" t="s">
        <v>401</v>
      </c>
      <c r="B49" s="404" t="n">
        <f aca="false">B36</f>
        <v>4382.59273406529</v>
      </c>
      <c r="C49" s="404" t="n">
        <f aca="false">C27+C36+B44</f>
        <v>10253.8382733634</v>
      </c>
      <c r="D49" s="404" t="n">
        <f aca="false">D27+D36+C44</f>
        <v>9883.19216808247</v>
      </c>
      <c r="E49" s="404" t="n">
        <f aca="false">E27+E36+D44</f>
        <v>9476.42801606588</v>
      </c>
      <c r="F49" s="404" t="n">
        <f aca="false">F27+F36+E44</f>
        <v>9021.37186562178</v>
      </c>
      <c r="G49" s="404" t="n">
        <f aca="false">G27+G36+F44</f>
        <v>8557.64023869034</v>
      </c>
      <c r="H49" s="404" t="n">
        <f aca="false">H27+H36+G44</f>
        <v>8056.28878169995</v>
      </c>
      <c r="I49" s="404" t="n">
        <f aca="false">I27+I36+H44</f>
        <v>7527.66685268583</v>
      </c>
      <c r="J49" s="404" t="n">
        <f aca="false">J27+J36+I44</f>
        <v>6946.42403649352</v>
      </c>
      <c r="K49" s="404" t="n">
        <f aca="false">K27+K36+J44</f>
        <v>6343.46690803493</v>
      </c>
      <c r="L49" s="404" t="n">
        <f aca="false">L27+L36+K44</f>
        <v>5694.61938793145</v>
      </c>
      <c r="M49" s="404" t="n">
        <f aca="false">M27+M36+L44</f>
        <v>5006.44694167118</v>
      </c>
      <c r="N49" s="404" t="n">
        <f aca="false">N27+N36+M44</f>
        <v>4259.87458762146</v>
      </c>
      <c r="O49" s="404" t="n">
        <f aca="false">O27+O36+N44</f>
        <v>3474.53096921577</v>
      </c>
      <c r="P49" s="404" t="n">
        <f aca="false">P27+P36+O44</f>
        <v>2632.39342670487</v>
      </c>
      <c r="Q49" s="404" t="n">
        <f aca="false">Q27+Q36+P44</f>
        <v>1735.11157608999</v>
      </c>
      <c r="R49" s="404" t="n">
        <f aca="false">R27+R36+Q44</f>
        <v>771.734762906237</v>
      </c>
      <c r="S49" s="404" t="n">
        <f aca="false">S27+S36+R44</f>
        <v>6.3423021397546</v>
      </c>
      <c r="T49" s="404" t="n">
        <f aca="false">T27+T36+S44</f>
        <v>0</v>
      </c>
      <c r="U49" s="404" t="n">
        <f aca="false">U27+U36+T44</f>
        <v>0</v>
      </c>
      <c r="V49" s="404" t="n">
        <f aca="false">V27+V36+U44</f>
        <v>0</v>
      </c>
      <c r="W49" s="404" t="n">
        <f aca="false">W27+W36+V44</f>
        <v>0</v>
      </c>
      <c r="X49" s="404" t="n">
        <f aca="false">X27+X36+W44</f>
        <v>0</v>
      </c>
      <c r="Y49" s="404" t="n">
        <f aca="false">Y27+Y36+X44</f>
        <v>0</v>
      </c>
      <c r="Z49" s="404" t="n">
        <f aca="false">Z27+Z36+Y44</f>
        <v>0</v>
      </c>
      <c r="AA49" s="404" t="n">
        <f aca="false">AA27+AA36+Z44</f>
        <v>0</v>
      </c>
      <c r="AB49" s="404" t="n">
        <f aca="false">AB27+AB36+AA44</f>
        <v>0</v>
      </c>
      <c r="AC49" s="404" t="n">
        <f aca="false">AC27+AC36+AB44</f>
        <v>0</v>
      </c>
      <c r="AD49" s="404" t="n">
        <f aca="false">AD27+AD36+AC44</f>
        <v>0</v>
      </c>
      <c r="AE49" s="404" t="n">
        <f aca="false">AE27+AE36+AD44</f>
        <v>0</v>
      </c>
      <c r="AF49" s="404" t="n">
        <f aca="false">AF27+AF36+AE44</f>
        <v>0</v>
      </c>
      <c r="AG49" s="413"/>
      <c r="AH49" s="413"/>
      <c r="AI49" s="413"/>
      <c r="AJ49" s="413"/>
      <c r="AK49" s="413"/>
      <c r="AL49" s="413"/>
      <c r="AM49" s="413"/>
    </row>
    <row r="50" customFormat="false" ht="12.75" hidden="false" customHeight="false" outlineLevel="0" collapsed="false">
      <c r="A50" s="413" t="s">
        <v>486</v>
      </c>
      <c r="B50" s="413" t="n">
        <f aca="false">SUM(B48:B49)</f>
        <v>6058.41157878738</v>
      </c>
      <c r="C50" s="413" t="n">
        <f aca="false">SUM(C48:C49)</f>
        <v>15410.9356637651</v>
      </c>
      <c r="D50" s="413" t="n">
        <f aca="false">SUM(D48:D49)</f>
        <v>15704.9415672238</v>
      </c>
      <c r="E50" s="413" t="n">
        <f aca="false">SUM(E48:E49)</f>
        <v>15683.0038408068</v>
      </c>
      <c r="F50" s="413" t="n">
        <f aca="false">SUM(F48:F49)</f>
        <v>15628.4031997587</v>
      </c>
      <c r="G50" s="413" t="n">
        <f aca="false">SUM(G48:G49)</f>
        <v>15605.1481110262</v>
      </c>
      <c r="H50" s="413" t="n">
        <f aca="false">SUM(H48:H49)</f>
        <v>15570.5442637956</v>
      </c>
      <c r="I50" s="413" t="n">
        <f aca="false">SUM(I48:I49)</f>
        <v>15545.8247516474</v>
      </c>
      <c r="J50" s="413" t="n">
        <f aca="false">SUM(J48:J49)</f>
        <v>15488.6700849345</v>
      </c>
      <c r="K50" s="413" t="n">
        <f aca="false">SUM(K48:K49)</f>
        <v>15462.5246174496</v>
      </c>
      <c r="L50" s="413" t="n">
        <f aca="false">SUM(L48:L49)</f>
        <v>15425.0683003475</v>
      </c>
      <c r="M50" s="413" t="n">
        <f aca="false">SUM(M48:M49)</f>
        <v>15397.3376938618</v>
      </c>
      <c r="N50" s="413" t="n">
        <f aca="false">SUM(N48:N49)</f>
        <v>15337.4184676317</v>
      </c>
      <c r="O50" s="413" t="n">
        <f aca="false">SUM(O48:O49)</f>
        <v>15308.1443612309</v>
      </c>
      <c r="P50" s="413" t="n">
        <f aca="false">SUM(P48:P49)</f>
        <v>15267.6004390043</v>
      </c>
      <c r="Q50" s="413" t="n">
        <f aca="false">SUM(Q48:Q49)</f>
        <v>15236.6105271708</v>
      </c>
      <c r="R50" s="413" t="n">
        <f aca="false">SUM(R48:R49)</f>
        <v>15173.6988528113</v>
      </c>
      <c r="S50" s="413" t="n">
        <f aca="false">SUM(S48:S49)</f>
        <v>188.04876061781</v>
      </c>
      <c r="T50" s="413" t="n">
        <f aca="false">SUM(T48:T49)</f>
        <v>0</v>
      </c>
      <c r="U50" s="413" t="n">
        <f aca="false">SUM(U48:U49)</f>
        <v>0</v>
      </c>
      <c r="V50" s="413" t="n">
        <f aca="false">SUM(V48:V49)</f>
        <v>0</v>
      </c>
      <c r="W50" s="413" t="n">
        <f aca="false">SUM(W48:W49)</f>
        <v>0</v>
      </c>
      <c r="X50" s="413" t="n">
        <f aca="false">SUM(X48:X49)</f>
        <v>0</v>
      </c>
      <c r="Y50" s="413" t="n">
        <f aca="false">SUM(Y48:Y49)</f>
        <v>0</v>
      </c>
      <c r="Z50" s="413" t="n">
        <f aca="false">SUM(Z48:Z49)</f>
        <v>0</v>
      </c>
      <c r="AA50" s="413" t="n">
        <f aca="false">SUM(AA48:AA49)</f>
        <v>0</v>
      </c>
      <c r="AB50" s="413" t="n">
        <f aca="false">SUM(AB48:AB49)</f>
        <v>0</v>
      </c>
      <c r="AC50" s="413" t="n">
        <f aca="false">SUM(AC48:AC49)</f>
        <v>0</v>
      </c>
      <c r="AD50" s="413" t="n">
        <f aca="false">SUM(AD48:AD49)</f>
        <v>0</v>
      </c>
      <c r="AE50" s="413" t="n">
        <f aca="false">SUM(AE48:AE49)</f>
        <v>0</v>
      </c>
      <c r="AF50" s="413" t="n">
        <f aca="false">SUM(AF48:AF49)</f>
        <v>0</v>
      </c>
      <c r="AG50" s="413"/>
      <c r="AH50" s="413"/>
      <c r="AI50" s="413"/>
      <c r="AJ50" s="413"/>
      <c r="AK50" s="413"/>
      <c r="AL50" s="413"/>
      <c r="AM50" s="413"/>
    </row>
    <row r="51" customFormat="false" ht="12.75" hidden="false" customHeight="false" outlineLevel="0" collapsed="false">
      <c r="A51" s="413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</row>
    <row r="52" customFormat="false" ht="12.75" hidden="false" customHeight="false" outlineLevel="0" collapsed="false">
      <c r="A52" s="414" t="s">
        <v>487</v>
      </c>
      <c r="B52" s="415" t="n">
        <f aca="false">IF(B33&gt;0.1,(B38+B29)/B50," ")</f>
        <v>1.3</v>
      </c>
      <c r="C52" s="415" t="n">
        <f aca="false">IF(C33&gt;0.1,(C38+C29)/C50," ")</f>
        <v>1.3</v>
      </c>
      <c r="D52" s="415" t="n">
        <f aca="false">IF(D33&gt;0.1,(D38+D29)/D50," ")</f>
        <v>1.3</v>
      </c>
      <c r="E52" s="415" t="n">
        <f aca="false">IF(E33&gt;0.1,(E38+E29)/E50," ")</f>
        <v>1.3</v>
      </c>
      <c r="F52" s="415" t="n">
        <f aca="false">IF(F33&gt;0.1,(F38+F29)/F50," ")</f>
        <v>1.3</v>
      </c>
      <c r="G52" s="415" t="n">
        <f aca="false">IF(G33&gt;0.1,(G38+G29)/G50," ")</f>
        <v>1.3</v>
      </c>
      <c r="H52" s="415" t="n">
        <f aca="false">IF(H33&gt;0.1,(H38+H29)/H50," ")</f>
        <v>1.3</v>
      </c>
      <c r="I52" s="415" t="n">
        <f aca="false">IF(I33&gt;0.1,(I38+I29)/I50," ")</f>
        <v>1.3</v>
      </c>
      <c r="J52" s="415" t="n">
        <f aca="false">IF(J33&gt;0.1,(J38+J29)/J50," ")</f>
        <v>1.3</v>
      </c>
      <c r="K52" s="415" t="n">
        <f aca="false">IF(K33&gt;0.1,(K38+K29)/K50," ")</f>
        <v>1.3</v>
      </c>
      <c r="L52" s="415" t="n">
        <f aca="false">IF(L33&gt;0.1,(L38+L29)/L50," ")</f>
        <v>1.3</v>
      </c>
      <c r="M52" s="415" t="n">
        <f aca="false">IF(M33&gt;0.1,(M38+M29)/M50," ")</f>
        <v>1.3</v>
      </c>
      <c r="N52" s="415" t="n">
        <f aca="false">IF(N33&gt;0.1,(N38+N29)/N50," ")</f>
        <v>1.3</v>
      </c>
      <c r="O52" s="415" t="n">
        <f aca="false">IF(O33&gt;0.1,(O38+O29)/O50," ")</f>
        <v>1.3</v>
      </c>
      <c r="P52" s="416" t="n">
        <f aca="false">IF(P33&gt;0.1,(P38+P29)/P50," ")</f>
        <v>1.3</v>
      </c>
      <c r="Q52" s="415" t="n">
        <f aca="false">IF(Q33&gt;0.1,(Q38+Q29)/Q50," ")</f>
        <v>1.3</v>
      </c>
      <c r="R52" s="415" t="n">
        <f aca="false">IF(R33&gt;0.1,(R38+R29)/R50," ")</f>
        <v>1.3</v>
      </c>
      <c r="S52" s="415" t="str">
        <f aca="false">IF(S33&gt;0.1,(S38+S29)/S50," ")</f>
        <v> </v>
      </c>
      <c r="T52" s="415" t="str">
        <f aca="false">IF(T33&gt;0.1,(T38+T29)/T50," ")</f>
        <v> </v>
      </c>
      <c r="U52" s="415" t="str">
        <f aca="false">IF(U33&gt;0.1,(U38+U29)/U50," ")</f>
        <v> </v>
      </c>
      <c r="V52" s="415" t="str">
        <f aca="false">IF(V33&gt;0.1,(V38+V29)/V50," ")</f>
        <v> </v>
      </c>
      <c r="W52" s="415" t="str">
        <f aca="false">IF(W33&gt;0.1,(W38+W29)/W50," ")</f>
        <v> </v>
      </c>
      <c r="X52" s="415" t="str">
        <f aca="false">IF(X33&gt;0.1,(X38+X29)/X50," ")</f>
        <v> </v>
      </c>
      <c r="Y52" s="415" t="str">
        <f aca="false">IF(Y33&gt;0.1,(Y38+Y29)/Y50," ")</f>
        <v> </v>
      </c>
      <c r="Z52" s="415" t="str">
        <f aca="false">IF(Z33&gt;0.1,(Z38+Z29)/Z50," ")</f>
        <v> </v>
      </c>
      <c r="AA52" s="415" t="str">
        <f aca="false">IF(AA33&gt;0.1,(AA38+AA29)/AA50," ")</f>
        <v> </v>
      </c>
      <c r="AB52" s="415" t="str">
        <f aca="false">IF(AB33&gt;0.1,(AB38+AB29)/AB50," ")</f>
        <v> </v>
      </c>
      <c r="AC52" s="415" t="str">
        <f aca="false">IF(AC33&gt;0.1,(AC38+AC29)/AC50," ")</f>
        <v> </v>
      </c>
      <c r="AD52" s="415" t="str">
        <f aca="false">IF(AD33&gt;0.1,(AD38+AD29)/AD50," ")</f>
        <v> </v>
      </c>
      <c r="AE52" s="415" t="str">
        <f aca="false">IF(AE33&gt;0.1,(AE38+AE29)/AE50," ")</f>
        <v> </v>
      </c>
      <c r="AF52" s="416" t="str">
        <f aca="false">IF(AF33&gt;0.1,(AF38+AF29)/AF50," ")</f>
        <v> </v>
      </c>
      <c r="AG52" s="388"/>
      <c r="AH52" s="388"/>
      <c r="AI52" s="388"/>
      <c r="AJ52" s="388"/>
      <c r="AK52" s="388"/>
      <c r="AL52" s="388"/>
      <c r="AM52" s="388"/>
    </row>
    <row r="53" customFormat="false" ht="12.75" hidden="false" customHeight="false" outlineLevel="0" collapsed="false">
      <c r="A53" s="417"/>
      <c r="B53" s="418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388"/>
      <c r="AH53" s="388"/>
      <c r="AI53" s="388"/>
      <c r="AJ53" s="388"/>
      <c r="AK53" s="388"/>
      <c r="AL53" s="388"/>
      <c r="AM53" s="388"/>
    </row>
    <row r="54" customFormat="false" ht="12.75" hidden="false" customHeight="false" outlineLevel="0" collapsed="false">
      <c r="A54" s="417"/>
      <c r="B54" s="418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388"/>
      <c r="AH54" s="388"/>
      <c r="AI54" s="388"/>
      <c r="AJ54" s="388"/>
      <c r="AK54" s="388"/>
      <c r="AL54" s="388"/>
      <c r="AM54" s="388"/>
    </row>
    <row r="55" customFormat="false" ht="12.75" hidden="false" customHeight="false" outlineLevel="0" collapsed="false">
      <c r="A55" s="412" t="s">
        <v>488</v>
      </c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</row>
    <row r="56" customFormat="false" ht="12.75" hidden="false" customHeight="false" outlineLevel="0" collapsed="false">
      <c r="A56" s="402" t="s">
        <v>485</v>
      </c>
      <c r="B56" s="405" t="n">
        <f aca="false">B35+B26</f>
        <v>1675.81884472209</v>
      </c>
      <c r="C56" s="405" t="n">
        <f aca="false">C35+C26</f>
        <v>5157.0973904017</v>
      </c>
      <c r="D56" s="405" t="n">
        <f aca="false">D35+D26</f>
        <v>5821.74939914132</v>
      </c>
      <c r="E56" s="405" t="n">
        <f aca="false">E35+E26</f>
        <v>6206.57582474097</v>
      </c>
      <c r="F56" s="405" t="n">
        <f aca="false">F35+F26</f>
        <v>6607.03133413689</v>
      </c>
      <c r="G56" s="405" t="n">
        <f aca="false">G35+G26</f>
        <v>7047.50787233583</v>
      </c>
      <c r="H56" s="405" t="n">
        <f aca="false">H35+H26</f>
        <v>7514.2554820956</v>
      </c>
      <c r="I56" s="405" t="n">
        <f aca="false">I35+I26</f>
        <v>8018.1578989616</v>
      </c>
      <c r="J56" s="405" t="n">
        <f aca="false">J35+J26</f>
        <v>8542.24604844094</v>
      </c>
      <c r="K56" s="405" t="n">
        <f aca="false">K35+K26</f>
        <v>9119.0577094147</v>
      </c>
      <c r="L56" s="405" t="n">
        <f aca="false">L35+L26</f>
        <v>9730.44891241603</v>
      </c>
      <c r="M56" s="405" t="n">
        <f aca="false">M35+M26</f>
        <v>10390.8907521906</v>
      </c>
      <c r="N56" s="405" t="n">
        <f aca="false">N35+N26</f>
        <v>11077.5438800103</v>
      </c>
      <c r="O56" s="405" t="n">
        <f aca="false">O35+O26</f>
        <v>11833.6133920151</v>
      </c>
      <c r="P56" s="405" t="n">
        <f aca="false">P35+P26</f>
        <v>12635.2070122995</v>
      </c>
      <c r="Q56" s="405" t="n">
        <f aca="false">Q35+Q26</f>
        <v>13501.4989510808</v>
      </c>
      <c r="R56" s="405" t="n">
        <f aca="false">R35+R26</f>
        <v>14401.9640899051</v>
      </c>
      <c r="S56" s="405" t="n">
        <f aca="false">S35+S26</f>
        <v>181.706458478056</v>
      </c>
      <c r="T56" s="405" t="n">
        <f aca="false">T35+T26</f>
        <v>0</v>
      </c>
      <c r="U56" s="405" t="n">
        <f aca="false">U35+U26</f>
        <v>0</v>
      </c>
      <c r="V56" s="405" t="n">
        <f aca="false">V35+V26</f>
        <v>0</v>
      </c>
      <c r="W56" s="405" t="n">
        <f aca="false">W35+W26</f>
        <v>0</v>
      </c>
      <c r="X56" s="405" t="n">
        <f aca="false">X35+X26</f>
        <v>0</v>
      </c>
      <c r="Y56" s="405" t="n">
        <f aca="false">Y35+Y26</f>
        <v>0</v>
      </c>
      <c r="Z56" s="405" t="n">
        <f aca="false">Z35+Z26</f>
        <v>0</v>
      </c>
      <c r="AA56" s="405" t="n">
        <f aca="false">AA35+AA26</f>
        <v>0</v>
      </c>
      <c r="AB56" s="405" t="n">
        <f aca="false">AB35+AB26</f>
        <v>0</v>
      </c>
      <c r="AC56" s="405" t="n">
        <f aca="false">AC35+AC26</f>
        <v>0</v>
      </c>
      <c r="AD56" s="405" t="n">
        <f aca="false">AD35+AD26</f>
        <v>0</v>
      </c>
      <c r="AE56" s="405" t="n">
        <f aca="false">AE35+AE26</f>
        <v>0</v>
      </c>
      <c r="AF56" s="405" t="n">
        <f aca="false">AF35+AF26</f>
        <v>0</v>
      </c>
    </row>
    <row r="57" customFormat="false" ht="12.75" hidden="false" customHeight="false" outlineLevel="0" collapsed="false">
      <c r="A57" s="412" t="s">
        <v>401</v>
      </c>
      <c r="B57" s="404" t="n">
        <f aca="false">B36+B44+B27</f>
        <v>6960.0063927631</v>
      </c>
      <c r="C57" s="404" t="n">
        <f aca="false">C36+C44+C27</f>
        <v>10165.6016789464</v>
      </c>
      <c r="D57" s="404" t="n">
        <f aca="false">D36+D44+D27</f>
        <v>9781.59067856869</v>
      </c>
      <c r="E57" s="404" t="n">
        <f aca="false">E36+E44+E27</f>
        <v>9361.88303361132</v>
      </c>
      <c r="F57" s="404" t="n">
        <f aca="false">F36+F44+F27</f>
        <v>8912.29307382414</v>
      </c>
      <c r="G57" s="404" t="n">
        <f aca="false">G36+G44+G27</f>
        <v>8434.64674513752</v>
      </c>
      <c r="H57" s="404" t="n">
        <f aca="false">H36+H44+H27</f>
        <v>7925.14958328639</v>
      </c>
      <c r="I57" s="404" t="n">
        <f aca="false">I36+I44+I27</f>
        <v>7382.89776819148</v>
      </c>
      <c r="J57" s="404" t="n">
        <f aca="false">J36+J44+J27</f>
        <v>6802.18004387841</v>
      </c>
      <c r="K57" s="404" t="n">
        <f aca="false">K36+K44+K27</f>
        <v>6184.32061321583</v>
      </c>
      <c r="L57" s="404" t="n">
        <f aca="false">L36+L44+L27</f>
        <v>5524.80306033668</v>
      </c>
      <c r="M57" s="404" t="n">
        <f aca="false">M36+M44+M27</f>
        <v>4822.07039112343</v>
      </c>
      <c r="N57" s="404" t="n">
        <f aca="false">N36+N44+N27</f>
        <v>4069.58284061547</v>
      </c>
      <c r="O57" s="404" t="n">
        <f aca="false">O36+O44+O27</f>
        <v>3268.01009988115</v>
      </c>
      <c r="P57" s="404" t="n">
        <f aca="false">P36+P44+P27</f>
        <v>2411.88310158611</v>
      </c>
      <c r="Q57" s="404" t="n">
        <f aca="false">Q36+Q44+Q27</f>
        <v>1498.78728036484</v>
      </c>
      <c r="R57" s="404" t="n">
        <f aca="false">R36+R44+R27</f>
        <v>521.086292683217</v>
      </c>
      <c r="S57" s="404" t="n">
        <f aca="false">S36+S44+S27</f>
        <v>3.1711510698773</v>
      </c>
      <c r="T57" s="404" t="n">
        <f aca="false">T36+T44+T27</f>
        <v>0</v>
      </c>
      <c r="U57" s="404" t="n">
        <f aca="false">U36+U44+U27</f>
        <v>0</v>
      </c>
      <c r="V57" s="404" t="n">
        <f aca="false">V36+V44+V27</f>
        <v>0</v>
      </c>
      <c r="W57" s="404" t="n">
        <f aca="false">W36+W44+W27</f>
        <v>0</v>
      </c>
      <c r="X57" s="404" t="n">
        <f aca="false">X36+X44+X27</f>
        <v>0</v>
      </c>
      <c r="Y57" s="404" t="n">
        <f aca="false">Y36+Y44+Y27</f>
        <v>0</v>
      </c>
      <c r="Z57" s="404" t="n">
        <f aca="false">Z36+Z44+Z27</f>
        <v>0</v>
      </c>
      <c r="AA57" s="404" t="n">
        <f aca="false">AA36+AA44+AA27</f>
        <v>0</v>
      </c>
      <c r="AB57" s="404" t="n">
        <f aca="false">AB36+AB44+AB27</f>
        <v>0</v>
      </c>
      <c r="AC57" s="404" t="n">
        <f aca="false">AC36+AC44+AC27</f>
        <v>0</v>
      </c>
      <c r="AD57" s="404" t="n">
        <f aca="false">AD36+AD44+AD27</f>
        <v>0</v>
      </c>
      <c r="AE57" s="404" t="n">
        <f aca="false">AE36+AE44+AE27</f>
        <v>0</v>
      </c>
      <c r="AF57" s="404" t="n">
        <f aca="false">AF36+AF44+AF27</f>
        <v>0</v>
      </c>
    </row>
    <row r="58" customFormat="false" ht="12.75" hidden="false" customHeight="false" outlineLevel="0" collapsed="false">
      <c r="A58" s="413" t="s">
        <v>486</v>
      </c>
      <c r="B58" s="413" t="n">
        <f aca="false">SUM(B56:B57)</f>
        <v>8635.82523748519</v>
      </c>
      <c r="C58" s="413" t="n">
        <f aca="false">SUM(C56:C57)</f>
        <v>15322.6990693481</v>
      </c>
      <c r="D58" s="413" t="n">
        <f aca="false">SUM(D56:D57)</f>
        <v>15603.34007771</v>
      </c>
      <c r="E58" s="413" t="n">
        <f aca="false">SUM(E56:E57)</f>
        <v>15568.4588583523</v>
      </c>
      <c r="F58" s="413" t="n">
        <f aca="false">SUM(F56:F57)</f>
        <v>15519.324407961</v>
      </c>
      <c r="G58" s="413" t="n">
        <f aca="false">SUM(G56:G57)</f>
        <v>15482.1546174734</v>
      </c>
      <c r="H58" s="413" t="n">
        <f aca="false">SUM(H56:H57)</f>
        <v>15439.405065382</v>
      </c>
      <c r="I58" s="413" t="n">
        <f aca="false">SUM(I56:I57)</f>
        <v>15401.0556671531</v>
      </c>
      <c r="J58" s="413" t="n">
        <f aca="false">SUM(J56:J57)</f>
        <v>15344.4260923194</v>
      </c>
      <c r="K58" s="413" t="n">
        <f aca="false">SUM(K56:K57)</f>
        <v>15303.3783226305</v>
      </c>
      <c r="L58" s="413" t="n">
        <f aca="false">SUM(L56:L57)</f>
        <v>15255.2519727527</v>
      </c>
      <c r="M58" s="413" t="n">
        <f aca="false">SUM(M56:M57)</f>
        <v>15212.961143314</v>
      </c>
      <c r="N58" s="413" t="n">
        <f aca="false">SUM(N56:N57)</f>
        <v>15147.1267206258</v>
      </c>
      <c r="O58" s="413" t="n">
        <f aca="false">SUM(O56:O57)</f>
        <v>15101.6234918963</v>
      </c>
      <c r="P58" s="413" t="n">
        <f aca="false">SUM(P56:P57)</f>
        <v>15047.0901138856</v>
      </c>
      <c r="Q58" s="413" t="n">
        <f aca="false">SUM(Q56:Q57)</f>
        <v>15000.2862314456</v>
      </c>
      <c r="R58" s="413" t="n">
        <f aca="false">SUM(R56:R57)</f>
        <v>14923.0503825883</v>
      </c>
      <c r="S58" s="413" t="n">
        <f aca="false">SUM(S56:S57)</f>
        <v>184.877609547933</v>
      </c>
      <c r="T58" s="413" t="n">
        <f aca="false">SUM(T56:T57)</f>
        <v>0</v>
      </c>
      <c r="U58" s="413" t="n">
        <f aca="false">SUM(U56:U57)</f>
        <v>0</v>
      </c>
      <c r="V58" s="413" t="n">
        <f aca="false">SUM(V56:V57)</f>
        <v>0</v>
      </c>
      <c r="W58" s="413" t="n">
        <f aca="false">SUM(W56:W57)</f>
        <v>0</v>
      </c>
      <c r="X58" s="413" t="n">
        <f aca="false">SUM(X56:X57)</f>
        <v>0</v>
      </c>
      <c r="Y58" s="413" t="n">
        <f aca="false">SUM(Y56:Y57)</f>
        <v>0</v>
      </c>
      <c r="Z58" s="413" t="n">
        <f aca="false">SUM(Z56:Z57)</f>
        <v>0</v>
      </c>
      <c r="AA58" s="413" t="n">
        <f aca="false">SUM(AA56:AA57)</f>
        <v>0</v>
      </c>
      <c r="AB58" s="413" t="n">
        <f aca="false">SUM(AB56:AB57)</f>
        <v>0</v>
      </c>
      <c r="AC58" s="413" t="n">
        <f aca="false">SUM(AC56:AC57)</f>
        <v>0</v>
      </c>
      <c r="AD58" s="413" t="n">
        <f aca="false">SUM(AD56:AD57)</f>
        <v>0</v>
      </c>
      <c r="AE58" s="413" t="n">
        <f aca="false">SUM(AE56:AE57)</f>
        <v>0</v>
      </c>
      <c r="AF58" s="413" t="n">
        <f aca="false">SUM(AF56:AF57)</f>
        <v>0</v>
      </c>
      <c r="AG58" s="413"/>
      <c r="AH58" s="413"/>
      <c r="AI58" s="413"/>
      <c r="AJ58" s="413"/>
      <c r="AK58" s="413"/>
      <c r="AL58" s="413"/>
      <c r="AM58" s="413"/>
    </row>
    <row r="59" customFormat="false" ht="12.75" hidden="false" customHeight="false" outlineLevel="0" collapsed="false">
      <c r="A59" s="417"/>
      <c r="B59" s="418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388"/>
      <c r="AH59" s="388"/>
      <c r="AI59" s="388"/>
      <c r="AJ59" s="388"/>
      <c r="AK59" s="388"/>
      <c r="AL59" s="388"/>
      <c r="AM59" s="388"/>
    </row>
    <row r="60" customFormat="false" ht="12.75" hidden="false" customHeight="false" outlineLevel="0" collapsed="false">
      <c r="A60" s="417"/>
      <c r="B60" s="420"/>
      <c r="C60" s="420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388"/>
      <c r="AH60" s="388"/>
      <c r="AI60" s="388"/>
      <c r="AJ60" s="388"/>
      <c r="AK60" s="388"/>
      <c r="AL60" s="388"/>
      <c r="AM60" s="388"/>
    </row>
    <row r="61" customFormat="false" ht="12.75" hidden="false" customHeight="false" outlineLevel="0" collapsed="false">
      <c r="B61" s="421" t="s">
        <v>489</v>
      </c>
      <c r="C61" s="421"/>
      <c r="D61" s="421"/>
      <c r="E61" s="421"/>
      <c r="F61" s="388"/>
      <c r="K61" s="388"/>
      <c r="L61" s="388"/>
      <c r="M61" s="422"/>
      <c r="N61" s="388"/>
      <c r="O61" s="388"/>
      <c r="P61" s="7"/>
      <c r="Q61" s="7"/>
      <c r="R61" s="7"/>
      <c r="S61" s="388"/>
      <c r="T61" s="388"/>
      <c r="U61" s="388"/>
      <c r="V61" s="388"/>
      <c r="X61" s="388"/>
      <c r="Z61" s="388"/>
      <c r="AA61" s="1"/>
      <c r="AB61" s="388"/>
      <c r="AD61" s="388"/>
      <c r="AF61" s="388"/>
      <c r="AG61" s="388"/>
      <c r="AH61" s="388"/>
      <c r="AI61" s="388"/>
      <c r="AJ61" s="388"/>
      <c r="AK61" s="388"/>
      <c r="AL61" s="388"/>
      <c r="AM61" s="388"/>
    </row>
    <row r="62" customFormat="false" ht="12.75" hidden="false" customHeight="false" outlineLevel="0" collapsed="false">
      <c r="B62" s="423" t="s">
        <v>490</v>
      </c>
      <c r="C62" s="106"/>
      <c r="D62" s="106"/>
      <c r="E62" s="424" t="n">
        <f aca="false">Assumptions!G37</f>
        <v>0.06</v>
      </c>
      <c r="F62" s="417"/>
      <c r="K62" s="417"/>
      <c r="L62" s="417"/>
      <c r="M62" s="417"/>
      <c r="N62" s="417"/>
      <c r="O62" s="417"/>
      <c r="P62" s="7"/>
      <c r="Q62" s="7"/>
      <c r="R62" s="7"/>
      <c r="S62" s="388"/>
      <c r="T62" s="388"/>
      <c r="U62" s="388"/>
      <c r="V62" s="388"/>
      <c r="X62" s="388"/>
      <c r="Z62" s="388"/>
      <c r="AA62" s="1"/>
      <c r="AB62" s="388"/>
      <c r="AD62" s="388"/>
      <c r="AF62" s="388"/>
      <c r="AG62" s="388"/>
      <c r="AH62" s="388"/>
      <c r="AI62" s="388"/>
      <c r="AJ62" s="388"/>
      <c r="AK62" s="388"/>
      <c r="AL62" s="388"/>
      <c r="AM62" s="388"/>
    </row>
    <row r="63" customFormat="false" ht="12.75" hidden="false" customHeight="false" outlineLevel="0" collapsed="false">
      <c r="B63" s="114" t="s">
        <v>183</v>
      </c>
      <c r="C63" s="31"/>
      <c r="D63" s="31"/>
      <c r="E63" s="425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402"/>
      <c r="B64" s="120" t="s">
        <v>491</v>
      </c>
      <c r="C64" s="121"/>
      <c r="D64" s="121"/>
      <c r="E64" s="426" t="n">
        <f aca="false">E63+E62</f>
        <v>0.07</v>
      </c>
      <c r="AA64" s="1"/>
      <c r="AB64" s="1"/>
    </row>
    <row r="65" customFormat="false" ht="12.75" hidden="false" customHeight="false" outlineLevel="0" collapsed="false">
      <c r="B65" s="427" t="s">
        <v>492</v>
      </c>
      <c r="C65" s="106"/>
      <c r="D65" s="106"/>
      <c r="E65" s="428" t="n">
        <f aca="false">Assumptions!G33</f>
        <v>30</v>
      </c>
      <c r="AA65" s="1"/>
      <c r="AB65" s="1"/>
    </row>
    <row r="66" customFormat="false" ht="12.75" hidden="false" customHeight="false" outlineLevel="0" collapsed="false">
      <c r="B66" s="429" t="s">
        <v>493</v>
      </c>
      <c r="C66" s="31"/>
      <c r="D66" s="31"/>
      <c r="E66" s="430" t="n">
        <f aca="false">B77</f>
        <v>10.0112297427901</v>
      </c>
      <c r="AA66" s="1"/>
      <c r="AB66" s="1"/>
    </row>
    <row r="67" customFormat="false" ht="12.75" hidden="false" customHeight="false" outlineLevel="0" collapsed="false">
      <c r="B67" s="120" t="s">
        <v>494</v>
      </c>
      <c r="C67" s="121"/>
      <c r="D67" s="121"/>
      <c r="E67" s="431" t="n">
        <f aca="false">B33</f>
        <v>149462.371252787</v>
      </c>
      <c r="AA67" s="1"/>
      <c r="AB67" s="1"/>
    </row>
    <row r="68" customFormat="false" ht="12.75" hidden="false" customHeight="false" outlineLevel="0" collapsed="false">
      <c r="B68" s="105" t="s">
        <v>62</v>
      </c>
      <c r="C68" s="106"/>
      <c r="D68" s="106" t="s">
        <v>495</v>
      </c>
      <c r="E68" s="432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433"/>
      <c r="C69" s="121"/>
      <c r="D69" s="121" t="s">
        <v>496</v>
      </c>
      <c r="E69" s="434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02"/>
      <c r="AA70" s="1"/>
      <c r="AB70" s="1"/>
    </row>
    <row r="71" customFormat="false" ht="12.75" hidden="false" customHeight="false" outlineLevel="0" collapsed="false">
      <c r="B71" s="402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71" t="s">
        <v>497</v>
      </c>
      <c r="B74" s="233" t="n">
        <v>0</v>
      </c>
      <c r="C74" s="233" t="n">
        <f aca="false">(C32-$B$32)/365.25</f>
        <v>0.999315537303217</v>
      </c>
      <c r="D74" s="233" t="n">
        <f aca="false">(D32-$B$32)/365.25</f>
        <v>1.99863107460643</v>
      </c>
      <c r="E74" s="233" t="n">
        <f aca="false">(E32-$B$32)/365.25</f>
        <v>3.00068446269678</v>
      </c>
      <c r="F74" s="233" t="n">
        <f aca="false">(F32-$B$32)/365.25</f>
        <v>4</v>
      </c>
      <c r="G74" s="233" t="n">
        <f aca="false">(G32-$B$32)/365.25</f>
        <v>4.99931553730322</v>
      </c>
      <c r="H74" s="233" t="n">
        <f aca="false">(H32-$B$32)/365.25</f>
        <v>5.99863107460643</v>
      </c>
      <c r="I74" s="233" t="n">
        <f aca="false">(I32-$B$32)/365.25</f>
        <v>7.00068446269678</v>
      </c>
      <c r="J74" s="233" t="n">
        <f aca="false">(J32-$B$32)/365.25</f>
        <v>8</v>
      </c>
      <c r="K74" s="233" t="n">
        <f aca="false">(K32-$B$32)/365.25</f>
        <v>8.99931553730322</v>
      </c>
      <c r="L74" s="233" t="n">
        <f aca="false">(L32-$B$32)/365.25</f>
        <v>9.99863107460643</v>
      </c>
      <c r="M74" s="233" t="n">
        <f aca="false">(M32-$B$32)/365.25</f>
        <v>11.0006844626968</v>
      </c>
      <c r="N74" s="233" t="n">
        <f aca="false">(N32-$B$32)/365.25</f>
        <v>12</v>
      </c>
      <c r="O74" s="233" t="n">
        <f aca="false">(O32-$B$32)/365.25</f>
        <v>12.9993155373032</v>
      </c>
      <c r="P74" s="233" t="n">
        <f aca="false">(P32-$B$32)/365.25</f>
        <v>13.9986310746064</v>
      </c>
      <c r="Q74" s="233" t="n">
        <f aca="false">(Q32-$B$32)/365.25</f>
        <v>15.0006844626968</v>
      </c>
      <c r="R74" s="233" t="n">
        <f aca="false">(R32-$B$32)/365.25</f>
        <v>16</v>
      </c>
      <c r="S74" s="233" t="n">
        <f aca="false">(S32-$B$32)/365.25</f>
        <v>16.9993155373032</v>
      </c>
      <c r="T74" s="233" t="n">
        <f aca="false">(T32-$B$32)/365.25</f>
        <v>17.9986310746064</v>
      </c>
      <c r="U74" s="233" t="n">
        <f aca="false">(U32-$B$32)/365.25</f>
        <v>19.0006844626968</v>
      </c>
      <c r="V74" s="233" t="n">
        <f aca="false">(V32-$B$32)/365.25</f>
        <v>20</v>
      </c>
      <c r="W74" s="233" t="n">
        <f aca="false">(W32-$B$32)/365.25</f>
        <v>20.9993155373032</v>
      </c>
      <c r="X74" s="233" t="n">
        <f aca="false">(X32-$B$32)/365.25</f>
        <v>21.9986310746064</v>
      </c>
      <c r="Y74" s="233" t="n">
        <f aca="false">(Y32-$B$32)/365.25</f>
        <v>23.0006844626968</v>
      </c>
      <c r="Z74" s="233" t="n">
        <f aca="false">(Z32-$B$32)/365.25</f>
        <v>24</v>
      </c>
      <c r="AA74" s="233" t="n">
        <f aca="false">(AA32-$B$32)/365.25</f>
        <v>24.9993155373032</v>
      </c>
      <c r="AB74" s="233" t="n">
        <f aca="false">(AB32-$B$32)/365.25</f>
        <v>25.9986310746064</v>
      </c>
      <c r="AC74" s="233" t="n">
        <f aca="false">(AC32-$B$32)/365.25</f>
        <v>27.0006844626968</v>
      </c>
      <c r="AD74" s="233" t="n">
        <f aca="false">(AD32-$B$32)/365.25</f>
        <v>28</v>
      </c>
      <c r="AE74" s="233" t="n">
        <f aca="false">(AE32-$B$32)/365.25</f>
        <v>28.9993155373032</v>
      </c>
      <c r="AF74" s="233" t="n">
        <f aca="false">(AF32-$B$32)/365.25</f>
        <v>29.5797399041752</v>
      </c>
      <c r="AG74" s="435"/>
      <c r="AH74" s="435"/>
      <c r="AI74" s="435"/>
      <c r="AJ74" s="435"/>
      <c r="AK74" s="435"/>
      <c r="AL74" s="435"/>
      <c r="AM74" s="435"/>
      <c r="AN74" s="435"/>
      <c r="AO74" s="435"/>
      <c r="AP74" s="435"/>
      <c r="AQ74" s="435"/>
    </row>
    <row r="75" customFormat="false" ht="12.75" hidden="false" customHeight="false" outlineLevel="0" collapsed="false">
      <c r="B75" s="233" t="n">
        <f aca="false">(C23-$B$32)/365.25</f>
        <v>0.498288843258042</v>
      </c>
      <c r="C75" s="233" t="n">
        <f aca="false">(D23-$B$32)/365.25</f>
        <v>1.49760438056126</v>
      </c>
      <c r="D75" s="233" t="n">
        <f aca="false">(E23-$B$32)/365.25</f>
        <v>2.49965776865161</v>
      </c>
      <c r="E75" s="233" t="n">
        <f aca="false">(F23-$B$32)/365.25</f>
        <v>3.49897330595483</v>
      </c>
      <c r="F75" s="233" t="n">
        <f aca="false">(G23-$B$32)/365.25</f>
        <v>4.49828884325804</v>
      </c>
      <c r="G75" s="233" t="n">
        <f aca="false">(H23-$B$32)/365.25</f>
        <v>5.49760438056126</v>
      </c>
      <c r="H75" s="233" t="n">
        <f aca="false">(I23-$B$32)/365.25</f>
        <v>6.49965776865161</v>
      </c>
      <c r="I75" s="233" t="n">
        <f aca="false">(J23-$B$32)/365.25</f>
        <v>7.49897330595483</v>
      </c>
      <c r="J75" s="233" t="n">
        <f aca="false">(K23-$B$32)/365.25</f>
        <v>8.49828884325804</v>
      </c>
      <c r="K75" s="233" t="n">
        <f aca="false">(L23-$B$32)/365.25</f>
        <v>9.49760438056126</v>
      </c>
      <c r="L75" s="233" t="n">
        <f aca="false">(M23-$B$32)/365.25</f>
        <v>10.4996577686516</v>
      </c>
      <c r="M75" s="233" t="n">
        <f aca="false">(N23-$B$32)/365.25</f>
        <v>11.4989733059548</v>
      </c>
      <c r="N75" s="233" t="n">
        <f aca="false">(O23-$B$32)/365.25</f>
        <v>12.498288843258</v>
      </c>
      <c r="O75" s="233" t="n">
        <f aca="false">(P23-$B$32)/365.25</f>
        <v>13.4976043805613</v>
      </c>
      <c r="P75" s="233" t="n">
        <f aca="false">(Q23-$B$32)/365.25</f>
        <v>14.4996577686516</v>
      </c>
      <c r="Q75" s="233" t="n">
        <f aca="false">(R23-$B$32)/365.25</f>
        <v>15.4989733059548</v>
      </c>
      <c r="R75" s="233" t="n">
        <f aca="false">(S23-$B$32)/365.25</f>
        <v>16.498288843258</v>
      </c>
      <c r="S75" s="233" t="n">
        <f aca="false">(T23-$B$32)/365.25</f>
        <v>17.4976043805613</v>
      </c>
      <c r="T75" s="233" t="n">
        <f aca="false">(U23-$B$32)/365.25</f>
        <v>18.4996577686516</v>
      </c>
      <c r="U75" s="233" t="n">
        <f aca="false">(V23-$B$32)/365.25</f>
        <v>19.4989733059548</v>
      </c>
      <c r="V75" s="233" t="n">
        <f aca="false">(W23-$B$32)/365.25</f>
        <v>20.498288843258</v>
      </c>
      <c r="W75" s="233" t="n">
        <f aca="false">(X23-$B$32)/365.25</f>
        <v>21.4976043805613</v>
      </c>
      <c r="X75" s="233" t="n">
        <f aca="false">(Y23-$B$32)/365.25</f>
        <v>22.4996577686516</v>
      </c>
      <c r="Y75" s="233" t="n">
        <f aca="false">(Z23-$B$32)/365.25</f>
        <v>23.4989733059548</v>
      </c>
      <c r="Z75" s="233" t="n">
        <f aca="false">(AA23-$B$32)/365.25</f>
        <v>24.498288843258</v>
      </c>
      <c r="AA75" s="233" t="n">
        <f aca="false">(AB23-$B$32)/365.25</f>
        <v>25.4976043805613</v>
      </c>
      <c r="AB75" s="233" t="n">
        <f aca="false">(AC23-$B$32)/365.25</f>
        <v>26.4996577686516</v>
      </c>
      <c r="AC75" s="233" t="n">
        <f aca="false">(AD23-$B$32)/365.25</f>
        <v>27.4989733059548</v>
      </c>
      <c r="AD75" s="233" t="n">
        <f aca="false">(AE23-$B$32)/365.25</f>
        <v>28.498288843258</v>
      </c>
      <c r="AE75" s="233" t="n">
        <f aca="false">(AF23-$B$32)/365.25</f>
        <v>29.4976043805613</v>
      </c>
      <c r="AF75" s="233" t="n">
        <f aca="false">(AG23-$B$32)/365.25</f>
        <v>29.5797399041752</v>
      </c>
      <c r="AG75" s="233"/>
      <c r="AH75" s="233"/>
      <c r="AI75" s="233"/>
      <c r="AJ75" s="233"/>
      <c r="AK75" s="233"/>
      <c r="AL75" s="233"/>
      <c r="AM75" s="233"/>
      <c r="AN75" s="233"/>
      <c r="AO75" s="402"/>
      <c r="AP75" s="402"/>
    </row>
    <row r="76" customFormat="false" ht="12.75" hidden="false" customHeight="false" outlineLevel="0" collapsed="false"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402"/>
      <c r="AP76" s="402"/>
    </row>
    <row r="77" customFormat="false" ht="12.75" hidden="false" customHeight="false" outlineLevel="0" collapsed="false">
      <c r="A77" s="271" t="s">
        <v>498</v>
      </c>
      <c r="B77" s="436" t="n">
        <f aca="false">(SUMPRODUCT(B74:AF74,B35:AF35)+SUMPRODUCT(B75:AF75,B26:AF26))/E67</f>
        <v>10.0112297427901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customFormat="false" ht="12.75" hidden="false" customHeight="false" outlineLevel="0" collapsed="false"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37"/>
      <c r="AB78" s="437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38"/>
      <c r="AB79" s="438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11.85"/>
    <col collapsed="false" customWidth="true" hidden="false" outlineLevel="0" max="3" min="3" style="439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499</v>
      </c>
    </row>
    <row r="5" customFormat="false" ht="12.75" hidden="false" customHeight="false" outlineLevel="0" collapsed="false">
      <c r="Z5" s="440"/>
    </row>
    <row r="6" customFormat="false" ht="12.75" hidden="false" customHeight="false" outlineLevel="0" collapsed="false">
      <c r="D6" s="254" t="n">
        <f aca="false">'Price_Technical Assumption'!D7</f>
        <v>0.666666666666667</v>
      </c>
      <c r="E6" s="254" t="n">
        <f aca="false">'Price_Technical Assumption'!E7</f>
        <v>1.66666666666667</v>
      </c>
      <c r="F6" s="254" t="n">
        <f aca="false">'Price_Technical Assumption'!F7</f>
        <v>2.66666666666667</v>
      </c>
      <c r="G6" s="254" t="n">
        <f aca="false">'Price_Technical Assumption'!G7</f>
        <v>3.66666666666667</v>
      </c>
      <c r="H6" s="254" t="n">
        <f aca="false">'Price_Technical Assumption'!H7</f>
        <v>4.66666666666667</v>
      </c>
      <c r="I6" s="254" t="n">
        <f aca="false">'Price_Technical Assumption'!I7</f>
        <v>5.66666666666667</v>
      </c>
      <c r="J6" s="254" t="n">
        <f aca="false">'Price_Technical Assumption'!J7</f>
        <v>6.66666666666667</v>
      </c>
      <c r="K6" s="254" t="n">
        <f aca="false">'Price_Technical Assumption'!K7</f>
        <v>7.66666666666667</v>
      </c>
      <c r="L6" s="254" t="n">
        <f aca="false">'Price_Technical Assumption'!L7</f>
        <v>8.66666666666667</v>
      </c>
      <c r="M6" s="254" t="n">
        <f aca="false">'Price_Technical Assumption'!M7</f>
        <v>9.66666666666667</v>
      </c>
      <c r="N6" s="254" t="n">
        <f aca="false">'Price_Technical Assumption'!N7</f>
        <v>10.6666666666667</v>
      </c>
      <c r="O6" s="254" t="n">
        <f aca="false">'Price_Technical Assumption'!O7</f>
        <v>11.6666666666667</v>
      </c>
      <c r="P6" s="254" t="n">
        <f aca="false">'Price_Technical Assumption'!P7</f>
        <v>12.6666666666667</v>
      </c>
      <c r="Q6" s="254" t="n">
        <f aca="false">'Price_Technical Assumption'!Q7</f>
        <v>13.6666666666667</v>
      </c>
      <c r="R6" s="254" t="n">
        <f aca="false">'Price_Technical Assumption'!R7</f>
        <v>14.6666666666667</v>
      </c>
      <c r="S6" s="254" t="n">
        <f aca="false">'Price_Technical Assumption'!S7</f>
        <v>15.6666666666667</v>
      </c>
      <c r="T6" s="254" t="n">
        <f aca="false">'Price_Technical Assumption'!T7</f>
        <v>16.6666666666667</v>
      </c>
      <c r="U6" s="254" t="n">
        <f aca="false">'Price_Technical Assumption'!U7</f>
        <v>17.6666666666667</v>
      </c>
      <c r="V6" s="254" t="n">
        <f aca="false">'Price_Technical Assumption'!V7</f>
        <v>18.6666666666667</v>
      </c>
      <c r="W6" s="254" t="n">
        <f aca="false">'Price_Technical Assumption'!W7</f>
        <v>19.6666666666667</v>
      </c>
      <c r="X6" s="254" t="n">
        <f aca="false">'Price_Technical Assumption'!X7</f>
        <v>20.6666666666667</v>
      </c>
      <c r="Y6" s="254" t="n">
        <f aca="false">'Price_Technical Assumption'!Y7</f>
        <v>21.6666666666667</v>
      </c>
      <c r="Z6" s="254" t="n">
        <f aca="false">'Price_Technical Assumption'!Z7</f>
        <v>22.6666666666667</v>
      </c>
      <c r="AA6" s="254" t="n">
        <f aca="false">'Price_Technical Assumption'!AA7</f>
        <v>23.6666666666667</v>
      </c>
      <c r="AB6" s="254" t="n">
        <f aca="false">'Price_Technical Assumption'!AB7</f>
        <v>24.6666666666667</v>
      </c>
      <c r="AC6" s="254" t="n">
        <f aca="false">'Price_Technical Assumption'!AC7</f>
        <v>25.6666666666667</v>
      </c>
      <c r="AD6" s="254" t="n">
        <f aca="false">'Price_Technical Assumption'!AD7</f>
        <v>26.6666666666667</v>
      </c>
      <c r="AE6" s="254" t="n">
        <f aca="false">'Price_Technical Assumption'!AE7</f>
        <v>27.6666666666667</v>
      </c>
      <c r="AF6" s="254" t="n">
        <f aca="false">'Price_Technical Assumption'!AF7</f>
        <v>28.6666666666667</v>
      </c>
      <c r="AG6" s="254" t="n">
        <f aca="false">'Price_Technical Assumption'!AG7</f>
        <v>29.6666666666667</v>
      </c>
      <c r="AH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382</v>
      </c>
      <c r="B7" s="441"/>
      <c r="C7" s="441"/>
      <c r="D7" s="303" t="n">
        <f aca="false">'Price_Technical Assumption'!D8</f>
        <v>2001</v>
      </c>
      <c r="E7" s="303" t="n">
        <f aca="false">'Price_Technical Assumption'!E8</f>
        <v>2002</v>
      </c>
      <c r="F7" s="303" t="n">
        <f aca="false">'Price_Technical Assumption'!F8</f>
        <v>2003</v>
      </c>
      <c r="G7" s="303" t="n">
        <f aca="false">'Price_Technical Assumption'!G8</f>
        <v>2004</v>
      </c>
      <c r="H7" s="303" t="n">
        <f aca="false">'Price_Technical Assumption'!H8</f>
        <v>2005</v>
      </c>
      <c r="I7" s="303" t="n">
        <f aca="false">'Price_Technical Assumption'!I8</f>
        <v>2006</v>
      </c>
      <c r="J7" s="303" t="n">
        <f aca="false">'Price_Technical Assumption'!J8</f>
        <v>2007</v>
      </c>
      <c r="K7" s="303" t="n">
        <f aca="false">'Price_Technical Assumption'!K8</f>
        <v>2008</v>
      </c>
      <c r="L7" s="303" t="n">
        <f aca="false">'Price_Technical Assumption'!L8</f>
        <v>2009</v>
      </c>
      <c r="M7" s="303" t="n">
        <f aca="false">'Price_Technical Assumption'!M8</f>
        <v>2010</v>
      </c>
      <c r="N7" s="303" t="n">
        <f aca="false">'Price_Technical Assumption'!N8</f>
        <v>2011</v>
      </c>
      <c r="O7" s="303" t="n">
        <f aca="false">'Price_Technical Assumption'!O8</f>
        <v>2012</v>
      </c>
      <c r="P7" s="303" t="n">
        <f aca="false">'Price_Technical Assumption'!P8</f>
        <v>2013</v>
      </c>
      <c r="Q7" s="303" t="n">
        <f aca="false">'Price_Technical Assumption'!Q8</f>
        <v>2014</v>
      </c>
      <c r="R7" s="303" t="n">
        <f aca="false">'Price_Technical Assumption'!R8</f>
        <v>2015</v>
      </c>
      <c r="S7" s="303" t="n">
        <f aca="false">'Price_Technical Assumption'!S8</f>
        <v>2016</v>
      </c>
      <c r="T7" s="303" t="n">
        <f aca="false">'Price_Technical Assumption'!T8</f>
        <v>2017</v>
      </c>
      <c r="U7" s="303" t="n">
        <f aca="false">'Price_Technical Assumption'!U8</f>
        <v>2018</v>
      </c>
      <c r="V7" s="303" t="n">
        <f aca="false">'Price_Technical Assumption'!V8</f>
        <v>2019</v>
      </c>
      <c r="W7" s="303" t="n">
        <f aca="false">'Price_Technical Assumption'!W8</f>
        <v>2020</v>
      </c>
      <c r="X7" s="303" t="n">
        <f aca="false">'Price_Technical Assumption'!X8</f>
        <v>2021</v>
      </c>
      <c r="Y7" s="303" t="n">
        <f aca="false">'Price_Technical Assumption'!Y8</f>
        <v>2022</v>
      </c>
      <c r="Z7" s="303" t="n">
        <f aca="false">'Price_Technical Assumption'!Z8</f>
        <v>2023</v>
      </c>
      <c r="AA7" s="303" t="n">
        <f aca="false">'Price_Technical Assumption'!AA8</f>
        <v>2024</v>
      </c>
      <c r="AB7" s="303" t="n">
        <f aca="false">'Price_Technical Assumption'!AB8</f>
        <v>2025</v>
      </c>
      <c r="AC7" s="303" t="n">
        <f aca="false">'Price_Technical Assumption'!AC8</f>
        <v>2026</v>
      </c>
      <c r="AD7" s="303" t="n">
        <f aca="false">'Price_Technical Assumption'!AD8</f>
        <v>2027</v>
      </c>
      <c r="AE7" s="303" t="n">
        <f aca="false">'Price_Technical Assumption'!AE8</f>
        <v>2028</v>
      </c>
      <c r="AF7" s="303" t="n">
        <f aca="false">'Price_Technical Assumption'!AF8</f>
        <v>2029</v>
      </c>
      <c r="AG7" s="303" t="n">
        <f aca="false">'Price_Technical Assumption'!AG8</f>
        <v>2030</v>
      </c>
      <c r="AH7" s="303" t="n">
        <f aca="false">'Price_Technical Assumption'!AH8</f>
        <v>2031</v>
      </c>
      <c r="AI7" s="442"/>
      <c r="AJ7" s="442"/>
      <c r="AK7" s="442"/>
      <c r="AL7" s="442"/>
      <c r="AM7" s="442"/>
      <c r="AN7" s="442"/>
      <c r="AO7" s="442"/>
      <c r="AP7" s="442"/>
      <c r="AQ7" s="442"/>
      <c r="AR7" s="442"/>
      <c r="AS7" s="442"/>
      <c r="AT7" s="442"/>
      <c r="AU7" s="442"/>
      <c r="AV7" s="442"/>
      <c r="AW7" s="442"/>
      <c r="AX7" s="442"/>
      <c r="AY7" s="442"/>
      <c r="AZ7" s="442"/>
      <c r="BA7" s="442"/>
      <c r="BB7" s="442"/>
      <c r="BC7" s="442"/>
      <c r="BD7" s="442"/>
      <c r="BE7" s="442"/>
      <c r="BF7" s="442"/>
      <c r="BG7" s="442"/>
      <c r="BH7" s="442"/>
      <c r="BI7" s="442"/>
      <c r="BJ7" s="442"/>
      <c r="BK7" s="442"/>
      <c r="BL7" s="442"/>
      <c r="BM7" s="442"/>
      <c r="BN7" s="442"/>
      <c r="BO7" s="442"/>
      <c r="BP7" s="442"/>
      <c r="BQ7" s="442"/>
      <c r="BR7" s="442"/>
      <c r="BS7" s="442"/>
      <c r="BT7" s="442"/>
      <c r="BU7" s="442"/>
      <c r="BV7" s="442"/>
      <c r="BW7" s="442"/>
      <c r="BX7" s="442"/>
      <c r="BY7" s="442"/>
      <c r="BZ7" s="442"/>
      <c r="CA7" s="442"/>
      <c r="CB7" s="442"/>
      <c r="CC7" s="442"/>
      <c r="CD7" s="442"/>
      <c r="CE7" s="442"/>
      <c r="CF7" s="442"/>
      <c r="CG7" s="442"/>
      <c r="CH7" s="442"/>
      <c r="CI7" s="442"/>
      <c r="CJ7" s="442"/>
      <c r="CK7" s="442"/>
      <c r="CL7" s="442"/>
      <c r="CM7" s="442"/>
      <c r="CN7" s="442"/>
      <c r="CO7" s="442"/>
      <c r="CP7" s="442"/>
      <c r="CQ7" s="442"/>
      <c r="CR7" s="442"/>
      <c r="CS7" s="442"/>
      <c r="CT7" s="442"/>
      <c r="CU7" s="442"/>
      <c r="CV7" s="442"/>
      <c r="CW7" s="442"/>
      <c r="CX7" s="442"/>
      <c r="CY7" s="442"/>
      <c r="CZ7" s="442"/>
      <c r="DA7" s="442"/>
      <c r="DB7" s="442"/>
      <c r="DC7" s="442"/>
      <c r="DD7" s="442"/>
      <c r="DE7" s="442"/>
      <c r="DF7" s="442"/>
      <c r="DG7" s="442"/>
      <c r="DH7" s="442"/>
      <c r="DI7" s="442"/>
      <c r="DJ7" s="442"/>
      <c r="DK7" s="442"/>
      <c r="DL7" s="442"/>
      <c r="DM7" s="442"/>
      <c r="DN7" s="442"/>
      <c r="DO7" s="442"/>
      <c r="DP7" s="442"/>
      <c r="DQ7" s="442"/>
      <c r="DR7" s="442"/>
      <c r="DS7" s="442"/>
      <c r="DT7" s="442"/>
      <c r="DU7" s="442"/>
      <c r="DV7" s="442"/>
      <c r="DW7" s="442"/>
      <c r="DX7" s="442"/>
      <c r="DY7" s="442"/>
      <c r="DZ7" s="442"/>
      <c r="EA7" s="442"/>
      <c r="EB7" s="442"/>
      <c r="EC7" s="442"/>
      <c r="ED7" s="442"/>
      <c r="EE7" s="442"/>
      <c r="EF7" s="442"/>
      <c r="EG7" s="442"/>
      <c r="EH7" s="442"/>
      <c r="EI7" s="442"/>
      <c r="EJ7" s="442"/>
      <c r="EK7" s="442"/>
      <c r="EL7" s="442"/>
      <c r="EM7" s="442"/>
      <c r="EN7" s="442"/>
      <c r="EO7" s="442"/>
      <c r="EP7" s="442"/>
      <c r="EQ7" s="442"/>
      <c r="ER7" s="442"/>
      <c r="ES7" s="442"/>
      <c r="ET7" s="442"/>
      <c r="EU7" s="442"/>
      <c r="EV7" s="442"/>
      <c r="EW7" s="442"/>
      <c r="EX7" s="442"/>
      <c r="EY7" s="442"/>
      <c r="EZ7" s="442"/>
      <c r="FA7" s="442"/>
      <c r="FB7" s="442"/>
      <c r="FC7" s="442"/>
      <c r="FD7" s="442"/>
      <c r="FE7" s="442"/>
      <c r="FF7" s="442"/>
      <c r="FG7" s="442"/>
      <c r="FH7" s="442"/>
      <c r="FI7" s="442"/>
      <c r="FJ7" s="442"/>
      <c r="FK7" s="442"/>
      <c r="FL7" s="442"/>
      <c r="FM7" s="442"/>
      <c r="FN7" s="442"/>
      <c r="FO7" s="442"/>
      <c r="FP7" s="442"/>
      <c r="FQ7" s="442"/>
      <c r="FR7" s="442"/>
      <c r="FS7" s="442"/>
      <c r="FT7" s="442"/>
      <c r="FU7" s="442"/>
      <c r="FV7" s="442"/>
      <c r="FW7" s="442"/>
      <c r="FX7" s="442"/>
      <c r="FY7" s="442"/>
      <c r="FZ7" s="442"/>
      <c r="GA7" s="442"/>
      <c r="GB7" s="442"/>
      <c r="GC7" s="442"/>
      <c r="GD7" s="442"/>
      <c r="GE7" s="442"/>
      <c r="GF7" s="442"/>
      <c r="GG7" s="442"/>
      <c r="GH7" s="442"/>
      <c r="GI7" s="442"/>
      <c r="GJ7" s="442"/>
      <c r="GK7" s="442"/>
      <c r="GL7" s="442"/>
      <c r="GM7" s="442"/>
      <c r="GN7" s="442"/>
      <c r="GO7" s="442"/>
      <c r="GP7" s="442"/>
      <c r="GQ7" s="442"/>
      <c r="GR7" s="442"/>
      <c r="GS7" s="442"/>
      <c r="GT7" s="442"/>
      <c r="GU7" s="442"/>
      <c r="GV7" s="442"/>
      <c r="GW7" s="442"/>
      <c r="GX7" s="442"/>
      <c r="GY7" s="442"/>
      <c r="GZ7" s="442"/>
      <c r="HA7" s="442"/>
      <c r="HB7" s="442"/>
      <c r="HC7" s="442"/>
      <c r="HD7" s="442"/>
      <c r="HE7" s="442"/>
      <c r="HF7" s="442"/>
      <c r="HG7" s="442"/>
      <c r="HH7" s="442"/>
      <c r="HI7" s="442"/>
      <c r="HJ7" s="442"/>
      <c r="HK7" s="442"/>
      <c r="HL7" s="442"/>
      <c r="HM7" s="442"/>
      <c r="HN7" s="442"/>
      <c r="HO7" s="442"/>
      <c r="HP7" s="442"/>
      <c r="HQ7" s="442"/>
      <c r="HR7" s="442"/>
      <c r="HS7" s="442"/>
      <c r="HT7" s="442"/>
      <c r="HU7" s="442"/>
      <c r="HV7" s="442"/>
      <c r="HW7" s="442"/>
      <c r="HX7" s="442"/>
      <c r="HY7" s="442"/>
      <c r="HZ7" s="442"/>
      <c r="IA7" s="442"/>
      <c r="IB7" s="442"/>
      <c r="IC7" s="442"/>
      <c r="ID7" s="442"/>
      <c r="IE7" s="442"/>
      <c r="IF7" s="442"/>
      <c r="IG7" s="442"/>
      <c r="IH7" s="442"/>
      <c r="II7" s="442"/>
      <c r="IJ7" s="442"/>
      <c r="IK7" s="442"/>
      <c r="IL7" s="442"/>
      <c r="IM7" s="442"/>
      <c r="IN7" s="442"/>
      <c r="IO7" s="442"/>
      <c r="IP7" s="442"/>
      <c r="IQ7" s="442"/>
      <c r="IR7" s="442"/>
      <c r="IS7" s="442"/>
      <c r="IT7" s="442"/>
      <c r="IU7" s="442"/>
      <c r="IV7" s="442"/>
      <c r="IW7" s="442"/>
    </row>
    <row r="8" customFormat="false" ht="12.75" hidden="false" customHeight="false" outlineLevel="0" collapsed="false">
      <c r="A8" s="358"/>
      <c r="B8" s="443"/>
      <c r="C8" s="443"/>
      <c r="D8" s="444" t="n">
        <f aca="false">IS!C8</f>
        <v>37256</v>
      </c>
      <c r="E8" s="444" t="n">
        <f aca="false">IS!D8</f>
        <v>37621</v>
      </c>
      <c r="F8" s="444" t="n">
        <f aca="false">IS!E8</f>
        <v>37986</v>
      </c>
      <c r="G8" s="444" t="n">
        <f aca="false">IS!F8</f>
        <v>38352</v>
      </c>
      <c r="H8" s="444" t="n">
        <f aca="false">IS!G8</f>
        <v>38717</v>
      </c>
      <c r="I8" s="444" t="n">
        <f aca="false">IS!H8</f>
        <v>39082</v>
      </c>
      <c r="J8" s="444" t="n">
        <f aca="false">IS!I8</f>
        <v>39447</v>
      </c>
      <c r="K8" s="444" t="n">
        <f aca="false">IS!J8</f>
        <v>39813</v>
      </c>
      <c r="L8" s="444" t="n">
        <f aca="false">IS!K8</f>
        <v>40178</v>
      </c>
      <c r="M8" s="444" t="n">
        <f aca="false">IS!L8</f>
        <v>40543</v>
      </c>
      <c r="N8" s="444" t="n">
        <f aca="false">IS!M8</f>
        <v>40908</v>
      </c>
      <c r="O8" s="444" t="n">
        <f aca="false">IS!N8</f>
        <v>41274</v>
      </c>
      <c r="P8" s="444" t="n">
        <f aca="false">IS!O8</f>
        <v>41639</v>
      </c>
      <c r="Q8" s="444" t="n">
        <f aca="false">IS!P8</f>
        <v>42004</v>
      </c>
      <c r="R8" s="444" t="n">
        <f aca="false">IS!Q8</f>
        <v>42369</v>
      </c>
      <c r="S8" s="444" t="n">
        <f aca="false">IS!R8</f>
        <v>42735</v>
      </c>
      <c r="T8" s="444" t="n">
        <f aca="false">IS!S8</f>
        <v>43100</v>
      </c>
      <c r="U8" s="444" t="n">
        <f aca="false">IS!T8</f>
        <v>43465</v>
      </c>
      <c r="V8" s="444" t="n">
        <f aca="false">IS!U8</f>
        <v>43830</v>
      </c>
      <c r="W8" s="444" t="n">
        <f aca="false">IS!V8</f>
        <v>44196</v>
      </c>
      <c r="X8" s="444" t="n">
        <f aca="false">IS!W8</f>
        <v>44561</v>
      </c>
      <c r="Y8" s="444" t="n">
        <f aca="false">IS!X8</f>
        <v>44926</v>
      </c>
      <c r="Z8" s="444" t="n">
        <f aca="false">IS!Y8</f>
        <v>45291</v>
      </c>
      <c r="AA8" s="444" t="n">
        <f aca="false">IS!Z8</f>
        <v>45657</v>
      </c>
      <c r="AB8" s="444" t="n">
        <f aca="false">IS!AA8</f>
        <v>46022</v>
      </c>
      <c r="AC8" s="444" t="n">
        <f aca="false">IS!AB8</f>
        <v>46387</v>
      </c>
      <c r="AD8" s="444" t="n">
        <f aca="false">IS!AC8</f>
        <v>46752</v>
      </c>
      <c r="AE8" s="444" t="n">
        <f aca="false">IS!AD8</f>
        <v>47118</v>
      </c>
      <c r="AF8" s="444" t="n">
        <f aca="false">IS!AE8</f>
        <v>47483</v>
      </c>
      <c r="AG8" s="444" t="n">
        <f aca="false">IS!AF8</f>
        <v>47848</v>
      </c>
      <c r="AH8" s="444" t="n">
        <f aca="false">IS!AG8</f>
        <v>48213</v>
      </c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  <c r="BW8" s="442"/>
      <c r="BX8" s="442"/>
      <c r="BY8" s="442"/>
      <c r="BZ8" s="442"/>
      <c r="CA8" s="442"/>
      <c r="CB8" s="442"/>
      <c r="CC8" s="442"/>
      <c r="CD8" s="442"/>
      <c r="CE8" s="442"/>
      <c r="CF8" s="442"/>
      <c r="CG8" s="442"/>
      <c r="CH8" s="442"/>
      <c r="CI8" s="442"/>
      <c r="CJ8" s="442"/>
      <c r="CK8" s="442"/>
      <c r="CL8" s="442"/>
      <c r="CM8" s="442"/>
      <c r="CN8" s="442"/>
      <c r="CO8" s="442"/>
      <c r="CP8" s="442"/>
      <c r="CQ8" s="442"/>
      <c r="CR8" s="442"/>
      <c r="CS8" s="442"/>
      <c r="CT8" s="442"/>
      <c r="CU8" s="442"/>
      <c r="CV8" s="442"/>
      <c r="CW8" s="442"/>
      <c r="CX8" s="442"/>
      <c r="CY8" s="442"/>
      <c r="CZ8" s="442"/>
      <c r="DA8" s="442"/>
      <c r="DB8" s="442"/>
      <c r="DC8" s="442"/>
      <c r="DD8" s="442"/>
      <c r="DE8" s="442"/>
      <c r="DF8" s="442"/>
      <c r="DG8" s="442"/>
      <c r="DH8" s="442"/>
      <c r="DI8" s="442"/>
      <c r="DJ8" s="442"/>
      <c r="DK8" s="442"/>
      <c r="DL8" s="442"/>
      <c r="DM8" s="442"/>
      <c r="DN8" s="442"/>
      <c r="DO8" s="442"/>
      <c r="DP8" s="442"/>
      <c r="DQ8" s="442"/>
      <c r="DR8" s="442"/>
      <c r="DS8" s="442"/>
      <c r="DT8" s="442"/>
      <c r="DU8" s="442"/>
      <c r="DV8" s="442"/>
      <c r="DW8" s="442"/>
      <c r="DX8" s="442"/>
      <c r="DY8" s="442"/>
      <c r="DZ8" s="442"/>
      <c r="EA8" s="442"/>
      <c r="EB8" s="442"/>
      <c r="EC8" s="442"/>
      <c r="ED8" s="442"/>
      <c r="EE8" s="442"/>
      <c r="EF8" s="442"/>
      <c r="EG8" s="442"/>
      <c r="EH8" s="442"/>
      <c r="EI8" s="442"/>
      <c r="EJ8" s="442"/>
      <c r="EK8" s="442"/>
      <c r="EL8" s="442"/>
      <c r="EM8" s="442"/>
      <c r="EN8" s="442"/>
      <c r="EO8" s="442"/>
      <c r="EP8" s="442"/>
      <c r="EQ8" s="442"/>
      <c r="ER8" s="442"/>
      <c r="ES8" s="442"/>
      <c r="ET8" s="442"/>
      <c r="EU8" s="442"/>
      <c r="EV8" s="442"/>
      <c r="EW8" s="442"/>
      <c r="EX8" s="442"/>
      <c r="EY8" s="442"/>
      <c r="EZ8" s="442"/>
      <c r="FA8" s="442"/>
      <c r="FB8" s="442"/>
      <c r="FC8" s="442"/>
      <c r="FD8" s="442"/>
      <c r="FE8" s="442"/>
      <c r="FF8" s="442"/>
      <c r="FG8" s="442"/>
      <c r="FH8" s="442"/>
      <c r="FI8" s="442"/>
      <c r="FJ8" s="442"/>
      <c r="FK8" s="442"/>
      <c r="FL8" s="442"/>
      <c r="FM8" s="442"/>
      <c r="FN8" s="442"/>
      <c r="FO8" s="442"/>
      <c r="FP8" s="442"/>
      <c r="FQ8" s="442"/>
      <c r="FR8" s="442"/>
      <c r="FS8" s="442"/>
      <c r="FT8" s="442"/>
      <c r="FU8" s="442"/>
      <c r="FV8" s="442"/>
      <c r="FW8" s="442"/>
      <c r="FX8" s="442"/>
      <c r="FY8" s="442"/>
      <c r="FZ8" s="442"/>
      <c r="GA8" s="442"/>
      <c r="GB8" s="442"/>
      <c r="GC8" s="442"/>
      <c r="GD8" s="442"/>
      <c r="GE8" s="442"/>
      <c r="GF8" s="442"/>
      <c r="GG8" s="442"/>
      <c r="GH8" s="442"/>
      <c r="GI8" s="442"/>
      <c r="GJ8" s="442"/>
      <c r="GK8" s="442"/>
      <c r="GL8" s="442"/>
      <c r="GM8" s="442"/>
      <c r="GN8" s="442"/>
      <c r="GO8" s="442"/>
      <c r="GP8" s="442"/>
      <c r="GQ8" s="442"/>
      <c r="GR8" s="442"/>
      <c r="GS8" s="442"/>
      <c r="GT8" s="442"/>
      <c r="GU8" s="442"/>
      <c r="GV8" s="442"/>
      <c r="GW8" s="442"/>
      <c r="GX8" s="442"/>
      <c r="GY8" s="442"/>
      <c r="GZ8" s="442"/>
      <c r="HA8" s="442"/>
      <c r="HB8" s="442"/>
      <c r="HC8" s="442"/>
      <c r="HD8" s="442"/>
      <c r="HE8" s="442"/>
      <c r="HF8" s="442"/>
      <c r="HG8" s="442"/>
      <c r="HH8" s="442"/>
      <c r="HI8" s="442"/>
      <c r="HJ8" s="442"/>
      <c r="HK8" s="442"/>
      <c r="HL8" s="442"/>
      <c r="HM8" s="442"/>
      <c r="HN8" s="442"/>
      <c r="HO8" s="442"/>
      <c r="HP8" s="442"/>
      <c r="HQ8" s="442"/>
      <c r="HR8" s="442"/>
      <c r="HS8" s="442"/>
      <c r="HT8" s="442"/>
      <c r="HU8" s="442"/>
      <c r="HV8" s="442"/>
      <c r="HW8" s="442"/>
      <c r="HX8" s="442"/>
      <c r="HY8" s="442"/>
      <c r="HZ8" s="442"/>
      <c r="IA8" s="442"/>
      <c r="IB8" s="442"/>
      <c r="IC8" s="442"/>
      <c r="ID8" s="442"/>
      <c r="IE8" s="442"/>
      <c r="IF8" s="442"/>
      <c r="IG8" s="442"/>
      <c r="IH8" s="442"/>
      <c r="II8" s="442"/>
      <c r="IJ8" s="442"/>
      <c r="IK8" s="442"/>
      <c r="IL8" s="442"/>
      <c r="IM8" s="442"/>
      <c r="IN8" s="442"/>
      <c r="IO8" s="442"/>
      <c r="IP8" s="442"/>
      <c r="IQ8" s="442"/>
      <c r="IR8" s="442"/>
      <c r="IS8" s="442"/>
      <c r="IT8" s="442"/>
      <c r="IU8" s="442"/>
      <c r="IV8" s="442"/>
      <c r="IW8" s="442"/>
    </row>
    <row r="9" customFormat="false" ht="15.75" hidden="false" customHeight="false" outlineLevel="0" collapsed="false">
      <c r="A9" s="248"/>
    </row>
    <row r="10" customFormat="false" ht="12.75" hidden="false" customHeight="false" outlineLevel="0" collapsed="false">
      <c r="A10" s="445" t="s">
        <v>500</v>
      </c>
      <c r="C10" s="446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7"/>
      <c r="AD10" s="447"/>
      <c r="AE10" s="447"/>
      <c r="AF10" s="447"/>
      <c r="AG10" s="447"/>
      <c r="AH10" s="447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8"/>
      <c r="CN10" s="448"/>
      <c r="CO10" s="448"/>
      <c r="CP10" s="448"/>
      <c r="CQ10" s="448"/>
      <c r="CR10" s="448"/>
      <c r="CS10" s="448"/>
      <c r="CT10" s="448"/>
      <c r="CU10" s="448"/>
      <c r="CV10" s="448"/>
      <c r="CW10" s="448"/>
      <c r="CX10" s="448"/>
      <c r="CY10" s="448"/>
      <c r="CZ10" s="448"/>
      <c r="DA10" s="448"/>
      <c r="DB10" s="448"/>
      <c r="DC10" s="448"/>
      <c r="DD10" s="448"/>
      <c r="DE10" s="448"/>
      <c r="DF10" s="448"/>
      <c r="DG10" s="448"/>
      <c r="DH10" s="448"/>
      <c r="DI10" s="448"/>
      <c r="DJ10" s="448"/>
      <c r="DK10" s="448"/>
      <c r="DL10" s="448"/>
      <c r="DM10" s="448"/>
      <c r="DN10" s="448"/>
      <c r="DO10" s="448"/>
      <c r="DP10" s="448"/>
      <c r="DQ10" s="448"/>
      <c r="DR10" s="448"/>
      <c r="DS10" s="448"/>
      <c r="DT10" s="448"/>
      <c r="DU10" s="448"/>
      <c r="DV10" s="448"/>
      <c r="DW10" s="448"/>
      <c r="DX10" s="448"/>
      <c r="DY10" s="448"/>
      <c r="DZ10" s="448"/>
      <c r="EA10" s="448"/>
      <c r="EB10" s="448"/>
      <c r="EC10" s="448"/>
      <c r="ED10" s="448"/>
      <c r="EE10" s="448"/>
      <c r="EF10" s="448"/>
      <c r="EG10" s="448"/>
      <c r="EH10" s="448"/>
      <c r="EI10" s="448"/>
      <c r="EJ10" s="448"/>
      <c r="EK10" s="448"/>
      <c r="EL10" s="448"/>
      <c r="EM10" s="448"/>
      <c r="EN10" s="448"/>
      <c r="EO10" s="448"/>
      <c r="EP10" s="448"/>
      <c r="EQ10" s="448"/>
      <c r="ER10" s="448"/>
      <c r="ES10" s="448"/>
      <c r="ET10" s="448"/>
      <c r="EU10" s="448"/>
      <c r="EV10" s="448"/>
      <c r="EW10" s="448"/>
      <c r="EX10" s="448"/>
      <c r="EY10" s="448"/>
      <c r="EZ10" s="448"/>
      <c r="FA10" s="448"/>
      <c r="FB10" s="448"/>
      <c r="FC10" s="448"/>
      <c r="FD10" s="448"/>
      <c r="FE10" s="448"/>
      <c r="FF10" s="448"/>
      <c r="FG10" s="448"/>
      <c r="FH10" s="448"/>
      <c r="FI10" s="448"/>
      <c r="FJ10" s="448"/>
      <c r="FK10" s="448"/>
      <c r="FL10" s="448"/>
      <c r="FM10" s="448"/>
      <c r="FN10" s="448"/>
      <c r="FO10" s="448"/>
      <c r="FP10" s="448"/>
      <c r="FQ10" s="448"/>
      <c r="FR10" s="448"/>
      <c r="FS10" s="448"/>
      <c r="FT10" s="448"/>
      <c r="FU10" s="448"/>
      <c r="FV10" s="448"/>
      <c r="FW10" s="448"/>
      <c r="FX10" s="448"/>
      <c r="FY10" s="448"/>
      <c r="FZ10" s="448"/>
      <c r="GA10" s="448"/>
      <c r="GB10" s="448"/>
      <c r="GC10" s="448"/>
      <c r="GD10" s="448"/>
      <c r="GE10" s="448"/>
      <c r="GF10" s="448"/>
      <c r="GG10" s="448"/>
      <c r="GH10" s="448"/>
      <c r="GI10" s="448"/>
      <c r="GJ10" s="448"/>
      <c r="GK10" s="448"/>
      <c r="GL10" s="448"/>
      <c r="GM10" s="448"/>
      <c r="GN10" s="448"/>
      <c r="GO10" s="448"/>
      <c r="GP10" s="448"/>
      <c r="GQ10" s="448"/>
      <c r="GR10" s="448"/>
      <c r="GS10" s="448"/>
      <c r="GT10" s="448"/>
      <c r="GU10" s="448"/>
      <c r="GV10" s="448"/>
      <c r="GW10" s="448"/>
      <c r="GX10" s="448"/>
      <c r="GY10" s="448"/>
      <c r="GZ10" s="448"/>
      <c r="HA10" s="448"/>
      <c r="HB10" s="448"/>
      <c r="HC10" s="448"/>
      <c r="HD10" s="448"/>
      <c r="HE10" s="448"/>
      <c r="HF10" s="448"/>
      <c r="HG10" s="448"/>
      <c r="HH10" s="448"/>
      <c r="HI10" s="448"/>
      <c r="HJ10" s="448"/>
      <c r="HK10" s="448"/>
      <c r="HL10" s="448"/>
      <c r="HM10" s="448"/>
      <c r="HN10" s="448"/>
      <c r="HO10" s="448"/>
      <c r="HP10" s="448"/>
      <c r="HQ10" s="448"/>
      <c r="HR10" s="448"/>
      <c r="HS10" s="448"/>
      <c r="HT10" s="448"/>
      <c r="HU10" s="448"/>
      <c r="HV10" s="448"/>
      <c r="HW10" s="448"/>
      <c r="HX10" s="448"/>
      <c r="HY10" s="448"/>
      <c r="HZ10" s="448"/>
      <c r="IA10" s="448"/>
      <c r="IB10" s="448"/>
      <c r="IC10" s="448"/>
      <c r="ID10" s="448"/>
      <c r="IE10" s="448"/>
      <c r="IF10" s="448"/>
      <c r="IG10" s="448"/>
      <c r="IH10" s="448"/>
      <c r="II10" s="448"/>
      <c r="IJ10" s="448"/>
      <c r="IK10" s="448"/>
      <c r="IL10" s="448"/>
      <c r="IM10" s="448"/>
      <c r="IN10" s="448"/>
      <c r="IO10" s="448"/>
      <c r="IP10" s="448"/>
      <c r="IQ10" s="448"/>
      <c r="IR10" s="448"/>
      <c r="IS10" s="448"/>
      <c r="IT10" s="448"/>
      <c r="IU10" s="448"/>
      <c r="IV10" s="448"/>
      <c r="IW10" s="448"/>
    </row>
    <row r="11" customFormat="false" ht="12.75" hidden="false" customHeight="false" outlineLevel="0" collapsed="false">
      <c r="B11" s="449" t="s">
        <v>501</v>
      </c>
      <c r="D11" s="294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8"/>
      <c r="AX11" s="448"/>
      <c r="AY11" s="448"/>
      <c r="AZ11" s="448"/>
      <c r="BA11" s="448"/>
      <c r="BB11" s="448"/>
      <c r="BC11" s="448"/>
      <c r="BD11" s="448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8"/>
      <c r="CB11" s="448"/>
      <c r="CC11" s="448"/>
      <c r="CD11" s="448"/>
      <c r="CE11" s="448"/>
      <c r="CF11" s="448"/>
      <c r="CG11" s="448"/>
      <c r="CH11" s="448"/>
      <c r="CI11" s="448"/>
      <c r="CJ11" s="448"/>
      <c r="CK11" s="448"/>
      <c r="CL11" s="448"/>
      <c r="CM11" s="448"/>
      <c r="CN11" s="448"/>
      <c r="CO11" s="448"/>
      <c r="CP11" s="448"/>
      <c r="CQ11" s="448"/>
      <c r="CR11" s="448"/>
      <c r="CS11" s="448"/>
      <c r="CT11" s="448"/>
      <c r="CU11" s="448"/>
      <c r="CV11" s="448"/>
      <c r="CW11" s="448"/>
      <c r="CX11" s="448"/>
      <c r="CY11" s="448"/>
      <c r="CZ11" s="448"/>
      <c r="DA11" s="448"/>
      <c r="DB11" s="448"/>
      <c r="DC11" s="448"/>
      <c r="DD11" s="448"/>
      <c r="DE11" s="448"/>
      <c r="DF11" s="448"/>
      <c r="DG11" s="448"/>
      <c r="DH11" s="448"/>
      <c r="DI11" s="448"/>
      <c r="DJ11" s="448"/>
      <c r="DK11" s="448"/>
      <c r="DL11" s="448"/>
      <c r="DM11" s="448"/>
      <c r="DN11" s="448"/>
      <c r="DO11" s="448"/>
      <c r="DP11" s="448"/>
      <c r="DQ11" s="448"/>
      <c r="DR11" s="448"/>
      <c r="DS11" s="448"/>
      <c r="DT11" s="448"/>
      <c r="DU11" s="448"/>
      <c r="DV11" s="448"/>
      <c r="DW11" s="448"/>
      <c r="DX11" s="448"/>
      <c r="DY11" s="448"/>
      <c r="DZ11" s="448"/>
      <c r="EA11" s="448"/>
      <c r="EB11" s="448"/>
      <c r="EC11" s="448"/>
      <c r="ED11" s="448"/>
      <c r="EE11" s="448"/>
      <c r="EF11" s="448"/>
      <c r="EG11" s="448"/>
      <c r="EH11" s="448"/>
      <c r="EI11" s="448"/>
      <c r="EJ11" s="448"/>
      <c r="EK11" s="448"/>
      <c r="EL11" s="448"/>
      <c r="EM11" s="448"/>
      <c r="EN11" s="448"/>
      <c r="EO11" s="448"/>
      <c r="EP11" s="448"/>
      <c r="EQ11" s="448"/>
      <c r="ER11" s="448"/>
      <c r="ES11" s="448"/>
      <c r="ET11" s="448"/>
      <c r="EU11" s="448"/>
      <c r="EV11" s="448"/>
      <c r="EW11" s="448"/>
      <c r="EX11" s="448"/>
      <c r="EY11" s="448"/>
      <c r="EZ11" s="448"/>
      <c r="FA11" s="448"/>
      <c r="FB11" s="448"/>
      <c r="FC11" s="448"/>
      <c r="FD11" s="448"/>
      <c r="FE11" s="448"/>
      <c r="FF11" s="448"/>
      <c r="FG11" s="448"/>
      <c r="FH11" s="448"/>
      <c r="FI11" s="448"/>
      <c r="FJ11" s="448"/>
      <c r="FK11" s="448"/>
      <c r="FL11" s="448"/>
      <c r="FM11" s="448"/>
      <c r="FN11" s="448"/>
      <c r="FO11" s="448"/>
      <c r="FP11" s="448"/>
      <c r="FQ11" s="448"/>
      <c r="FR11" s="448"/>
      <c r="FS11" s="448"/>
      <c r="FT11" s="448"/>
      <c r="FU11" s="448"/>
      <c r="FV11" s="448"/>
      <c r="FW11" s="448"/>
      <c r="FX11" s="448"/>
      <c r="FY11" s="448"/>
      <c r="FZ11" s="448"/>
      <c r="GA11" s="448"/>
      <c r="GB11" s="448"/>
      <c r="GC11" s="448"/>
      <c r="GD11" s="448"/>
      <c r="GE11" s="448"/>
      <c r="GF11" s="448"/>
      <c r="GG11" s="448"/>
      <c r="GH11" s="448"/>
      <c r="GI11" s="448"/>
      <c r="GJ11" s="448"/>
      <c r="GK11" s="448"/>
      <c r="GL11" s="448"/>
      <c r="GM11" s="448"/>
      <c r="GN11" s="448"/>
      <c r="GO11" s="448"/>
      <c r="GP11" s="448"/>
      <c r="GQ11" s="448"/>
      <c r="GR11" s="448"/>
      <c r="GS11" s="448"/>
      <c r="GT11" s="448"/>
      <c r="GU11" s="448"/>
      <c r="GV11" s="448"/>
      <c r="GW11" s="448"/>
      <c r="GX11" s="448"/>
      <c r="GY11" s="448"/>
      <c r="GZ11" s="448"/>
      <c r="HA11" s="448"/>
      <c r="HB11" s="448"/>
      <c r="HC11" s="448"/>
      <c r="HD11" s="448"/>
      <c r="HE11" s="448"/>
      <c r="HF11" s="448"/>
      <c r="HG11" s="448"/>
      <c r="HH11" s="448"/>
      <c r="HI11" s="448"/>
      <c r="HJ11" s="448"/>
      <c r="HK11" s="448"/>
      <c r="HL11" s="448"/>
      <c r="HM11" s="448"/>
      <c r="HN11" s="448"/>
      <c r="HO11" s="448"/>
      <c r="HP11" s="448"/>
      <c r="HQ11" s="448"/>
      <c r="HR11" s="448"/>
      <c r="HS11" s="448"/>
      <c r="HT11" s="448"/>
      <c r="HU11" s="448"/>
      <c r="HV11" s="448"/>
      <c r="HW11" s="448"/>
      <c r="HX11" s="448"/>
      <c r="HY11" s="448"/>
      <c r="HZ11" s="448"/>
      <c r="IA11" s="448"/>
      <c r="IB11" s="448"/>
      <c r="IC11" s="448"/>
      <c r="ID11" s="448"/>
      <c r="IE11" s="448"/>
      <c r="IF11" s="448"/>
      <c r="IG11" s="448"/>
      <c r="IH11" s="448"/>
      <c r="II11" s="448"/>
      <c r="IJ11" s="448"/>
      <c r="IK11" s="448"/>
      <c r="IL11" s="448"/>
      <c r="IM11" s="448"/>
      <c r="IN11" s="448"/>
      <c r="IO11" s="448"/>
      <c r="IP11" s="448"/>
      <c r="IQ11" s="448"/>
      <c r="IR11" s="448"/>
      <c r="IS11" s="448"/>
      <c r="IT11" s="448"/>
      <c r="IU11" s="448"/>
      <c r="IV11" s="448"/>
      <c r="IW11" s="448"/>
    </row>
    <row r="12" customFormat="false" ht="12.75" hidden="false" customHeight="false" outlineLevel="0" collapsed="false">
      <c r="A12" s="451" t="s">
        <v>502</v>
      </c>
      <c r="B12" s="452" t="n">
        <f aca="false">Assumptions!$N$39</f>
        <v>15</v>
      </c>
      <c r="C12" s="453"/>
      <c r="D12" s="294" t="n">
        <v>0.05</v>
      </c>
      <c r="E12" s="294" t="n">
        <v>0.095</v>
      </c>
      <c r="F12" s="294" t="n">
        <v>0.0855</v>
      </c>
      <c r="G12" s="294" t="n">
        <v>0.077</v>
      </c>
      <c r="H12" s="294" t="n">
        <v>0.0693</v>
      </c>
      <c r="I12" s="294" t="n">
        <v>0.0623</v>
      </c>
      <c r="J12" s="294" t="n">
        <v>0.059</v>
      </c>
      <c r="K12" s="294" t="n">
        <v>0.0591</v>
      </c>
      <c r="L12" s="294" t="n">
        <v>0.059</v>
      </c>
      <c r="M12" s="294" t="n">
        <v>0.0591</v>
      </c>
      <c r="N12" s="294" t="n">
        <v>0.059</v>
      </c>
      <c r="O12" s="294" t="n">
        <v>0.0591</v>
      </c>
      <c r="P12" s="294" t="n">
        <v>0.059</v>
      </c>
      <c r="Q12" s="294" t="n">
        <v>0.0591</v>
      </c>
      <c r="R12" s="294" t="n">
        <v>0.059</v>
      </c>
      <c r="S12" s="294" t="n">
        <v>0.0295</v>
      </c>
      <c r="T12" s="294" t="n">
        <v>0</v>
      </c>
      <c r="U12" s="294" t="n">
        <v>0</v>
      </c>
      <c r="V12" s="294" t="n">
        <v>0</v>
      </c>
      <c r="W12" s="294" t="n">
        <v>0</v>
      </c>
      <c r="X12" s="294" t="n">
        <v>0</v>
      </c>
      <c r="Y12" s="294" t="n">
        <v>0</v>
      </c>
      <c r="Z12" s="294" t="n">
        <v>0</v>
      </c>
      <c r="AA12" s="294" t="n">
        <v>0</v>
      </c>
      <c r="AB12" s="294" t="n">
        <v>0</v>
      </c>
      <c r="AC12" s="294" t="n">
        <v>0</v>
      </c>
      <c r="AD12" s="294" t="n">
        <v>0</v>
      </c>
      <c r="AE12" s="294" t="n">
        <v>0</v>
      </c>
      <c r="AF12" s="294" t="n">
        <v>0</v>
      </c>
      <c r="AG12" s="294" t="n">
        <v>0</v>
      </c>
      <c r="AH12" s="294" t="n">
        <v>0</v>
      </c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8"/>
      <c r="CA12" s="448"/>
      <c r="CB12" s="448"/>
      <c r="CC12" s="448"/>
      <c r="CD12" s="448"/>
      <c r="CE12" s="448"/>
      <c r="CF12" s="448"/>
      <c r="CG12" s="448"/>
      <c r="CH12" s="448"/>
      <c r="CI12" s="448"/>
      <c r="CJ12" s="448"/>
      <c r="CK12" s="448"/>
      <c r="CL12" s="448"/>
      <c r="CM12" s="448"/>
      <c r="CN12" s="448"/>
      <c r="CO12" s="448"/>
      <c r="CP12" s="448"/>
      <c r="CQ12" s="448"/>
      <c r="CR12" s="448"/>
      <c r="CS12" s="448"/>
      <c r="CT12" s="448"/>
      <c r="CU12" s="448"/>
      <c r="CV12" s="448"/>
      <c r="CW12" s="448"/>
      <c r="CX12" s="448"/>
      <c r="CY12" s="448"/>
      <c r="CZ12" s="448"/>
      <c r="DA12" s="448"/>
      <c r="DB12" s="448"/>
      <c r="DC12" s="448"/>
      <c r="DD12" s="448"/>
      <c r="DE12" s="448"/>
      <c r="DF12" s="448"/>
      <c r="DG12" s="448"/>
      <c r="DH12" s="448"/>
      <c r="DI12" s="448"/>
      <c r="DJ12" s="448"/>
      <c r="DK12" s="448"/>
      <c r="DL12" s="448"/>
      <c r="DM12" s="448"/>
      <c r="DN12" s="448"/>
      <c r="DO12" s="448"/>
      <c r="DP12" s="448"/>
      <c r="DQ12" s="448"/>
      <c r="DR12" s="448"/>
      <c r="DS12" s="448"/>
      <c r="DT12" s="448"/>
      <c r="DU12" s="448"/>
      <c r="DV12" s="448"/>
      <c r="DW12" s="448"/>
      <c r="DX12" s="448"/>
      <c r="DY12" s="448"/>
      <c r="DZ12" s="448"/>
      <c r="EA12" s="448"/>
      <c r="EB12" s="448"/>
      <c r="EC12" s="448"/>
      <c r="ED12" s="448"/>
      <c r="EE12" s="448"/>
      <c r="EF12" s="448"/>
      <c r="EG12" s="448"/>
      <c r="EH12" s="448"/>
      <c r="EI12" s="448"/>
      <c r="EJ12" s="448"/>
      <c r="EK12" s="448"/>
      <c r="EL12" s="448"/>
      <c r="EM12" s="448"/>
      <c r="EN12" s="448"/>
      <c r="EO12" s="448"/>
      <c r="EP12" s="448"/>
      <c r="EQ12" s="448"/>
      <c r="ER12" s="448"/>
      <c r="ES12" s="448"/>
      <c r="ET12" s="448"/>
      <c r="EU12" s="448"/>
      <c r="EV12" s="448"/>
      <c r="EW12" s="448"/>
      <c r="EX12" s="448"/>
      <c r="EY12" s="448"/>
      <c r="EZ12" s="448"/>
      <c r="FA12" s="448"/>
      <c r="FB12" s="448"/>
      <c r="FC12" s="448"/>
      <c r="FD12" s="448"/>
      <c r="FE12" s="448"/>
      <c r="FF12" s="448"/>
      <c r="FG12" s="448"/>
      <c r="FH12" s="448"/>
      <c r="FI12" s="448"/>
      <c r="FJ12" s="448"/>
      <c r="FK12" s="448"/>
      <c r="FL12" s="448"/>
      <c r="FM12" s="448"/>
      <c r="FN12" s="448"/>
      <c r="FO12" s="448"/>
      <c r="FP12" s="448"/>
      <c r="FQ12" s="448"/>
      <c r="FR12" s="448"/>
      <c r="FS12" s="448"/>
      <c r="FT12" s="448"/>
      <c r="FU12" s="448"/>
      <c r="FV12" s="448"/>
      <c r="FW12" s="448"/>
      <c r="FX12" s="448"/>
      <c r="FY12" s="448"/>
      <c r="FZ12" s="448"/>
      <c r="GA12" s="448"/>
      <c r="GB12" s="448"/>
      <c r="GC12" s="448"/>
      <c r="GD12" s="448"/>
      <c r="GE12" s="448"/>
      <c r="GF12" s="448"/>
      <c r="GG12" s="448"/>
      <c r="GH12" s="448"/>
      <c r="GI12" s="448"/>
      <c r="GJ12" s="448"/>
      <c r="GK12" s="448"/>
      <c r="GL12" s="448"/>
      <c r="GM12" s="448"/>
      <c r="GN12" s="448"/>
      <c r="GO12" s="448"/>
      <c r="GP12" s="448"/>
      <c r="GQ12" s="448"/>
      <c r="GR12" s="448"/>
      <c r="GS12" s="448"/>
      <c r="GT12" s="448"/>
      <c r="GU12" s="448"/>
      <c r="GV12" s="448"/>
      <c r="GW12" s="448"/>
      <c r="GX12" s="448"/>
      <c r="GY12" s="448"/>
      <c r="GZ12" s="448"/>
      <c r="HA12" s="448"/>
      <c r="HB12" s="448"/>
      <c r="HC12" s="448"/>
      <c r="HD12" s="448"/>
      <c r="HE12" s="448"/>
      <c r="HF12" s="448"/>
      <c r="HG12" s="448"/>
      <c r="HH12" s="448"/>
      <c r="HI12" s="448"/>
      <c r="HJ12" s="448"/>
      <c r="HK12" s="448"/>
      <c r="HL12" s="448"/>
      <c r="HM12" s="448"/>
      <c r="HN12" s="448"/>
      <c r="HO12" s="448"/>
      <c r="HP12" s="448"/>
      <c r="HQ12" s="448"/>
      <c r="HR12" s="448"/>
      <c r="HS12" s="448"/>
      <c r="HT12" s="448"/>
      <c r="HU12" s="448"/>
      <c r="HV12" s="448"/>
      <c r="HW12" s="448"/>
      <c r="HX12" s="448"/>
      <c r="HY12" s="448"/>
      <c r="HZ12" s="448"/>
      <c r="IA12" s="448"/>
      <c r="IB12" s="448"/>
      <c r="IC12" s="448"/>
      <c r="ID12" s="448"/>
      <c r="IE12" s="448"/>
      <c r="IF12" s="448"/>
      <c r="IG12" s="448"/>
      <c r="IH12" s="448"/>
      <c r="II12" s="448"/>
      <c r="IJ12" s="448"/>
      <c r="IK12" s="448"/>
      <c r="IL12" s="448"/>
      <c r="IM12" s="448"/>
      <c r="IN12" s="448"/>
      <c r="IO12" s="448"/>
      <c r="IP12" s="448"/>
      <c r="IQ12" s="448"/>
      <c r="IR12" s="448"/>
      <c r="IS12" s="448"/>
      <c r="IT12" s="448"/>
      <c r="IU12" s="448"/>
      <c r="IV12" s="448"/>
      <c r="IW12" s="448"/>
    </row>
    <row r="13" customFormat="false" ht="12.75" hidden="false" customHeight="false" outlineLevel="0" collapsed="false">
      <c r="A13" s="451" t="s">
        <v>503</v>
      </c>
      <c r="B13" s="452" t="n">
        <f aca="false">Assumptions!$N$40</f>
        <v>5</v>
      </c>
      <c r="C13" s="453"/>
      <c r="D13" s="294" t="n">
        <f aca="false">1/$B$13*D6</f>
        <v>0.133333333333333</v>
      </c>
      <c r="E13" s="294" t="n">
        <f aca="false">1/$B$13</f>
        <v>0.2</v>
      </c>
      <c r="F13" s="294" t="n">
        <f aca="false">1/$B$13</f>
        <v>0.2</v>
      </c>
      <c r="G13" s="294" t="n">
        <f aca="false">1/$B$13</f>
        <v>0.2</v>
      </c>
      <c r="H13" s="294" t="n">
        <f aca="false">1/$B$13</f>
        <v>0.2</v>
      </c>
      <c r="I13" s="294" t="n">
        <f aca="false">1/B13-D13</f>
        <v>0.0666666666666667</v>
      </c>
      <c r="J13" s="294" t="n">
        <v>0</v>
      </c>
      <c r="K13" s="294" t="n">
        <v>0</v>
      </c>
      <c r="L13" s="294" t="n">
        <v>0</v>
      </c>
      <c r="M13" s="294" t="n">
        <v>0</v>
      </c>
      <c r="N13" s="294" t="n">
        <v>0</v>
      </c>
      <c r="O13" s="294" t="n">
        <v>0</v>
      </c>
      <c r="P13" s="294" t="n">
        <v>0</v>
      </c>
      <c r="Q13" s="294" t="n">
        <v>0</v>
      </c>
      <c r="R13" s="294" t="n">
        <v>0</v>
      </c>
      <c r="S13" s="294" t="n">
        <v>0</v>
      </c>
      <c r="T13" s="294" t="n">
        <v>0</v>
      </c>
      <c r="U13" s="294" t="n">
        <v>0</v>
      </c>
      <c r="V13" s="294" t="n">
        <v>0</v>
      </c>
      <c r="W13" s="294" t="n">
        <v>0</v>
      </c>
      <c r="X13" s="294" t="n">
        <v>0</v>
      </c>
      <c r="Y13" s="294" t="n">
        <v>0</v>
      </c>
      <c r="Z13" s="294" t="n">
        <v>0</v>
      </c>
      <c r="AA13" s="294" t="n">
        <v>0</v>
      </c>
      <c r="AB13" s="294" t="n">
        <v>0</v>
      </c>
      <c r="AC13" s="294" t="n">
        <v>0</v>
      </c>
      <c r="AD13" s="294" t="n">
        <v>0</v>
      </c>
      <c r="AE13" s="294" t="n">
        <v>0</v>
      </c>
      <c r="AF13" s="294" t="n">
        <v>0</v>
      </c>
      <c r="AG13" s="294" t="n">
        <v>0</v>
      </c>
      <c r="AH13" s="294" t="n">
        <v>0</v>
      </c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8"/>
      <c r="CL13" s="448"/>
      <c r="CM13" s="448"/>
      <c r="CN13" s="448"/>
      <c r="CO13" s="448"/>
      <c r="CP13" s="448"/>
      <c r="CQ13" s="448"/>
      <c r="CR13" s="448"/>
      <c r="CS13" s="448"/>
      <c r="CT13" s="448"/>
      <c r="CU13" s="448"/>
      <c r="CV13" s="448"/>
      <c r="CW13" s="448"/>
      <c r="CX13" s="448"/>
      <c r="CY13" s="448"/>
      <c r="CZ13" s="448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448"/>
      <c r="FM13" s="448"/>
      <c r="FN13" s="448"/>
      <c r="FO13" s="448"/>
      <c r="FP13" s="448"/>
      <c r="FQ13" s="448"/>
      <c r="FR13" s="448"/>
      <c r="FS13" s="448"/>
      <c r="FT13" s="448"/>
      <c r="FU13" s="448"/>
      <c r="FV13" s="448"/>
      <c r="FW13" s="448"/>
      <c r="FX13" s="448"/>
      <c r="FY13" s="448"/>
      <c r="FZ13" s="448"/>
      <c r="GA13" s="448"/>
      <c r="GB13" s="448"/>
      <c r="GC13" s="448"/>
      <c r="GD13" s="448"/>
      <c r="GE13" s="448"/>
      <c r="GF13" s="448"/>
      <c r="GG13" s="448"/>
      <c r="GH13" s="448"/>
      <c r="GI13" s="448"/>
      <c r="GJ13" s="448"/>
      <c r="GK13" s="448"/>
      <c r="GL13" s="44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  <c r="II13" s="448"/>
      <c r="IJ13" s="448"/>
      <c r="IK13" s="448"/>
      <c r="IL13" s="448"/>
      <c r="IM13" s="448"/>
      <c r="IN13" s="448"/>
      <c r="IO13" s="448"/>
      <c r="IP13" s="448"/>
      <c r="IQ13" s="448"/>
      <c r="IR13" s="448"/>
      <c r="IS13" s="448"/>
      <c r="IT13" s="448"/>
      <c r="IU13" s="448"/>
      <c r="IV13" s="448"/>
      <c r="IW13" s="448"/>
    </row>
    <row r="14" customFormat="false" ht="12.75" hidden="false" customHeight="false" outlineLevel="0" collapsed="false">
      <c r="A14" s="454" t="s">
        <v>504</v>
      </c>
      <c r="B14" s="455" t="n">
        <f aca="false">Assumptions!$N$41</f>
        <v>20</v>
      </c>
      <c r="C14" s="456"/>
      <c r="D14" s="294" t="n">
        <f aca="false">1/Assumptions!$N$41*D6</f>
        <v>0.0333333333333333</v>
      </c>
      <c r="E14" s="294" t="n">
        <f aca="false">IF(AND(E6&gt;=Assumptions!$N$41,D6&lt;Assumptions!$N$41),1/Assumptions!$N$41-Depreciation!$D$14,IF(E6&lt;Assumptions!$N$41,1/Assumptions!$N$41,0))</f>
        <v>0.05</v>
      </c>
      <c r="F14" s="294" t="n">
        <f aca="false">IF(AND(F6&gt;=Assumptions!$N$41,E6&lt;Assumptions!$N$41),1/Assumptions!$N$41-Depreciation!$D$14,IF(F6&lt;Assumptions!$N$41,1/Assumptions!$N$41,0))</f>
        <v>0.05</v>
      </c>
      <c r="G14" s="294" t="n">
        <f aca="false">IF(AND(G6&gt;=Assumptions!$N$41,F6&lt;Assumptions!$N$41),1/Assumptions!$N$41-Depreciation!$D$14,IF(G6&lt;Assumptions!$N$41,1/Assumptions!$N$41,0))</f>
        <v>0.05</v>
      </c>
      <c r="H14" s="294" t="n">
        <f aca="false">IF(AND(H6&gt;=Assumptions!$N$41,G6&lt;Assumptions!$N$41),1/Assumptions!$N$41-Depreciation!$D$14,IF(H6&lt;Assumptions!$N$41,1/Assumptions!$N$41,0))</f>
        <v>0.05</v>
      </c>
      <c r="I14" s="294" t="n">
        <f aca="false">IF(AND(I6&gt;=Assumptions!$N$41,H6&lt;Assumptions!$N$41),1/Assumptions!$N$41-Depreciation!$D$14,IF(I6&lt;Assumptions!$N$41,1/Assumptions!$N$41,0))</f>
        <v>0.05</v>
      </c>
      <c r="J14" s="294" t="n">
        <f aca="false">IF(AND(J6&gt;=Assumptions!$N$41,I6&lt;Assumptions!$N$41),1/Assumptions!$N$41-Depreciation!$D$14,IF(J6&lt;Assumptions!$N$41,1/Assumptions!$N$41,0))</f>
        <v>0.05</v>
      </c>
      <c r="K14" s="294" t="n">
        <f aca="false">IF(AND(K6&gt;=Assumptions!$N$41,J6&lt;Assumptions!$N$41),1/Assumptions!$N$41-Depreciation!$D$14,IF(K6&lt;Assumptions!$N$41,1/Assumptions!$N$41,0))</f>
        <v>0.05</v>
      </c>
      <c r="L14" s="294" t="n">
        <f aca="false">IF(AND(L6&gt;=Assumptions!$N$41,K6&lt;Assumptions!$N$41),1/Assumptions!$N$41-Depreciation!$D$14,IF(L6&lt;Assumptions!$N$41,1/Assumptions!$N$41,0))</f>
        <v>0.05</v>
      </c>
      <c r="M14" s="294" t="n">
        <f aca="false">IF(AND(M6&gt;=Assumptions!$N$41,L6&lt;Assumptions!$N$41),1/Assumptions!$N$41-Depreciation!$D$14,IF(M6&lt;Assumptions!$N$41,1/Assumptions!$N$41,0))</f>
        <v>0.05</v>
      </c>
      <c r="N14" s="294" t="n">
        <f aca="false">IF(AND(N6&gt;=Assumptions!$N$41,M6&lt;Assumptions!$N$41),1/Assumptions!$N$41-Depreciation!$D$14,IF(N6&lt;Assumptions!$N$41,1/Assumptions!$N$41,0))</f>
        <v>0.05</v>
      </c>
      <c r="O14" s="294" t="n">
        <f aca="false">IF(AND(O6&gt;=Assumptions!$N$41,N6&lt;Assumptions!$N$41),1/Assumptions!$N$41-Depreciation!$D$14,IF(O6&lt;Assumptions!$N$41,1/Assumptions!$N$41,0))</f>
        <v>0.05</v>
      </c>
      <c r="P14" s="294" t="n">
        <f aca="false">IF(AND(P6&gt;=Assumptions!$N$41,O6&lt;Assumptions!$N$41),1/Assumptions!$N$41-Depreciation!$D$14,IF(P6&lt;Assumptions!$N$41,1/Assumptions!$N$41,0))</f>
        <v>0.05</v>
      </c>
      <c r="Q14" s="294" t="n">
        <f aca="false">IF(AND(Q6&gt;=Assumptions!$N$41,P6&lt;Assumptions!$N$41),1/Assumptions!$N$41-Depreciation!$D$14,IF(Q6&lt;Assumptions!$N$41,1/Assumptions!$N$41,0))</f>
        <v>0.05</v>
      </c>
      <c r="R14" s="294" t="n">
        <f aca="false">IF(AND(R6&gt;=Assumptions!$N$41,Q6&lt;Assumptions!$N$41),1/Assumptions!$N$41-Depreciation!$D$14,IF(R6&lt;Assumptions!$N$41,1/Assumptions!$N$41,0))</f>
        <v>0.05</v>
      </c>
      <c r="S14" s="294" t="n">
        <f aca="false">IF(AND(S6&gt;=Assumptions!$N$41,R6&lt;Assumptions!$N$41),1/Assumptions!$N$41-Depreciation!$D$14,IF(S6&lt;Assumptions!$N$41,1/Assumptions!$N$41,0))</f>
        <v>0.05</v>
      </c>
      <c r="T14" s="294" t="n">
        <f aca="false">IF(AND(T6&gt;=Assumptions!$N$41,S6&lt;Assumptions!$N$41),1/Assumptions!$N$41-Depreciation!$D$14,IF(T6&lt;Assumptions!$N$41,1/Assumptions!$N$41,0))</f>
        <v>0.05</v>
      </c>
      <c r="U14" s="294" t="n">
        <f aca="false">IF(AND(U6&gt;=Assumptions!$N$41,T6&lt;Assumptions!$N$41),1/Assumptions!$N$41-Depreciation!$D$14,IF(U6&lt;Assumptions!$N$41,1/Assumptions!$N$41,0))</f>
        <v>0.05</v>
      </c>
      <c r="V14" s="294" t="n">
        <f aca="false">IF(AND(V6&gt;=Assumptions!$N$41,U6&lt;Assumptions!$N$41),1/Assumptions!$N$41-Depreciation!$D$14,IF(V6&lt;Assumptions!$N$41,1/Assumptions!$N$41,0))</f>
        <v>0.05</v>
      </c>
      <c r="W14" s="294" t="n">
        <f aca="false">IF(AND(W6&gt;=Assumptions!$N$41,V6&lt;Assumptions!$N$41),1/Assumptions!$N$41-Depreciation!$D$14,IF(W6&lt;Assumptions!$N$41,1/Assumptions!$N$41,0))</f>
        <v>0.05</v>
      </c>
      <c r="X14" s="294" t="n">
        <f aca="false">IF(AND(X6&gt;=Assumptions!$N$41,W6&lt;Assumptions!$N$41),1/Assumptions!$N$41-Depreciation!$D$14,IF(X6&lt;Assumptions!$N$41,1/Assumptions!$N$41,0))</f>
        <v>0.0166666666666667</v>
      </c>
      <c r="Y14" s="294" t="n">
        <f aca="false">IF(AND(Y6&gt;=Assumptions!$N$41,X6&lt;Assumptions!$N$41),1/Assumptions!$N$41-Depreciation!$D$14,IF(Y6&lt;Assumptions!$N$41,1/Assumptions!$N$41,0))</f>
        <v>0</v>
      </c>
      <c r="Z14" s="294" t="n">
        <f aca="false">IF(AND(Z6&gt;=Assumptions!$N$41,Y6&lt;Assumptions!$N$41),1/Assumptions!$N$41-Depreciation!$D$14,IF(Z6&lt;Assumptions!$N$41,1/Assumptions!$N$41,0))</f>
        <v>0</v>
      </c>
      <c r="AA14" s="294" t="n">
        <f aca="false">IF(AND(AA6&gt;=Assumptions!$N$41,Z6&lt;Assumptions!$N$41),1/Assumptions!$N$41-Depreciation!$D$14,IF(AA6&lt;Assumptions!$N$41,1/Assumptions!$N$41,0))</f>
        <v>0</v>
      </c>
      <c r="AB14" s="294" t="n">
        <f aca="false">IF(AND(AB6&gt;=Assumptions!$N$41,AA6&lt;Assumptions!$N$41),1/Assumptions!$N$41-Depreciation!$D$14,IF(AB6&lt;Assumptions!$N$41,1/Assumptions!$N$41,0))</f>
        <v>0</v>
      </c>
      <c r="AC14" s="294" t="n">
        <f aca="false">IF(AND(AC6&gt;=Assumptions!$N$41,AB6&lt;Assumptions!$N$41),1/Assumptions!$N$41-Depreciation!$D$14,IF(AC6&lt;Assumptions!$N$41,1/Assumptions!$N$41,0))</f>
        <v>0</v>
      </c>
      <c r="AD14" s="294" t="n">
        <f aca="false">IF(AND(AD6&gt;=Assumptions!$N$41,AC6&lt;Assumptions!$N$41),1/Assumptions!$N$41-Depreciation!$D$14,IF(AD6&lt;Assumptions!$N$41,1/Assumptions!$N$41,0))</f>
        <v>0</v>
      </c>
      <c r="AE14" s="294" t="n">
        <f aca="false">IF(AND(AE6&gt;=Assumptions!$N$41,AD6&lt;Assumptions!$N$41),1/Assumptions!$N$41-Depreciation!$D$14,IF(AE6&lt;Assumptions!$N$41,1/Assumptions!$N$41,0))</f>
        <v>0</v>
      </c>
      <c r="AF14" s="294" t="n">
        <f aca="false">IF(AND(AF6&gt;=Assumptions!$N$41,AE6&lt;Assumptions!$N$41),1/Assumptions!$N$41-Depreciation!$D$14,IF(AF6&lt;Assumptions!$N$41,1/Assumptions!$N$41,0))</f>
        <v>0</v>
      </c>
      <c r="AG14" s="294" t="n">
        <f aca="false">IF(AND(AG6&gt;=Assumptions!$N$41,AF6&lt;Assumptions!$N$41),1/Assumptions!$N$41-Depreciation!$D$14,IF(AG6&lt;Assumptions!$N$41,1/Assumptions!$N$41,0))</f>
        <v>0</v>
      </c>
      <c r="AH14" s="294" t="n">
        <f aca="false">IF(AND(AH6&gt;=Assumptions!$N$41,AG6&lt;Assumptions!$N$41),1/Assumptions!$N$41-Depreciation!$D$14,IF(AH6&lt;Assumptions!$N$41,1/Assumptions!$N$41,0))</f>
        <v>0</v>
      </c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  <c r="BI14" s="457"/>
      <c r="BJ14" s="457"/>
      <c r="BK14" s="457"/>
      <c r="BL14" s="457"/>
      <c r="BM14" s="457"/>
      <c r="BN14" s="457"/>
      <c r="BO14" s="457"/>
      <c r="BP14" s="457"/>
      <c r="BQ14" s="457"/>
      <c r="BR14" s="457"/>
      <c r="BS14" s="457"/>
      <c r="BT14" s="457"/>
      <c r="BU14" s="457"/>
      <c r="BV14" s="457"/>
      <c r="BW14" s="457"/>
      <c r="BX14" s="457"/>
      <c r="BY14" s="457"/>
      <c r="BZ14" s="457"/>
      <c r="CA14" s="457"/>
      <c r="CB14" s="457"/>
      <c r="CC14" s="457"/>
      <c r="CD14" s="457"/>
      <c r="CE14" s="457"/>
      <c r="CF14" s="457"/>
      <c r="CG14" s="457"/>
      <c r="CH14" s="457"/>
      <c r="CI14" s="457"/>
      <c r="CJ14" s="457"/>
      <c r="CK14" s="457"/>
      <c r="CL14" s="457"/>
      <c r="CM14" s="457"/>
      <c r="CN14" s="457"/>
      <c r="CO14" s="457"/>
      <c r="CP14" s="457"/>
      <c r="CQ14" s="457"/>
      <c r="CR14" s="457"/>
      <c r="CS14" s="457"/>
      <c r="CT14" s="457"/>
      <c r="CU14" s="457"/>
      <c r="CV14" s="457"/>
      <c r="CW14" s="457"/>
      <c r="CX14" s="457"/>
      <c r="CY14" s="457"/>
      <c r="CZ14" s="457"/>
      <c r="DA14" s="457"/>
      <c r="DB14" s="457"/>
      <c r="DC14" s="457"/>
      <c r="DD14" s="457"/>
      <c r="DE14" s="457"/>
      <c r="DF14" s="457"/>
      <c r="DG14" s="457"/>
      <c r="DH14" s="457"/>
      <c r="DI14" s="457"/>
      <c r="DJ14" s="457"/>
      <c r="DK14" s="457"/>
      <c r="DL14" s="457"/>
      <c r="DM14" s="457"/>
      <c r="DN14" s="457"/>
      <c r="DO14" s="457"/>
      <c r="DP14" s="457"/>
      <c r="DQ14" s="457"/>
      <c r="DR14" s="457"/>
      <c r="DS14" s="457"/>
      <c r="DT14" s="457"/>
      <c r="DU14" s="457"/>
      <c r="DV14" s="457"/>
      <c r="DW14" s="457"/>
      <c r="DX14" s="457"/>
      <c r="DY14" s="457"/>
      <c r="DZ14" s="457"/>
      <c r="EA14" s="457"/>
      <c r="EB14" s="457"/>
      <c r="EC14" s="457"/>
      <c r="ED14" s="457"/>
      <c r="EE14" s="457"/>
      <c r="EF14" s="457"/>
      <c r="EG14" s="457"/>
      <c r="EH14" s="457"/>
      <c r="EI14" s="457"/>
      <c r="EJ14" s="457"/>
      <c r="EK14" s="457"/>
      <c r="EL14" s="457"/>
      <c r="EM14" s="457"/>
      <c r="EN14" s="457"/>
      <c r="EO14" s="457"/>
      <c r="EP14" s="457"/>
      <c r="EQ14" s="457"/>
      <c r="ER14" s="457"/>
      <c r="ES14" s="457"/>
      <c r="ET14" s="457"/>
      <c r="EU14" s="457"/>
      <c r="EV14" s="457"/>
      <c r="EW14" s="457"/>
      <c r="EX14" s="457"/>
      <c r="EY14" s="457"/>
      <c r="EZ14" s="457"/>
      <c r="FA14" s="457"/>
      <c r="FB14" s="457"/>
      <c r="FC14" s="457"/>
      <c r="FD14" s="457"/>
      <c r="FE14" s="457"/>
      <c r="FF14" s="457"/>
      <c r="FG14" s="457"/>
      <c r="FH14" s="457"/>
      <c r="FI14" s="457"/>
      <c r="FJ14" s="457"/>
      <c r="FK14" s="457"/>
      <c r="FL14" s="457"/>
      <c r="FM14" s="457"/>
      <c r="FN14" s="457"/>
      <c r="FO14" s="457"/>
      <c r="FP14" s="457"/>
      <c r="FQ14" s="457"/>
      <c r="FR14" s="457"/>
      <c r="FS14" s="457"/>
      <c r="FT14" s="457"/>
      <c r="FU14" s="457"/>
      <c r="FV14" s="457"/>
      <c r="FW14" s="457"/>
      <c r="FX14" s="457"/>
      <c r="FY14" s="457"/>
      <c r="FZ14" s="457"/>
      <c r="GA14" s="457"/>
      <c r="GB14" s="457"/>
      <c r="GC14" s="457"/>
      <c r="GD14" s="457"/>
      <c r="GE14" s="457"/>
      <c r="GF14" s="457"/>
      <c r="GG14" s="457"/>
      <c r="GH14" s="457"/>
      <c r="GI14" s="457"/>
      <c r="GJ14" s="457"/>
      <c r="GK14" s="457"/>
      <c r="GL14" s="457"/>
      <c r="GM14" s="457"/>
      <c r="GN14" s="457"/>
      <c r="GO14" s="457"/>
      <c r="GP14" s="457"/>
      <c r="GQ14" s="457"/>
      <c r="GR14" s="457"/>
      <c r="GS14" s="457"/>
      <c r="GT14" s="457"/>
      <c r="GU14" s="457"/>
      <c r="GV14" s="457"/>
      <c r="GW14" s="457"/>
      <c r="GX14" s="457"/>
      <c r="GY14" s="457"/>
      <c r="GZ14" s="457"/>
      <c r="HA14" s="457"/>
      <c r="HB14" s="457"/>
      <c r="HC14" s="457"/>
      <c r="HD14" s="457"/>
      <c r="HE14" s="457"/>
      <c r="HF14" s="457"/>
      <c r="HG14" s="457"/>
      <c r="HH14" s="457"/>
      <c r="HI14" s="457"/>
      <c r="HJ14" s="457"/>
      <c r="HK14" s="457"/>
      <c r="HL14" s="457"/>
      <c r="HM14" s="457"/>
      <c r="HN14" s="457"/>
      <c r="HO14" s="457"/>
      <c r="HP14" s="457"/>
      <c r="HQ14" s="457"/>
      <c r="HR14" s="457"/>
      <c r="HS14" s="457"/>
      <c r="HT14" s="457"/>
      <c r="HU14" s="457"/>
      <c r="HV14" s="457"/>
      <c r="HW14" s="457"/>
      <c r="HX14" s="457"/>
      <c r="HY14" s="457"/>
      <c r="HZ14" s="457"/>
      <c r="IA14" s="457"/>
      <c r="IB14" s="457"/>
      <c r="IC14" s="457"/>
      <c r="ID14" s="457"/>
      <c r="IE14" s="457"/>
      <c r="IF14" s="457"/>
      <c r="IG14" s="457"/>
      <c r="IH14" s="457"/>
      <c r="II14" s="457"/>
      <c r="IJ14" s="457"/>
      <c r="IK14" s="457"/>
      <c r="IL14" s="457"/>
      <c r="IM14" s="457"/>
      <c r="IN14" s="457"/>
      <c r="IO14" s="457"/>
      <c r="IP14" s="457"/>
      <c r="IQ14" s="457"/>
      <c r="IR14" s="457"/>
      <c r="IS14" s="457"/>
      <c r="IT14" s="457"/>
      <c r="IU14" s="457"/>
      <c r="IV14" s="457"/>
      <c r="IW14" s="457"/>
    </row>
    <row r="15" customFormat="false" ht="12.75" hidden="false" customHeight="false" outlineLevel="0" collapsed="false">
      <c r="B15" s="458"/>
      <c r="D15" s="450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48"/>
      <c r="BG15" s="448"/>
      <c r="BH15" s="448"/>
      <c r="BI15" s="448"/>
      <c r="BJ15" s="448"/>
      <c r="BK15" s="448"/>
      <c r="BL15" s="448"/>
      <c r="BM15" s="448"/>
      <c r="BN15" s="448"/>
      <c r="BO15" s="448"/>
      <c r="BP15" s="448"/>
      <c r="BQ15" s="448"/>
      <c r="BR15" s="448"/>
      <c r="BS15" s="448"/>
      <c r="BT15" s="448"/>
      <c r="BU15" s="448"/>
      <c r="BV15" s="448"/>
      <c r="BW15" s="448"/>
      <c r="BX15" s="448"/>
      <c r="BY15" s="448"/>
      <c r="BZ15" s="448"/>
      <c r="CA15" s="448"/>
      <c r="CB15" s="448"/>
      <c r="CC15" s="448"/>
      <c r="CD15" s="448"/>
      <c r="CE15" s="448"/>
      <c r="CF15" s="448"/>
      <c r="CG15" s="448"/>
      <c r="CH15" s="448"/>
      <c r="CI15" s="448"/>
      <c r="CJ15" s="448"/>
      <c r="CK15" s="448"/>
      <c r="CL15" s="448"/>
      <c r="CM15" s="448"/>
      <c r="CN15" s="448"/>
      <c r="CO15" s="448"/>
      <c r="CP15" s="448"/>
      <c r="CQ15" s="448"/>
      <c r="CR15" s="448"/>
      <c r="CS15" s="448"/>
      <c r="CT15" s="448"/>
      <c r="CU15" s="448"/>
      <c r="CV15" s="448"/>
      <c r="CW15" s="448"/>
      <c r="CX15" s="448"/>
      <c r="CY15" s="448"/>
      <c r="CZ15" s="448"/>
      <c r="DA15" s="448"/>
      <c r="DB15" s="448"/>
      <c r="DC15" s="448"/>
      <c r="DD15" s="448"/>
      <c r="DE15" s="448"/>
      <c r="DF15" s="448"/>
      <c r="DG15" s="448"/>
      <c r="DH15" s="448"/>
      <c r="DI15" s="448"/>
      <c r="DJ15" s="448"/>
      <c r="DK15" s="448"/>
      <c r="DL15" s="448"/>
      <c r="DM15" s="448"/>
      <c r="DN15" s="448"/>
      <c r="DO15" s="448"/>
      <c r="DP15" s="448"/>
      <c r="DQ15" s="448"/>
      <c r="DR15" s="448"/>
      <c r="DS15" s="448"/>
      <c r="DT15" s="448"/>
      <c r="DU15" s="448"/>
      <c r="DV15" s="448"/>
      <c r="DW15" s="448"/>
      <c r="DX15" s="448"/>
      <c r="DY15" s="448"/>
      <c r="DZ15" s="448"/>
      <c r="EA15" s="448"/>
      <c r="EB15" s="448"/>
      <c r="EC15" s="448"/>
      <c r="ED15" s="448"/>
      <c r="EE15" s="448"/>
      <c r="EF15" s="448"/>
      <c r="EG15" s="448"/>
      <c r="EH15" s="448"/>
      <c r="EI15" s="448"/>
      <c r="EJ15" s="448"/>
      <c r="EK15" s="448"/>
      <c r="EL15" s="448"/>
      <c r="EM15" s="448"/>
      <c r="EN15" s="448"/>
      <c r="EO15" s="448"/>
      <c r="EP15" s="448"/>
      <c r="EQ15" s="448"/>
      <c r="ER15" s="448"/>
      <c r="ES15" s="448"/>
      <c r="ET15" s="448"/>
      <c r="EU15" s="448"/>
      <c r="EV15" s="448"/>
      <c r="EW15" s="448"/>
      <c r="EX15" s="448"/>
      <c r="EY15" s="448"/>
      <c r="EZ15" s="448"/>
      <c r="FA15" s="448"/>
      <c r="FB15" s="448"/>
      <c r="FC15" s="448"/>
      <c r="FD15" s="448"/>
      <c r="FE15" s="448"/>
      <c r="FF15" s="448"/>
      <c r="FG15" s="448"/>
      <c r="FH15" s="448"/>
      <c r="FI15" s="448"/>
      <c r="FJ15" s="448"/>
      <c r="FK15" s="448"/>
      <c r="FL15" s="448"/>
      <c r="FM15" s="448"/>
      <c r="FN15" s="448"/>
      <c r="FO15" s="448"/>
      <c r="FP15" s="448"/>
      <c r="FQ15" s="448"/>
      <c r="FR15" s="448"/>
      <c r="FS15" s="448"/>
      <c r="FT15" s="448"/>
      <c r="FU15" s="448"/>
      <c r="FV15" s="448"/>
      <c r="FW15" s="448"/>
      <c r="FX15" s="448"/>
      <c r="FY15" s="448"/>
      <c r="FZ15" s="448"/>
      <c r="GA15" s="448"/>
      <c r="GB15" s="448"/>
      <c r="GC15" s="448"/>
      <c r="GD15" s="448"/>
      <c r="GE15" s="448"/>
      <c r="GF15" s="448"/>
      <c r="GG15" s="448"/>
      <c r="GH15" s="448"/>
      <c r="GI15" s="448"/>
      <c r="GJ15" s="448"/>
      <c r="GK15" s="448"/>
      <c r="GL15" s="448"/>
      <c r="GM15" s="448"/>
      <c r="GN15" s="448"/>
      <c r="GO15" s="448"/>
      <c r="GP15" s="448"/>
      <c r="GQ15" s="448"/>
      <c r="GR15" s="448"/>
      <c r="GS15" s="448"/>
      <c r="GT15" s="448"/>
      <c r="GU15" s="448"/>
      <c r="GV15" s="448"/>
      <c r="GW15" s="448"/>
      <c r="GX15" s="448"/>
      <c r="GY15" s="448"/>
      <c r="GZ15" s="448"/>
      <c r="HA15" s="448"/>
      <c r="HB15" s="448"/>
      <c r="HC15" s="448"/>
      <c r="HD15" s="448"/>
      <c r="HE15" s="448"/>
      <c r="HF15" s="448"/>
      <c r="HG15" s="448"/>
      <c r="HH15" s="448"/>
      <c r="HI15" s="448"/>
      <c r="HJ15" s="448"/>
      <c r="HK15" s="448"/>
      <c r="HL15" s="448"/>
      <c r="HM15" s="448"/>
      <c r="HN15" s="448"/>
      <c r="HO15" s="448"/>
      <c r="HP15" s="448"/>
      <c r="HQ15" s="448"/>
      <c r="HR15" s="448"/>
      <c r="HS15" s="448"/>
      <c r="HT15" s="448"/>
      <c r="HU15" s="448"/>
      <c r="HV15" s="448"/>
      <c r="HW15" s="448"/>
      <c r="HX15" s="448"/>
      <c r="HY15" s="448"/>
      <c r="HZ15" s="448"/>
      <c r="IA15" s="448"/>
      <c r="IB15" s="448"/>
      <c r="IC15" s="448"/>
      <c r="ID15" s="448"/>
      <c r="IE15" s="448"/>
      <c r="IF15" s="448"/>
      <c r="IG15" s="448"/>
      <c r="IH15" s="448"/>
      <c r="II15" s="448"/>
      <c r="IJ15" s="448"/>
      <c r="IK15" s="448"/>
      <c r="IL15" s="448"/>
      <c r="IM15" s="448"/>
      <c r="IN15" s="448"/>
      <c r="IO15" s="448"/>
      <c r="IP15" s="448"/>
      <c r="IQ15" s="448"/>
      <c r="IR15" s="448"/>
      <c r="IS15" s="448"/>
      <c r="IT15" s="448"/>
      <c r="IU15" s="448"/>
      <c r="IV15" s="448"/>
      <c r="IW15" s="448"/>
    </row>
    <row r="16" customFormat="false" ht="12.75" hidden="false" customHeight="false" outlineLevel="0" collapsed="false">
      <c r="A16" s="451" t="s">
        <v>502</v>
      </c>
      <c r="B16" s="188" t="n">
        <f aca="false">Assumptions!C34+Assumptions!C48+Assumptions!C40</f>
        <v>196610.889268267</v>
      </c>
      <c r="C16" s="459"/>
      <c r="D16" s="188" t="n">
        <f aca="false">$B$16*D12</f>
        <v>9830.54446341336</v>
      </c>
      <c r="E16" s="188" t="n">
        <f aca="false">$B$16*E12</f>
        <v>18678.0344804854</v>
      </c>
      <c r="F16" s="188" t="n">
        <f aca="false">$B$16*F12</f>
        <v>16810.2310324368</v>
      </c>
      <c r="G16" s="188" t="n">
        <f aca="false">$B$16*G12</f>
        <v>15139.0384736566</v>
      </c>
      <c r="H16" s="188" t="n">
        <f aca="false">$B$16*H12</f>
        <v>13625.1346262909</v>
      </c>
      <c r="I16" s="188" t="n">
        <f aca="false">$B$16*I12</f>
        <v>12248.858401413</v>
      </c>
      <c r="J16" s="188" t="n">
        <f aca="false">$B$16*J12</f>
        <v>11600.0424668278</v>
      </c>
      <c r="K16" s="188" t="n">
        <f aca="false">$B$16*K12</f>
        <v>11619.7035557546</v>
      </c>
      <c r="L16" s="188" t="n">
        <f aca="false">$B$16*L12</f>
        <v>11600.0424668278</v>
      </c>
      <c r="M16" s="188" t="n">
        <f aca="false">$B$16*M12</f>
        <v>11619.7035557546</v>
      </c>
      <c r="N16" s="188" t="n">
        <f aca="false">$B$16*N12</f>
        <v>11600.0424668278</v>
      </c>
      <c r="O16" s="188" t="n">
        <f aca="false">$B$16*O12</f>
        <v>11619.7035557546</v>
      </c>
      <c r="P16" s="188" t="n">
        <f aca="false">$B$16*P12</f>
        <v>11600.0424668278</v>
      </c>
      <c r="Q16" s="188" t="n">
        <f aca="false">$B$16*Q12</f>
        <v>11619.7035557546</v>
      </c>
      <c r="R16" s="188" t="n">
        <f aca="false">$B$16*R12</f>
        <v>11600.0424668278</v>
      </c>
      <c r="S16" s="188" t="n">
        <f aca="false">$B$16*S12</f>
        <v>5800.02123341388</v>
      </c>
      <c r="T16" s="188" t="n">
        <f aca="false">$B$16*T12</f>
        <v>0</v>
      </c>
      <c r="U16" s="188" t="n">
        <f aca="false">$B$16*U12</f>
        <v>0</v>
      </c>
      <c r="V16" s="188" t="n">
        <f aca="false">$B$16*V12</f>
        <v>0</v>
      </c>
      <c r="W16" s="188" t="n">
        <f aca="false">$B$16*W12</f>
        <v>0</v>
      </c>
      <c r="X16" s="188" t="n">
        <f aca="false">$B$16*X12</f>
        <v>0</v>
      </c>
      <c r="Y16" s="188" t="n">
        <f aca="false">$B$16*Y12</f>
        <v>0</v>
      </c>
      <c r="Z16" s="188" t="n">
        <f aca="false">$B$16*Z12</f>
        <v>0</v>
      </c>
      <c r="AA16" s="188" t="n">
        <f aca="false">$B$16*AA12</f>
        <v>0</v>
      </c>
      <c r="AB16" s="188" t="n">
        <f aca="false">$B$16*AB12</f>
        <v>0</v>
      </c>
      <c r="AC16" s="188" t="n">
        <f aca="false">$B$16*AC12</f>
        <v>0</v>
      </c>
      <c r="AD16" s="188" t="n">
        <f aca="false">$B$16*AD12</f>
        <v>0</v>
      </c>
      <c r="AE16" s="188" t="n">
        <f aca="false">$B$16*AE12</f>
        <v>0</v>
      </c>
      <c r="AF16" s="188" t="n">
        <f aca="false">$B$16*AF12</f>
        <v>0</v>
      </c>
      <c r="AG16" s="188" t="n">
        <f aca="false">$B$16*AG12</f>
        <v>0</v>
      </c>
      <c r="AH16" s="188" t="n">
        <f aca="false">$B$16*AH12</f>
        <v>0</v>
      </c>
      <c r="AI16" s="448"/>
      <c r="AJ16" s="448"/>
      <c r="AK16" s="448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448"/>
      <c r="BA16" s="448"/>
      <c r="BB16" s="448"/>
      <c r="BC16" s="448"/>
      <c r="BD16" s="448"/>
      <c r="BE16" s="448"/>
      <c r="BF16" s="448"/>
      <c r="BG16" s="448"/>
      <c r="BH16" s="448"/>
      <c r="BI16" s="448"/>
      <c r="BJ16" s="448"/>
      <c r="BK16" s="448"/>
      <c r="BL16" s="448"/>
      <c r="BM16" s="448"/>
      <c r="BN16" s="448"/>
      <c r="BO16" s="448"/>
      <c r="BP16" s="448"/>
      <c r="BQ16" s="448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8"/>
      <c r="CC16" s="448"/>
      <c r="CD16" s="448"/>
      <c r="CE16" s="448"/>
      <c r="CF16" s="448"/>
      <c r="CG16" s="448"/>
      <c r="CH16" s="448"/>
      <c r="CI16" s="448"/>
      <c r="CJ16" s="448"/>
      <c r="CK16" s="448"/>
      <c r="CL16" s="448"/>
      <c r="CM16" s="448"/>
      <c r="CN16" s="448"/>
      <c r="CO16" s="448"/>
      <c r="CP16" s="448"/>
      <c r="CQ16" s="448"/>
      <c r="CR16" s="448"/>
      <c r="CS16" s="448"/>
      <c r="CT16" s="448"/>
      <c r="CU16" s="448"/>
      <c r="CV16" s="448"/>
      <c r="CW16" s="448"/>
      <c r="CX16" s="448"/>
      <c r="CY16" s="448"/>
      <c r="CZ16" s="448"/>
      <c r="DA16" s="448"/>
      <c r="DB16" s="448"/>
      <c r="DC16" s="448"/>
      <c r="DD16" s="448"/>
      <c r="DE16" s="448"/>
      <c r="DF16" s="448"/>
      <c r="DG16" s="448"/>
      <c r="DH16" s="448"/>
      <c r="DI16" s="448"/>
      <c r="DJ16" s="448"/>
      <c r="DK16" s="448"/>
      <c r="DL16" s="448"/>
      <c r="DM16" s="448"/>
      <c r="DN16" s="448"/>
      <c r="DO16" s="448"/>
      <c r="DP16" s="448"/>
      <c r="DQ16" s="448"/>
      <c r="DR16" s="448"/>
      <c r="DS16" s="448"/>
      <c r="DT16" s="448"/>
      <c r="DU16" s="448"/>
      <c r="DV16" s="448"/>
      <c r="DW16" s="448"/>
      <c r="DX16" s="448"/>
      <c r="DY16" s="448"/>
      <c r="DZ16" s="448"/>
      <c r="EA16" s="448"/>
      <c r="EB16" s="448"/>
      <c r="EC16" s="448"/>
      <c r="ED16" s="448"/>
      <c r="EE16" s="448"/>
      <c r="EF16" s="448"/>
      <c r="EG16" s="448"/>
      <c r="EH16" s="448"/>
      <c r="EI16" s="448"/>
      <c r="EJ16" s="448"/>
      <c r="EK16" s="448"/>
      <c r="EL16" s="448"/>
      <c r="EM16" s="448"/>
      <c r="EN16" s="448"/>
      <c r="EO16" s="448"/>
      <c r="EP16" s="448"/>
      <c r="EQ16" s="448"/>
      <c r="ER16" s="448"/>
      <c r="ES16" s="448"/>
      <c r="ET16" s="448"/>
      <c r="EU16" s="448"/>
      <c r="EV16" s="448"/>
      <c r="EW16" s="448"/>
      <c r="EX16" s="448"/>
      <c r="EY16" s="448"/>
      <c r="EZ16" s="448"/>
      <c r="FA16" s="448"/>
      <c r="FB16" s="448"/>
      <c r="FC16" s="448"/>
      <c r="FD16" s="448"/>
      <c r="FE16" s="448"/>
      <c r="FF16" s="448"/>
      <c r="FG16" s="448"/>
      <c r="FH16" s="448"/>
      <c r="FI16" s="448"/>
      <c r="FJ16" s="448"/>
      <c r="FK16" s="448"/>
      <c r="FL16" s="448"/>
      <c r="FM16" s="448"/>
      <c r="FN16" s="448"/>
      <c r="FO16" s="448"/>
      <c r="FP16" s="448"/>
      <c r="FQ16" s="448"/>
      <c r="FR16" s="448"/>
      <c r="FS16" s="448"/>
      <c r="FT16" s="448"/>
      <c r="FU16" s="448"/>
      <c r="FV16" s="448"/>
      <c r="FW16" s="448"/>
      <c r="FX16" s="448"/>
      <c r="FY16" s="448"/>
      <c r="FZ16" s="448"/>
      <c r="GA16" s="448"/>
      <c r="GB16" s="448"/>
      <c r="GC16" s="448"/>
      <c r="GD16" s="448"/>
      <c r="GE16" s="448"/>
      <c r="GF16" s="448"/>
      <c r="GG16" s="448"/>
      <c r="GH16" s="448"/>
      <c r="GI16" s="448"/>
      <c r="GJ16" s="448"/>
      <c r="GK16" s="448"/>
      <c r="GL16" s="448"/>
      <c r="GM16" s="448"/>
      <c r="GN16" s="448"/>
      <c r="GO16" s="448"/>
      <c r="GP16" s="448"/>
      <c r="GQ16" s="448"/>
      <c r="GR16" s="448"/>
      <c r="GS16" s="448"/>
      <c r="GT16" s="448"/>
      <c r="GU16" s="448"/>
      <c r="GV16" s="448"/>
      <c r="GW16" s="448"/>
      <c r="GX16" s="448"/>
      <c r="GY16" s="448"/>
      <c r="GZ16" s="448"/>
      <c r="HA16" s="448"/>
      <c r="HB16" s="448"/>
      <c r="HC16" s="448"/>
      <c r="HD16" s="448"/>
      <c r="HE16" s="448"/>
      <c r="HF16" s="448"/>
      <c r="HG16" s="448"/>
      <c r="HH16" s="448"/>
      <c r="HI16" s="448"/>
      <c r="HJ16" s="448"/>
      <c r="HK16" s="448"/>
      <c r="HL16" s="448"/>
      <c r="HM16" s="448"/>
      <c r="HN16" s="448"/>
      <c r="HO16" s="448"/>
      <c r="HP16" s="448"/>
      <c r="HQ16" s="448"/>
      <c r="HR16" s="448"/>
      <c r="HS16" s="448"/>
      <c r="HT16" s="448"/>
      <c r="HU16" s="448"/>
      <c r="HV16" s="448"/>
      <c r="HW16" s="448"/>
      <c r="HX16" s="448"/>
      <c r="HY16" s="448"/>
      <c r="HZ16" s="448"/>
      <c r="IA16" s="448"/>
      <c r="IB16" s="448"/>
      <c r="IC16" s="448"/>
      <c r="ID16" s="448"/>
      <c r="IE16" s="448"/>
      <c r="IF16" s="448"/>
      <c r="IG16" s="448"/>
      <c r="IH16" s="448"/>
      <c r="II16" s="448"/>
      <c r="IJ16" s="448"/>
      <c r="IK16" s="448"/>
      <c r="IL16" s="448"/>
      <c r="IM16" s="448"/>
      <c r="IN16" s="448"/>
      <c r="IO16" s="448"/>
      <c r="IP16" s="448"/>
      <c r="IQ16" s="448"/>
      <c r="IR16" s="448"/>
      <c r="IS16" s="448"/>
      <c r="IT16" s="448"/>
      <c r="IU16" s="448"/>
      <c r="IV16" s="448"/>
      <c r="IW16" s="448"/>
    </row>
    <row r="17" customFormat="false" ht="12.75" hidden="false" customHeight="false" outlineLevel="0" collapsed="false">
      <c r="A17" s="451" t="s">
        <v>503</v>
      </c>
      <c r="B17" s="460" t="n">
        <f aca="false">Assumptions!C52-Assumptions!C48-Assumptions!C49</f>
        <v>13509.09395</v>
      </c>
      <c r="C17" s="459"/>
      <c r="D17" s="188" t="n">
        <f aca="false">$B$17*D13</f>
        <v>1801.21252666667</v>
      </c>
      <c r="E17" s="188" t="n">
        <f aca="false">$B$17*E13</f>
        <v>2701.81879</v>
      </c>
      <c r="F17" s="188" t="n">
        <f aca="false">$B$17*F13</f>
        <v>2701.81879</v>
      </c>
      <c r="G17" s="188" t="n">
        <f aca="false">$B$17*G13</f>
        <v>2701.81879</v>
      </c>
      <c r="H17" s="188" t="n">
        <f aca="false">$B$17*H13</f>
        <v>2701.81879</v>
      </c>
      <c r="I17" s="188" t="n">
        <f aca="false">$B$17*I13</f>
        <v>900.606263333334</v>
      </c>
      <c r="J17" s="188" t="n">
        <f aca="false">$B$17*J13</f>
        <v>0</v>
      </c>
      <c r="K17" s="188" t="n">
        <f aca="false">$B$17*K13</f>
        <v>0</v>
      </c>
      <c r="L17" s="188" t="n">
        <f aca="false">$B$17*L13</f>
        <v>0</v>
      </c>
      <c r="M17" s="188" t="n">
        <f aca="false">$B$17*M13</f>
        <v>0</v>
      </c>
      <c r="N17" s="188" t="n">
        <f aca="false">$B$17*N13</f>
        <v>0</v>
      </c>
      <c r="O17" s="188" t="n">
        <f aca="false">$B$17*O13</f>
        <v>0</v>
      </c>
      <c r="P17" s="188" t="n">
        <f aca="false">$B$17*P13</f>
        <v>0</v>
      </c>
      <c r="Q17" s="188" t="n">
        <f aca="false">$B$17*Q13</f>
        <v>0</v>
      </c>
      <c r="R17" s="188" t="n">
        <f aca="false">$B$17*R13</f>
        <v>0</v>
      </c>
      <c r="S17" s="188" t="n">
        <f aca="false">$B$17*S13</f>
        <v>0</v>
      </c>
      <c r="T17" s="188" t="n">
        <f aca="false">$B$17*T13</f>
        <v>0</v>
      </c>
      <c r="U17" s="188" t="n">
        <f aca="false">$B$17*U13</f>
        <v>0</v>
      </c>
      <c r="V17" s="188" t="n">
        <f aca="false">$B$17*V13</f>
        <v>0</v>
      </c>
      <c r="W17" s="188" t="n">
        <f aca="false">$B$17*W13</f>
        <v>0</v>
      </c>
      <c r="X17" s="188" t="n">
        <f aca="false">$B$17*X13</f>
        <v>0</v>
      </c>
      <c r="Y17" s="188" t="n">
        <f aca="false">$B$17*Y13</f>
        <v>0</v>
      </c>
      <c r="Z17" s="188" t="n">
        <f aca="false">$B$17*Z13</f>
        <v>0</v>
      </c>
      <c r="AA17" s="188" t="n">
        <f aca="false">$B$17*AA13</f>
        <v>0</v>
      </c>
      <c r="AB17" s="188" t="n">
        <f aca="false">$B$17*AB13</f>
        <v>0</v>
      </c>
      <c r="AC17" s="188" t="n">
        <f aca="false">$B$17*AC13</f>
        <v>0</v>
      </c>
      <c r="AD17" s="188" t="n">
        <f aca="false">$B$17*AD13</f>
        <v>0</v>
      </c>
      <c r="AE17" s="188" t="n">
        <f aca="false">$B$17*AE13</f>
        <v>0</v>
      </c>
      <c r="AF17" s="188" t="n">
        <f aca="false">$B$17*AF13</f>
        <v>0</v>
      </c>
      <c r="AG17" s="188" t="n">
        <f aca="false">$B$17*AG13</f>
        <v>0</v>
      </c>
      <c r="AH17" s="188" t="n">
        <f aca="false">$B$17*AH13</f>
        <v>0</v>
      </c>
      <c r="AI17" s="448"/>
      <c r="AJ17" s="448"/>
      <c r="AK17" s="448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448"/>
      <c r="AX17" s="448"/>
      <c r="AY17" s="448"/>
      <c r="AZ17" s="448"/>
      <c r="BA17" s="448"/>
      <c r="BB17" s="448"/>
      <c r="BC17" s="448"/>
      <c r="BD17" s="448"/>
      <c r="BE17" s="448"/>
      <c r="BF17" s="448"/>
      <c r="BG17" s="448"/>
      <c r="BH17" s="448"/>
      <c r="BI17" s="448"/>
      <c r="BJ17" s="448"/>
      <c r="BK17" s="448"/>
      <c r="BL17" s="448"/>
      <c r="BM17" s="448"/>
      <c r="BN17" s="448"/>
      <c r="BO17" s="448"/>
      <c r="BP17" s="448"/>
      <c r="BQ17" s="448"/>
      <c r="BR17" s="448"/>
      <c r="BS17" s="448"/>
      <c r="BT17" s="448"/>
      <c r="BU17" s="448"/>
      <c r="BV17" s="448"/>
      <c r="BW17" s="448"/>
      <c r="BX17" s="448"/>
      <c r="BY17" s="448"/>
      <c r="BZ17" s="448"/>
      <c r="CA17" s="448"/>
      <c r="CB17" s="448"/>
      <c r="CC17" s="448"/>
      <c r="CD17" s="448"/>
      <c r="CE17" s="448"/>
      <c r="CF17" s="448"/>
      <c r="CG17" s="448"/>
      <c r="CH17" s="448"/>
      <c r="CI17" s="448"/>
      <c r="CJ17" s="448"/>
      <c r="CK17" s="448"/>
      <c r="CL17" s="448"/>
      <c r="CM17" s="448"/>
      <c r="CN17" s="448"/>
      <c r="CO17" s="448"/>
      <c r="CP17" s="448"/>
      <c r="CQ17" s="448"/>
      <c r="CR17" s="448"/>
      <c r="CS17" s="448"/>
      <c r="CT17" s="448"/>
      <c r="CU17" s="448"/>
      <c r="CV17" s="448"/>
      <c r="CW17" s="448"/>
      <c r="CX17" s="448"/>
      <c r="CY17" s="448"/>
      <c r="CZ17" s="448"/>
      <c r="DA17" s="448"/>
      <c r="DB17" s="448"/>
      <c r="DC17" s="448"/>
      <c r="DD17" s="448"/>
      <c r="DE17" s="448"/>
      <c r="DF17" s="448"/>
      <c r="DG17" s="448"/>
      <c r="DH17" s="448"/>
      <c r="DI17" s="448"/>
      <c r="DJ17" s="448"/>
      <c r="DK17" s="448"/>
      <c r="DL17" s="448"/>
      <c r="DM17" s="448"/>
      <c r="DN17" s="448"/>
      <c r="DO17" s="448"/>
      <c r="DP17" s="448"/>
      <c r="DQ17" s="448"/>
      <c r="DR17" s="448"/>
      <c r="DS17" s="448"/>
      <c r="DT17" s="448"/>
      <c r="DU17" s="448"/>
      <c r="DV17" s="448"/>
      <c r="DW17" s="448"/>
      <c r="DX17" s="448"/>
      <c r="DY17" s="448"/>
      <c r="DZ17" s="448"/>
      <c r="EA17" s="448"/>
      <c r="EB17" s="448"/>
      <c r="EC17" s="448"/>
      <c r="ED17" s="448"/>
      <c r="EE17" s="448"/>
      <c r="EF17" s="448"/>
      <c r="EG17" s="448"/>
      <c r="EH17" s="448"/>
      <c r="EI17" s="448"/>
      <c r="EJ17" s="448"/>
      <c r="EK17" s="448"/>
      <c r="EL17" s="448"/>
      <c r="EM17" s="448"/>
      <c r="EN17" s="448"/>
      <c r="EO17" s="448"/>
      <c r="EP17" s="448"/>
      <c r="EQ17" s="448"/>
      <c r="ER17" s="448"/>
      <c r="ES17" s="448"/>
      <c r="ET17" s="448"/>
      <c r="EU17" s="448"/>
      <c r="EV17" s="448"/>
      <c r="EW17" s="448"/>
      <c r="EX17" s="448"/>
      <c r="EY17" s="448"/>
      <c r="EZ17" s="448"/>
      <c r="FA17" s="448"/>
      <c r="FB17" s="448"/>
      <c r="FC17" s="448"/>
      <c r="FD17" s="448"/>
      <c r="FE17" s="448"/>
      <c r="FF17" s="448"/>
      <c r="FG17" s="448"/>
      <c r="FH17" s="448"/>
      <c r="FI17" s="448"/>
      <c r="FJ17" s="448"/>
      <c r="FK17" s="448"/>
      <c r="FL17" s="448"/>
      <c r="FM17" s="448"/>
      <c r="FN17" s="448"/>
      <c r="FO17" s="448"/>
      <c r="FP17" s="448"/>
      <c r="FQ17" s="448"/>
      <c r="FR17" s="448"/>
      <c r="FS17" s="448"/>
      <c r="FT17" s="448"/>
      <c r="FU17" s="448"/>
      <c r="FV17" s="448"/>
      <c r="FW17" s="448"/>
      <c r="FX17" s="448"/>
      <c r="FY17" s="448"/>
      <c r="FZ17" s="448"/>
      <c r="GA17" s="448"/>
      <c r="GB17" s="448"/>
      <c r="GC17" s="448"/>
      <c r="GD17" s="448"/>
      <c r="GE17" s="448"/>
      <c r="GF17" s="448"/>
      <c r="GG17" s="448"/>
      <c r="GH17" s="448"/>
      <c r="GI17" s="448"/>
      <c r="GJ17" s="448"/>
      <c r="GK17" s="448"/>
      <c r="GL17" s="448"/>
      <c r="GM17" s="448"/>
      <c r="GN17" s="448"/>
      <c r="GO17" s="448"/>
      <c r="GP17" s="448"/>
      <c r="GQ17" s="448"/>
      <c r="GR17" s="448"/>
      <c r="GS17" s="448"/>
      <c r="GT17" s="448"/>
      <c r="GU17" s="448"/>
      <c r="GV17" s="448"/>
      <c r="GW17" s="448"/>
      <c r="GX17" s="448"/>
      <c r="GY17" s="448"/>
      <c r="GZ17" s="448"/>
      <c r="HA17" s="448"/>
      <c r="HB17" s="448"/>
      <c r="HC17" s="448"/>
      <c r="HD17" s="448"/>
      <c r="HE17" s="448"/>
      <c r="HF17" s="448"/>
      <c r="HG17" s="448"/>
      <c r="HH17" s="448"/>
      <c r="HI17" s="448"/>
      <c r="HJ17" s="448"/>
      <c r="HK17" s="448"/>
      <c r="HL17" s="448"/>
      <c r="HM17" s="448"/>
      <c r="HN17" s="448"/>
      <c r="HO17" s="448"/>
      <c r="HP17" s="448"/>
      <c r="HQ17" s="448"/>
      <c r="HR17" s="448"/>
      <c r="HS17" s="448"/>
      <c r="HT17" s="448"/>
      <c r="HU17" s="448"/>
      <c r="HV17" s="448"/>
      <c r="HW17" s="448"/>
      <c r="HX17" s="448"/>
      <c r="HY17" s="448"/>
      <c r="HZ17" s="448"/>
      <c r="IA17" s="448"/>
      <c r="IB17" s="448"/>
      <c r="IC17" s="448"/>
      <c r="ID17" s="448"/>
      <c r="IE17" s="448"/>
      <c r="IF17" s="448"/>
      <c r="IG17" s="448"/>
      <c r="IH17" s="448"/>
      <c r="II17" s="448"/>
      <c r="IJ17" s="448"/>
      <c r="IK17" s="448"/>
      <c r="IL17" s="448"/>
      <c r="IM17" s="448"/>
      <c r="IN17" s="448"/>
      <c r="IO17" s="448"/>
      <c r="IP17" s="448"/>
      <c r="IQ17" s="448"/>
      <c r="IR17" s="448"/>
      <c r="IS17" s="448"/>
      <c r="IT17" s="448"/>
      <c r="IU17" s="448"/>
      <c r="IV17" s="448"/>
      <c r="IW17" s="448"/>
    </row>
    <row r="18" customFormat="false" ht="15" hidden="false" customHeight="false" outlineLevel="0" collapsed="false">
      <c r="A18" s="454" t="s">
        <v>504</v>
      </c>
      <c r="B18" s="355" t="n">
        <f aca="false">Assumptions!$C$58</f>
        <v>0</v>
      </c>
      <c r="C18" s="459"/>
      <c r="D18" s="355" t="n">
        <f aca="false">$B$18*D14</f>
        <v>0</v>
      </c>
      <c r="E18" s="355" t="n">
        <f aca="false">$B$18*E14</f>
        <v>0</v>
      </c>
      <c r="F18" s="355" t="n">
        <f aca="false">$B$18*F14</f>
        <v>0</v>
      </c>
      <c r="G18" s="355" t="n">
        <f aca="false">$B$18*G14</f>
        <v>0</v>
      </c>
      <c r="H18" s="355" t="n">
        <f aca="false">$B$18*H14</f>
        <v>0</v>
      </c>
      <c r="I18" s="355" t="n">
        <f aca="false">$B$18*I14</f>
        <v>0</v>
      </c>
      <c r="J18" s="355" t="n">
        <f aca="false">$B$18*J14</f>
        <v>0</v>
      </c>
      <c r="K18" s="355" t="n">
        <f aca="false">$B$18*K14</f>
        <v>0</v>
      </c>
      <c r="L18" s="355" t="n">
        <f aca="false">$B$18*L14</f>
        <v>0</v>
      </c>
      <c r="M18" s="355" t="n">
        <f aca="false">$B$18*M14</f>
        <v>0</v>
      </c>
      <c r="N18" s="355" t="n">
        <f aca="false">$B$18*N14</f>
        <v>0</v>
      </c>
      <c r="O18" s="355" t="n">
        <f aca="false">$B$18*O14</f>
        <v>0</v>
      </c>
      <c r="P18" s="355" t="n">
        <f aca="false">$B$18*P14</f>
        <v>0</v>
      </c>
      <c r="Q18" s="355" t="n">
        <f aca="false">$B$18*Q14</f>
        <v>0</v>
      </c>
      <c r="R18" s="355" t="n">
        <f aca="false">$B$18*R14</f>
        <v>0</v>
      </c>
      <c r="S18" s="355" t="n">
        <f aca="false">$B$18*S14</f>
        <v>0</v>
      </c>
      <c r="T18" s="355" t="n">
        <f aca="false">$B$18*T14</f>
        <v>0</v>
      </c>
      <c r="U18" s="355" t="n">
        <f aca="false">$B$18*U14</f>
        <v>0</v>
      </c>
      <c r="V18" s="355" t="n">
        <f aca="false">$B$18*V14</f>
        <v>0</v>
      </c>
      <c r="W18" s="355" t="n">
        <f aca="false">$B$18*W14</f>
        <v>0</v>
      </c>
      <c r="X18" s="355" t="n">
        <f aca="false">$B$18*X14</f>
        <v>0</v>
      </c>
      <c r="Y18" s="355" t="n">
        <f aca="false">$B$18*Y14</f>
        <v>0</v>
      </c>
      <c r="Z18" s="355" t="n">
        <f aca="false">$B$18*Z14</f>
        <v>0</v>
      </c>
      <c r="AA18" s="355" t="n">
        <f aca="false">$B$18*AA14</f>
        <v>0</v>
      </c>
      <c r="AB18" s="355" t="n">
        <f aca="false">$B$18*AB14</f>
        <v>0</v>
      </c>
      <c r="AC18" s="355" t="n">
        <f aca="false">$B$18*AC14</f>
        <v>0</v>
      </c>
      <c r="AD18" s="355" t="n">
        <f aca="false">$B$18*AD14</f>
        <v>0</v>
      </c>
      <c r="AE18" s="355" t="n">
        <f aca="false">$B$18*AE14</f>
        <v>0</v>
      </c>
      <c r="AF18" s="355" t="n">
        <f aca="false">$B$18*AF14</f>
        <v>0</v>
      </c>
      <c r="AG18" s="355" t="n">
        <f aca="false">$B$18*AG14</f>
        <v>0</v>
      </c>
      <c r="AH18" s="355" t="n">
        <f aca="false">$B$18*AH14</f>
        <v>0</v>
      </c>
      <c r="AI18" s="448"/>
      <c r="AJ18" s="448"/>
      <c r="AK18" s="448"/>
      <c r="AL18" s="448"/>
      <c r="AM18" s="448"/>
      <c r="AN18" s="448"/>
      <c r="AO18" s="448"/>
      <c r="AP18" s="448"/>
      <c r="AQ18" s="448"/>
      <c r="AR18" s="448"/>
      <c r="AS18" s="448"/>
      <c r="AT18" s="448"/>
      <c r="AU18" s="448"/>
      <c r="AV18" s="448"/>
      <c r="AW18" s="448"/>
      <c r="AX18" s="448"/>
      <c r="AY18" s="448"/>
      <c r="AZ18" s="448"/>
      <c r="BA18" s="448"/>
      <c r="BB18" s="448"/>
      <c r="BC18" s="448"/>
      <c r="BD18" s="448"/>
      <c r="BE18" s="448"/>
      <c r="BF18" s="448"/>
      <c r="BG18" s="448"/>
      <c r="BH18" s="448"/>
      <c r="BI18" s="448"/>
      <c r="BJ18" s="448"/>
      <c r="BK18" s="448"/>
      <c r="BL18" s="448"/>
      <c r="BM18" s="448"/>
      <c r="BN18" s="448"/>
      <c r="BO18" s="448"/>
      <c r="BP18" s="448"/>
      <c r="BQ18" s="448"/>
      <c r="BR18" s="448"/>
      <c r="BS18" s="448"/>
      <c r="BT18" s="448"/>
      <c r="BU18" s="448"/>
      <c r="BV18" s="448"/>
      <c r="BW18" s="448"/>
      <c r="BX18" s="448"/>
      <c r="BY18" s="448"/>
      <c r="BZ18" s="448"/>
      <c r="CA18" s="448"/>
      <c r="CB18" s="448"/>
      <c r="CC18" s="448"/>
      <c r="CD18" s="448"/>
      <c r="CE18" s="448"/>
      <c r="CF18" s="448"/>
      <c r="CG18" s="448"/>
      <c r="CH18" s="448"/>
      <c r="CI18" s="448"/>
      <c r="CJ18" s="448"/>
      <c r="CK18" s="448"/>
      <c r="CL18" s="448"/>
      <c r="CM18" s="448"/>
      <c r="CN18" s="448"/>
      <c r="CO18" s="448"/>
      <c r="CP18" s="448"/>
      <c r="CQ18" s="448"/>
      <c r="CR18" s="448"/>
      <c r="CS18" s="448"/>
      <c r="CT18" s="448"/>
      <c r="CU18" s="448"/>
      <c r="CV18" s="448"/>
      <c r="CW18" s="448"/>
      <c r="CX18" s="448"/>
      <c r="CY18" s="448"/>
      <c r="CZ18" s="448"/>
      <c r="DA18" s="448"/>
      <c r="DB18" s="448"/>
      <c r="DC18" s="448"/>
      <c r="DD18" s="448"/>
      <c r="DE18" s="448"/>
      <c r="DF18" s="448"/>
      <c r="DG18" s="448"/>
      <c r="DH18" s="448"/>
      <c r="DI18" s="448"/>
      <c r="DJ18" s="448"/>
      <c r="DK18" s="448"/>
      <c r="DL18" s="448"/>
      <c r="DM18" s="448"/>
      <c r="DN18" s="448"/>
      <c r="DO18" s="448"/>
      <c r="DP18" s="448"/>
      <c r="DQ18" s="448"/>
      <c r="DR18" s="448"/>
      <c r="DS18" s="448"/>
      <c r="DT18" s="448"/>
      <c r="DU18" s="448"/>
      <c r="DV18" s="448"/>
      <c r="DW18" s="448"/>
      <c r="DX18" s="448"/>
      <c r="DY18" s="448"/>
      <c r="DZ18" s="448"/>
      <c r="EA18" s="448"/>
      <c r="EB18" s="448"/>
      <c r="EC18" s="448"/>
      <c r="ED18" s="448"/>
      <c r="EE18" s="448"/>
      <c r="EF18" s="448"/>
      <c r="EG18" s="448"/>
      <c r="EH18" s="448"/>
      <c r="EI18" s="448"/>
      <c r="EJ18" s="448"/>
      <c r="EK18" s="448"/>
      <c r="EL18" s="448"/>
      <c r="EM18" s="448"/>
      <c r="EN18" s="448"/>
      <c r="EO18" s="448"/>
      <c r="EP18" s="448"/>
      <c r="EQ18" s="448"/>
      <c r="ER18" s="448"/>
      <c r="ES18" s="448"/>
      <c r="ET18" s="448"/>
      <c r="EU18" s="448"/>
      <c r="EV18" s="448"/>
      <c r="EW18" s="448"/>
      <c r="EX18" s="448"/>
      <c r="EY18" s="448"/>
      <c r="EZ18" s="448"/>
      <c r="FA18" s="448"/>
      <c r="FB18" s="448"/>
      <c r="FC18" s="448"/>
      <c r="FD18" s="448"/>
      <c r="FE18" s="448"/>
      <c r="FF18" s="448"/>
      <c r="FG18" s="448"/>
      <c r="FH18" s="448"/>
      <c r="FI18" s="448"/>
      <c r="FJ18" s="448"/>
      <c r="FK18" s="448"/>
      <c r="FL18" s="448"/>
      <c r="FM18" s="448"/>
      <c r="FN18" s="448"/>
      <c r="FO18" s="448"/>
      <c r="FP18" s="448"/>
      <c r="FQ18" s="448"/>
      <c r="FR18" s="448"/>
      <c r="FS18" s="448"/>
      <c r="FT18" s="448"/>
      <c r="FU18" s="448"/>
      <c r="FV18" s="448"/>
      <c r="FW18" s="448"/>
      <c r="FX18" s="448"/>
      <c r="FY18" s="448"/>
      <c r="FZ18" s="448"/>
      <c r="GA18" s="448"/>
      <c r="GB18" s="448"/>
      <c r="GC18" s="448"/>
      <c r="GD18" s="448"/>
      <c r="GE18" s="448"/>
      <c r="GF18" s="448"/>
      <c r="GG18" s="448"/>
      <c r="GH18" s="448"/>
      <c r="GI18" s="448"/>
      <c r="GJ18" s="448"/>
      <c r="GK18" s="448"/>
      <c r="GL18" s="448"/>
      <c r="GM18" s="448"/>
      <c r="GN18" s="448"/>
      <c r="GO18" s="448"/>
      <c r="GP18" s="448"/>
      <c r="GQ18" s="448"/>
      <c r="GR18" s="448"/>
      <c r="GS18" s="448"/>
      <c r="GT18" s="448"/>
      <c r="GU18" s="448"/>
      <c r="GV18" s="448"/>
      <c r="GW18" s="448"/>
      <c r="GX18" s="448"/>
      <c r="GY18" s="448"/>
      <c r="GZ18" s="448"/>
      <c r="HA18" s="448"/>
      <c r="HB18" s="448"/>
      <c r="HC18" s="448"/>
      <c r="HD18" s="448"/>
      <c r="HE18" s="448"/>
      <c r="HF18" s="448"/>
      <c r="HG18" s="448"/>
      <c r="HH18" s="448"/>
      <c r="HI18" s="448"/>
      <c r="HJ18" s="448"/>
      <c r="HK18" s="448"/>
      <c r="HL18" s="448"/>
      <c r="HM18" s="448"/>
      <c r="HN18" s="448"/>
      <c r="HO18" s="448"/>
      <c r="HP18" s="448"/>
      <c r="HQ18" s="448"/>
      <c r="HR18" s="448"/>
      <c r="HS18" s="448"/>
      <c r="HT18" s="448"/>
      <c r="HU18" s="448"/>
      <c r="HV18" s="448"/>
      <c r="HW18" s="448"/>
      <c r="HX18" s="448"/>
      <c r="HY18" s="448"/>
      <c r="HZ18" s="448"/>
      <c r="IA18" s="448"/>
      <c r="IB18" s="448"/>
      <c r="IC18" s="448"/>
      <c r="ID18" s="448"/>
      <c r="IE18" s="448"/>
      <c r="IF18" s="448"/>
      <c r="IG18" s="448"/>
      <c r="IH18" s="448"/>
      <c r="II18" s="448"/>
      <c r="IJ18" s="448"/>
      <c r="IK18" s="448"/>
      <c r="IL18" s="448"/>
      <c r="IM18" s="448"/>
      <c r="IN18" s="448"/>
      <c r="IO18" s="448"/>
      <c r="IP18" s="448"/>
      <c r="IQ18" s="448"/>
      <c r="IR18" s="448"/>
      <c r="IS18" s="448"/>
      <c r="IT18" s="448"/>
      <c r="IU18" s="448"/>
      <c r="IV18" s="448"/>
      <c r="IW18" s="448"/>
    </row>
    <row r="19" customFormat="false" ht="12.75" hidden="false" customHeight="false" outlineLevel="0" collapsed="false">
      <c r="A19" s="454" t="s">
        <v>505</v>
      </c>
      <c r="B19" s="188" t="n">
        <f aca="false">SUM(B16:B18)</f>
        <v>210119.983218267</v>
      </c>
      <c r="C19" s="459"/>
      <c r="D19" s="188" t="n">
        <f aca="false">SUM(D16:D18)</f>
        <v>11631.75699008</v>
      </c>
      <c r="E19" s="188" t="n">
        <f aca="false">SUM(E16:E18)</f>
        <v>21379.8532704854</v>
      </c>
      <c r="F19" s="188" t="n">
        <f aca="false">SUM(F16:F18)</f>
        <v>19512.0498224368</v>
      </c>
      <c r="G19" s="188" t="n">
        <f aca="false">SUM(G16:G18)</f>
        <v>17840.8572636566</v>
      </c>
      <c r="H19" s="188" t="n">
        <f aca="false">SUM(H16:H18)</f>
        <v>16326.9534162909</v>
      </c>
      <c r="I19" s="188" t="n">
        <f aca="false">SUM(I16:I18)</f>
        <v>13149.4646647464</v>
      </c>
      <c r="J19" s="188" t="n">
        <f aca="false">SUM(J16:J18)</f>
        <v>11600.0424668278</v>
      </c>
      <c r="K19" s="188" t="n">
        <f aca="false">SUM(K16:K18)</f>
        <v>11619.7035557546</v>
      </c>
      <c r="L19" s="188" t="n">
        <f aca="false">SUM(L16:L18)</f>
        <v>11600.0424668278</v>
      </c>
      <c r="M19" s="188" t="n">
        <f aca="false">SUM(M16:M18)</f>
        <v>11619.7035557546</v>
      </c>
      <c r="N19" s="188" t="n">
        <f aca="false">SUM(N16:N18)</f>
        <v>11600.0424668278</v>
      </c>
      <c r="O19" s="188" t="n">
        <f aca="false">SUM(O16:O18)</f>
        <v>11619.7035557546</v>
      </c>
      <c r="P19" s="188" t="n">
        <f aca="false">SUM(P16:P18)</f>
        <v>11600.0424668278</v>
      </c>
      <c r="Q19" s="188" t="n">
        <f aca="false">SUM(Q16:Q18)</f>
        <v>11619.7035557546</v>
      </c>
      <c r="R19" s="188" t="n">
        <f aca="false">SUM(R16:R18)</f>
        <v>11600.0424668278</v>
      </c>
      <c r="S19" s="188" t="n">
        <f aca="false">SUM(S16:S18)</f>
        <v>5800.02123341388</v>
      </c>
      <c r="T19" s="188" t="n">
        <f aca="false">SUM(T16:T18)</f>
        <v>0</v>
      </c>
      <c r="U19" s="188" t="n">
        <f aca="false">SUM(U16:U18)</f>
        <v>0</v>
      </c>
      <c r="V19" s="188" t="n">
        <f aca="false">SUM(V16:V18)</f>
        <v>0</v>
      </c>
      <c r="W19" s="188" t="n">
        <f aca="false">SUM(W16:W18)</f>
        <v>0</v>
      </c>
      <c r="X19" s="188" t="n">
        <f aca="false">SUM(X16:X18)</f>
        <v>0</v>
      </c>
      <c r="Y19" s="188" t="n">
        <f aca="false">SUM(Y16:Y18)</f>
        <v>0</v>
      </c>
      <c r="Z19" s="188" t="n">
        <f aca="false">SUM(Z16:Z18)</f>
        <v>0</v>
      </c>
      <c r="AA19" s="188" t="n">
        <f aca="false">SUM(AA16:AA18)</f>
        <v>0</v>
      </c>
      <c r="AB19" s="188" t="n">
        <f aca="false">SUM(AB16:AB18)</f>
        <v>0</v>
      </c>
      <c r="AC19" s="188" t="n">
        <f aca="false">SUM(AC16:AC18)</f>
        <v>0</v>
      </c>
      <c r="AD19" s="188" t="n">
        <f aca="false">SUM(AD16:AD18)</f>
        <v>0</v>
      </c>
      <c r="AE19" s="188" t="n">
        <f aca="false">SUM(AE16:AE18)</f>
        <v>0</v>
      </c>
      <c r="AF19" s="188" t="n">
        <f aca="false">SUM(AF16:AF18)</f>
        <v>0</v>
      </c>
      <c r="AG19" s="188" t="n">
        <f aca="false">SUM(AG16:AG18)</f>
        <v>0</v>
      </c>
      <c r="AH19" s="188" t="n">
        <f aca="false">SUM(AH16:AH18)</f>
        <v>0</v>
      </c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  <c r="AV19" s="448"/>
      <c r="AW19" s="448"/>
      <c r="AX19" s="448"/>
      <c r="AY19" s="448"/>
      <c r="AZ19" s="448"/>
      <c r="BA19" s="448"/>
      <c r="BB19" s="448"/>
      <c r="BC19" s="448"/>
      <c r="BD19" s="448"/>
      <c r="BE19" s="448"/>
      <c r="BF19" s="448"/>
      <c r="BG19" s="448"/>
      <c r="BH19" s="448"/>
      <c r="BI19" s="448"/>
      <c r="BJ19" s="448"/>
      <c r="BK19" s="448"/>
      <c r="BL19" s="448"/>
      <c r="BM19" s="448"/>
      <c r="BN19" s="448"/>
      <c r="BO19" s="448"/>
      <c r="BP19" s="448"/>
      <c r="BQ19" s="448"/>
      <c r="BR19" s="448"/>
      <c r="BS19" s="448"/>
      <c r="BT19" s="448"/>
      <c r="BU19" s="448"/>
      <c r="BV19" s="448"/>
      <c r="BW19" s="448"/>
      <c r="BX19" s="448"/>
      <c r="BY19" s="448"/>
      <c r="BZ19" s="448"/>
      <c r="CA19" s="448"/>
      <c r="CB19" s="448"/>
      <c r="CC19" s="448"/>
      <c r="CD19" s="448"/>
      <c r="CE19" s="448"/>
      <c r="CF19" s="448"/>
      <c r="CG19" s="448"/>
      <c r="CH19" s="448"/>
      <c r="CI19" s="448"/>
      <c r="CJ19" s="448"/>
      <c r="CK19" s="448"/>
      <c r="CL19" s="448"/>
      <c r="CM19" s="448"/>
      <c r="CN19" s="448"/>
      <c r="CO19" s="448"/>
      <c r="CP19" s="448"/>
      <c r="CQ19" s="448"/>
      <c r="CR19" s="448"/>
      <c r="CS19" s="448"/>
      <c r="CT19" s="448"/>
      <c r="CU19" s="448"/>
      <c r="CV19" s="448"/>
      <c r="CW19" s="448"/>
      <c r="CX19" s="448"/>
      <c r="CY19" s="448"/>
      <c r="CZ19" s="448"/>
      <c r="DA19" s="448"/>
      <c r="DB19" s="448"/>
      <c r="DC19" s="448"/>
      <c r="DD19" s="448"/>
      <c r="DE19" s="448"/>
      <c r="DF19" s="448"/>
      <c r="DG19" s="448"/>
      <c r="DH19" s="448"/>
      <c r="DI19" s="448"/>
      <c r="DJ19" s="448"/>
      <c r="DK19" s="448"/>
      <c r="DL19" s="448"/>
      <c r="DM19" s="448"/>
      <c r="DN19" s="448"/>
      <c r="DO19" s="448"/>
      <c r="DP19" s="448"/>
      <c r="DQ19" s="448"/>
      <c r="DR19" s="448"/>
      <c r="DS19" s="448"/>
      <c r="DT19" s="448"/>
      <c r="DU19" s="448"/>
      <c r="DV19" s="448"/>
      <c r="DW19" s="448"/>
      <c r="DX19" s="448"/>
      <c r="DY19" s="448"/>
      <c r="DZ19" s="448"/>
      <c r="EA19" s="448"/>
      <c r="EB19" s="448"/>
      <c r="EC19" s="448"/>
      <c r="ED19" s="448"/>
      <c r="EE19" s="448"/>
      <c r="EF19" s="448"/>
      <c r="EG19" s="448"/>
      <c r="EH19" s="448"/>
      <c r="EI19" s="448"/>
      <c r="EJ19" s="448"/>
      <c r="EK19" s="448"/>
      <c r="EL19" s="448"/>
      <c r="EM19" s="448"/>
      <c r="EN19" s="448"/>
      <c r="EO19" s="448"/>
      <c r="EP19" s="448"/>
      <c r="EQ19" s="448"/>
      <c r="ER19" s="448"/>
      <c r="ES19" s="448"/>
      <c r="ET19" s="448"/>
      <c r="EU19" s="448"/>
      <c r="EV19" s="448"/>
      <c r="EW19" s="448"/>
      <c r="EX19" s="448"/>
      <c r="EY19" s="448"/>
      <c r="EZ19" s="448"/>
      <c r="FA19" s="448"/>
      <c r="FB19" s="448"/>
      <c r="FC19" s="448"/>
      <c r="FD19" s="448"/>
      <c r="FE19" s="448"/>
      <c r="FF19" s="448"/>
      <c r="FG19" s="448"/>
      <c r="FH19" s="448"/>
      <c r="FI19" s="448"/>
      <c r="FJ19" s="448"/>
      <c r="FK19" s="448"/>
      <c r="FL19" s="448"/>
      <c r="FM19" s="448"/>
      <c r="FN19" s="448"/>
      <c r="FO19" s="448"/>
      <c r="FP19" s="448"/>
      <c r="FQ19" s="448"/>
      <c r="FR19" s="448"/>
      <c r="FS19" s="448"/>
      <c r="FT19" s="448"/>
      <c r="FU19" s="448"/>
      <c r="FV19" s="448"/>
      <c r="FW19" s="448"/>
      <c r="FX19" s="448"/>
      <c r="FY19" s="448"/>
      <c r="FZ19" s="448"/>
      <c r="GA19" s="448"/>
      <c r="GB19" s="448"/>
      <c r="GC19" s="448"/>
      <c r="GD19" s="448"/>
      <c r="GE19" s="448"/>
      <c r="GF19" s="448"/>
      <c r="GG19" s="448"/>
      <c r="GH19" s="448"/>
      <c r="GI19" s="448"/>
      <c r="GJ19" s="448"/>
      <c r="GK19" s="448"/>
      <c r="GL19" s="448"/>
      <c r="GM19" s="448"/>
      <c r="GN19" s="448"/>
      <c r="GO19" s="448"/>
      <c r="GP19" s="448"/>
      <c r="GQ19" s="448"/>
      <c r="GR19" s="448"/>
      <c r="GS19" s="448"/>
      <c r="GT19" s="448"/>
      <c r="GU19" s="448"/>
      <c r="GV19" s="448"/>
      <c r="GW19" s="448"/>
      <c r="GX19" s="448"/>
      <c r="GY19" s="448"/>
      <c r="GZ19" s="448"/>
      <c r="HA19" s="448"/>
      <c r="HB19" s="448"/>
      <c r="HC19" s="448"/>
      <c r="HD19" s="448"/>
      <c r="HE19" s="448"/>
      <c r="HF19" s="448"/>
      <c r="HG19" s="448"/>
      <c r="HH19" s="448"/>
      <c r="HI19" s="448"/>
      <c r="HJ19" s="448"/>
      <c r="HK19" s="448"/>
      <c r="HL19" s="448"/>
      <c r="HM19" s="448"/>
      <c r="HN19" s="448"/>
      <c r="HO19" s="448"/>
      <c r="HP19" s="448"/>
      <c r="HQ19" s="448"/>
      <c r="HR19" s="448"/>
      <c r="HS19" s="448"/>
      <c r="HT19" s="448"/>
      <c r="HU19" s="448"/>
      <c r="HV19" s="448"/>
      <c r="HW19" s="448"/>
      <c r="HX19" s="448"/>
      <c r="HY19" s="448"/>
      <c r="HZ19" s="448"/>
      <c r="IA19" s="448"/>
      <c r="IB19" s="448"/>
      <c r="IC19" s="448"/>
      <c r="ID19" s="448"/>
      <c r="IE19" s="448"/>
      <c r="IF19" s="448"/>
      <c r="IG19" s="448"/>
      <c r="IH19" s="448"/>
      <c r="II19" s="448"/>
      <c r="IJ19" s="448"/>
      <c r="IK19" s="448"/>
      <c r="IL19" s="448"/>
      <c r="IM19" s="448"/>
      <c r="IN19" s="448"/>
      <c r="IO19" s="448"/>
      <c r="IP19" s="448"/>
      <c r="IQ19" s="448"/>
      <c r="IR19" s="448"/>
      <c r="IS19" s="448"/>
      <c r="IT19" s="448"/>
      <c r="IU19" s="448"/>
      <c r="IV19" s="448"/>
      <c r="IW19" s="448"/>
    </row>
    <row r="20" customFormat="false" ht="12.75" hidden="false" customHeight="false" outlineLevel="0" collapsed="false">
      <c r="A20" s="448"/>
      <c r="B20" s="188"/>
      <c r="C20" s="459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  <c r="AV20" s="448"/>
      <c r="AW20" s="448"/>
      <c r="AX20" s="448"/>
      <c r="AY20" s="448"/>
      <c r="AZ20" s="448"/>
      <c r="BA20" s="448"/>
      <c r="BB20" s="448"/>
      <c r="BC20" s="448"/>
      <c r="BD20" s="448"/>
      <c r="BE20" s="448"/>
      <c r="BF20" s="448"/>
      <c r="BG20" s="448"/>
      <c r="BH20" s="448"/>
      <c r="BI20" s="448"/>
      <c r="BJ20" s="448"/>
      <c r="BK20" s="448"/>
      <c r="BL20" s="448"/>
      <c r="BM20" s="448"/>
      <c r="BN20" s="448"/>
      <c r="BO20" s="448"/>
      <c r="BP20" s="448"/>
      <c r="BQ20" s="448"/>
      <c r="BR20" s="448"/>
      <c r="BS20" s="448"/>
      <c r="BT20" s="448"/>
      <c r="BU20" s="448"/>
      <c r="BV20" s="448"/>
      <c r="BW20" s="448"/>
      <c r="BX20" s="448"/>
      <c r="BY20" s="448"/>
      <c r="BZ20" s="448"/>
      <c r="CA20" s="448"/>
      <c r="CB20" s="448"/>
      <c r="CC20" s="448"/>
      <c r="CD20" s="448"/>
      <c r="CE20" s="448"/>
      <c r="CF20" s="448"/>
      <c r="CG20" s="448"/>
      <c r="CH20" s="448"/>
      <c r="CI20" s="448"/>
      <c r="CJ20" s="448"/>
      <c r="CK20" s="448"/>
      <c r="CL20" s="448"/>
      <c r="CM20" s="448"/>
      <c r="CN20" s="448"/>
      <c r="CO20" s="448"/>
      <c r="CP20" s="448"/>
      <c r="CQ20" s="448"/>
      <c r="CR20" s="448"/>
      <c r="CS20" s="448"/>
      <c r="CT20" s="448"/>
      <c r="CU20" s="448"/>
      <c r="CV20" s="448"/>
      <c r="CW20" s="448"/>
      <c r="CX20" s="448"/>
      <c r="CY20" s="448"/>
      <c r="CZ20" s="448"/>
      <c r="DA20" s="448"/>
      <c r="DB20" s="448"/>
      <c r="DC20" s="448"/>
      <c r="DD20" s="448"/>
      <c r="DE20" s="448"/>
      <c r="DF20" s="448"/>
      <c r="DG20" s="448"/>
      <c r="DH20" s="448"/>
      <c r="DI20" s="448"/>
      <c r="DJ20" s="448"/>
      <c r="DK20" s="448"/>
      <c r="DL20" s="448"/>
      <c r="DM20" s="448"/>
      <c r="DN20" s="448"/>
      <c r="DO20" s="448"/>
      <c r="DP20" s="448"/>
      <c r="DQ20" s="448"/>
      <c r="DR20" s="448"/>
      <c r="DS20" s="448"/>
      <c r="DT20" s="448"/>
      <c r="DU20" s="448"/>
      <c r="DV20" s="448"/>
      <c r="DW20" s="448"/>
      <c r="DX20" s="448"/>
      <c r="DY20" s="448"/>
      <c r="DZ20" s="448"/>
      <c r="EA20" s="448"/>
      <c r="EB20" s="448"/>
      <c r="EC20" s="448"/>
      <c r="ED20" s="448"/>
      <c r="EE20" s="448"/>
      <c r="EF20" s="448"/>
      <c r="EG20" s="448"/>
      <c r="EH20" s="448"/>
      <c r="EI20" s="448"/>
      <c r="EJ20" s="448"/>
      <c r="EK20" s="448"/>
      <c r="EL20" s="448"/>
      <c r="EM20" s="448"/>
      <c r="EN20" s="448"/>
      <c r="EO20" s="448"/>
      <c r="EP20" s="448"/>
      <c r="EQ20" s="448"/>
      <c r="ER20" s="448"/>
      <c r="ES20" s="448"/>
      <c r="ET20" s="448"/>
      <c r="EU20" s="448"/>
      <c r="EV20" s="448"/>
      <c r="EW20" s="448"/>
      <c r="EX20" s="448"/>
      <c r="EY20" s="448"/>
      <c r="EZ20" s="448"/>
      <c r="FA20" s="448"/>
      <c r="FB20" s="448"/>
      <c r="FC20" s="448"/>
      <c r="FD20" s="448"/>
      <c r="FE20" s="448"/>
      <c r="FF20" s="448"/>
      <c r="FG20" s="448"/>
      <c r="FH20" s="448"/>
      <c r="FI20" s="448"/>
      <c r="FJ20" s="448"/>
      <c r="FK20" s="448"/>
      <c r="FL20" s="448"/>
      <c r="FM20" s="448"/>
      <c r="FN20" s="448"/>
      <c r="FO20" s="448"/>
      <c r="FP20" s="448"/>
      <c r="FQ20" s="448"/>
      <c r="FR20" s="448"/>
      <c r="FS20" s="448"/>
      <c r="FT20" s="448"/>
      <c r="FU20" s="448"/>
      <c r="FV20" s="448"/>
      <c r="FW20" s="448"/>
      <c r="FX20" s="448"/>
      <c r="FY20" s="448"/>
      <c r="FZ20" s="448"/>
      <c r="GA20" s="448"/>
      <c r="GB20" s="448"/>
      <c r="GC20" s="448"/>
      <c r="GD20" s="448"/>
      <c r="GE20" s="448"/>
      <c r="GF20" s="448"/>
      <c r="GG20" s="448"/>
      <c r="GH20" s="448"/>
      <c r="GI20" s="448"/>
      <c r="GJ20" s="448"/>
      <c r="GK20" s="448"/>
      <c r="GL20" s="448"/>
      <c r="GM20" s="448"/>
      <c r="GN20" s="448"/>
      <c r="GO20" s="448"/>
      <c r="GP20" s="448"/>
      <c r="GQ20" s="448"/>
      <c r="GR20" s="448"/>
      <c r="GS20" s="448"/>
      <c r="GT20" s="448"/>
      <c r="GU20" s="448"/>
      <c r="GV20" s="448"/>
      <c r="GW20" s="448"/>
      <c r="GX20" s="448"/>
      <c r="GY20" s="448"/>
      <c r="GZ20" s="448"/>
      <c r="HA20" s="448"/>
      <c r="HB20" s="448"/>
      <c r="HC20" s="448"/>
      <c r="HD20" s="448"/>
      <c r="HE20" s="448"/>
      <c r="HF20" s="448"/>
      <c r="HG20" s="448"/>
      <c r="HH20" s="448"/>
      <c r="HI20" s="448"/>
      <c r="HJ20" s="448"/>
      <c r="HK20" s="448"/>
      <c r="HL20" s="448"/>
      <c r="HM20" s="448"/>
      <c r="HN20" s="448"/>
      <c r="HO20" s="448"/>
      <c r="HP20" s="448"/>
      <c r="HQ20" s="448"/>
      <c r="HR20" s="448"/>
      <c r="HS20" s="448"/>
      <c r="HT20" s="448"/>
      <c r="HU20" s="448"/>
      <c r="HV20" s="448"/>
      <c r="HW20" s="448"/>
      <c r="HX20" s="448"/>
      <c r="HY20" s="448"/>
      <c r="HZ20" s="448"/>
      <c r="IA20" s="448"/>
      <c r="IB20" s="448"/>
      <c r="IC20" s="448"/>
      <c r="ID20" s="448"/>
      <c r="IE20" s="448"/>
      <c r="IF20" s="448"/>
      <c r="IG20" s="448"/>
      <c r="IH20" s="448"/>
      <c r="II20" s="448"/>
      <c r="IJ20" s="448"/>
      <c r="IK20" s="448"/>
      <c r="IL20" s="448"/>
      <c r="IM20" s="448"/>
      <c r="IN20" s="448"/>
      <c r="IO20" s="448"/>
      <c r="IP20" s="448"/>
      <c r="IQ20" s="448"/>
      <c r="IR20" s="448"/>
      <c r="IS20" s="448"/>
      <c r="IT20" s="448"/>
      <c r="IU20" s="448"/>
      <c r="IV20" s="448"/>
      <c r="IW20" s="448"/>
    </row>
    <row r="21" customFormat="false" ht="12.75" hidden="false" customHeight="false" outlineLevel="0" collapsed="false">
      <c r="A21" s="271" t="s">
        <v>506</v>
      </c>
      <c r="B21" s="356" t="n">
        <f aca="false">B19</f>
        <v>210119.983218267</v>
      </c>
      <c r="C21" s="461"/>
      <c r="D21" s="356" t="n">
        <f aca="false">B19-D19</f>
        <v>198488.226228187</v>
      </c>
      <c r="E21" s="356" t="n">
        <f aca="false">D21-E19</f>
        <v>177108.372957702</v>
      </c>
      <c r="F21" s="356" t="n">
        <f aca="false">E21-F19</f>
        <v>157596.323135265</v>
      </c>
      <c r="G21" s="356" t="n">
        <f aca="false">F21-G19</f>
        <v>139755.465871608</v>
      </c>
      <c r="H21" s="356" t="n">
        <f aca="false">G21-H19</f>
        <v>123428.512455317</v>
      </c>
      <c r="I21" s="356" t="n">
        <f aca="false">H21-I19</f>
        <v>110279.047790571</v>
      </c>
      <c r="J21" s="356" t="n">
        <f aca="false">I21-J19</f>
        <v>98679.0053237433</v>
      </c>
      <c r="K21" s="356" t="n">
        <f aca="false">J21-K19</f>
        <v>87059.3017679887</v>
      </c>
      <c r="L21" s="356" t="n">
        <f aca="false">K21-L19</f>
        <v>75459.2593011609</v>
      </c>
      <c r="M21" s="356" t="n">
        <f aca="false">L21-M19</f>
        <v>63839.5557454063</v>
      </c>
      <c r="N21" s="356" t="n">
        <f aca="false">M21-N19</f>
        <v>52239.5132785786</v>
      </c>
      <c r="O21" s="356" t="n">
        <f aca="false">N21-O19</f>
        <v>40619.809722824</v>
      </c>
      <c r="P21" s="356" t="n">
        <f aca="false">O21-P19</f>
        <v>29019.7672559962</v>
      </c>
      <c r="Q21" s="356" t="n">
        <f aca="false">P21-Q19</f>
        <v>17400.0637002416</v>
      </c>
      <c r="R21" s="356" t="n">
        <f aca="false">Q21-R19</f>
        <v>5800.02123341387</v>
      </c>
      <c r="S21" s="356" t="n">
        <f aca="false">R21-S19</f>
        <v>0</v>
      </c>
      <c r="T21" s="356" t="n">
        <f aca="false">S21-T19</f>
        <v>0</v>
      </c>
      <c r="U21" s="356" t="n">
        <f aca="false">T21-U19</f>
        <v>0</v>
      </c>
      <c r="V21" s="356" t="n">
        <f aca="false">U21-V19</f>
        <v>0</v>
      </c>
      <c r="W21" s="356" t="n">
        <f aca="false">V21-W19</f>
        <v>0</v>
      </c>
      <c r="X21" s="356" t="n">
        <f aca="false">W21-X19</f>
        <v>0</v>
      </c>
      <c r="Y21" s="356" t="n">
        <f aca="false">X21-Y19</f>
        <v>0</v>
      </c>
      <c r="Z21" s="356" t="n">
        <f aca="false">Y21-Z19</f>
        <v>0</v>
      </c>
      <c r="AA21" s="356" t="n">
        <f aca="false">Z21-AA19</f>
        <v>0</v>
      </c>
      <c r="AB21" s="356" t="n">
        <f aca="false">AA21-AB19</f>
        <v>0</v>
      </c>
      <c r="AC21" s="356" t="n">
        <f aca="false">AB21-AC19</f>
        <v>0</v>
      </c>
      <c r="AD21" s="356" t="n">
        <f aca="false">AC21-AD19</f>
        <v>0</v>
      </c>
      <c r="AE21" s="356" t="n">
        <f aca="false">AD21-AE19</f>
        <v>0</v>
      </c>
      <c r="AF21" s="356" t="n">
        <f aca="false">AE21-AF19</f>
        <v>0</v>
      </c>
      <c r="AG21" s="356" t="n">
        <f aca="false">AF21-AG19</f>
        <v>0</v>
      </c>
      <c r="AH21" s="356" t="n">
        <f aca="false">AG21-AH19</f>
        <v>0</v>
      </c>
      <c r="AI21" s="462"/>
      <c r="AJ21" s="462"/>
      <c r="AK21" s="448"/>
      <c r="AL21" s="448"/>
      <c r="AM21" s="448"/>
      <c r="AN21" s="448"/>
      <c r="AO21" s="448"/>
      <c r="AP21" s="448"/>
      <c r="AQ21" s="448"/>
      <c r="AR21" s="448"/>
      <c r="AS21" s="448"/>
      <c r="AT21" s="448"/>
      <c r="AU21" s="448"/>
      <c r="AV21" s="448"/>
      <c r="AW21" s="448"/>
      <c r="AX21" s="448"/>
      <c r="AY21" s="448"/>
      <c r="AZ21" s="448"/>
      <c r="BA21" s="448"/>
      <c r="BB21" s="448"/>
      <c r="BC21" s="448"/>
      <c r="BD21" s="448"/>
      <c r="BE21" s="448"/>
      <c r="BF21" s="448"/>
      <c r="BG21" s="448"/>
      <c r="BH21" s="448"/>
      <c r="BI21" s="448"/>
      <c r="BJ21" s="448"/>
      <c r="BK21" s="448"/>
      <c r="BL21" s="448"/>
      <c r="BM21" s="448"/>
      <c r="BN21" s="448"/>
      <c r="BO21" s="448"/>
      <c r="BP21" s="448"/>
      <c r="BQ21" s="448"/>
      <c r="BR21" s="448"/>
      <c r="BS21" s="448"/>
      <c r="BT21" s="448"/>
      <c r="BU21" s="448"/>
      <c r="BV21" s="448"/>
      <c r="BW21" s="448"/>
      <c r="BX21" s="448"/>
      <c r="BY21" s="448"/>
      <c r="BZ21" s="448"/>
      <c r="CA21" s="448"/>
      <c r="CB21" s="448"/>
      <c r="CC21" s="448"/>
      <c r="CD21" s="448"/>
      <c r="CE21" s="448"/>
      <c r="CF21" s="448"/>
      <c r="CG21" s="448"/>
      <c r="CH21" s="448"/>
      <c r="CI21" s="448"/>
      <c r="CJ21" s="448"/>
      <c r="CK21" s="448"/>
      <c r="CL21" s="448"/>
      <c r="CM21" s="448"/>
      <c r="CN21" s="448"/>
      <c r="CO21" s="448"/>
      <c r="CP21" s="448"/>
      <c r="CQ21" s="448"/>
      <c r="CR21" s="448"/>
      <c r="CS21" s="448"/>
      <c r="CT21" s="448"/>
      <c r="CU21" s="448"/>
      <c r="CV21" s="448"/>
      <c r="CW21" s="448"/>
      <c r="CX21" s="448"/>
      <c r="CY21" s="448"/>
      <c r="CZ21" s="448"/>
      <c r="DA21" s="448"/>
      <c r="DB21" s="448"/>
      <c r="DC21" s="448"/>
      <c r="DD21" s="448"/>
      <c r="DE21" s="448"/>
      <c r="DF21" s="448"/>
      <c r="DG21" s="448"/>
      <c r="DH21" s="448"/>
      <c r="DI21" s="448"/>
      <c r="DJ21" s="448"/>
      <c r="DK21" s="448"/>
      <c r="DL21" s="448"/>
      <c r="DM21" s="448"/>
      <c r="DN21" s="448"/>
      <c r="DO21" s="448"/>
      <c r="DP21" s="448"/>
      <c r="DQ21" s="448"/>
      <c r="DR21" s="448"/>
      <c r="DS21" s="448"/>
      <c r="DT21" s="448"/>
      <c r="DU21" s="448"/>
      <c r="DV21" s="448"/>
      <c r="DW21" s="448"/>
      <c r="DX21" s="448"/>
      <c r="DY21" s="448"/>
      <c r="DZ21" s="448"/>
      <c r="EA21" s="448"/>
      <c r="EB21" s="448"/>
      <c r="EC21" s="448"/>
      <c r="ED21" s="448"/>
      <c r="EE21" s="448"/>
      <c r="EF21" s="448"/>
      <c r="EG21" s="448"/>
      <c r="EH21" s="448"/>
      <c r="EI21" s="448"/>
      <c r="EJ21" s="448"/>
      <c r="EK21" s="448"/>
      <c r="EL21" s="448"/>
      <c r="EM21" s="448"/>
      <c r="EN21" s="448"/>
      <c r="EO21" s="448"/>
      <c r="EP21" s="448"/>
      <c r="EQ21" s="448"/>
      <c r="ER21" s="448"/>
      <c r="ES21" s="448"/>
      <c r="ET21" s="448"/>
      <c r="EU21" s="448"/>
      <c r="EV21" s="448"/>
      <c r="EW21" s="448"/>
      <c r="EX21" s="448"/>
      <c r="EY21" s="448"/>
      <c r="EZ21" s="448"/>
      <c r="FA21" s="448"/>
      <c r="FB21" s="448"/>
      <c r="FC21" s="448"/>
      <c r="FD21" s="448"/>
      <c r="FE21" s="448"/>
      <c r="FF21" s="448"/>
      <c r="FG21" s="448"/>
      <c r="FH21" s="448"/>
      <c r="FI21" s="448"/>
      <c r="FJ21" s="448"/>
      <c r="FK21" s="448"/>
      <c r="FL21" s="448"/>
      <c r="FM21" s="448"/>
      <c r="FN21" s="448"/>
      <c r="FO21" s="448"/>
      <c r="FP21" s="448"/>
      <c r="FQ21" s="448"/>
      <c r="FR21" s="448"/>
      <c r="FS21" s="448"/>
      <c r="FT21" s="448"/>
      <c r="FU21" s="448"/>
      <c r="FV21" s="448"/>
      <c r="FW21" s="448"/>
      <c r="FX21" s="448"/>
      <c r="FY21" s="448"/>
      <c r="FZ21" s="448"/>
      <c r="GA21" s="448"/>
      <c r="GB21" s="448"/>
      <c r="GC21" s="448"/>
      <c r="GD21" s="448"/>
      <c r="GE21" s="448"/>
      <c r="GF21" s="448"/>
      <c r="GG21" s="448"/>
      <c r="GH21" s="448"/>
      <c r="GI21" s="448"/>
      <c r="GJ21" s="448"/>
      <c r="GK21" s="448"/>
      <c r="GL21" s="448"/>
      <c r="GM21" s="448"/>
      <c r="GN21" s="448"/>
      <c r="GO21" s="448"/>
      <c r="GP21" s="448"/>
      <c r="GQ21" s="448"/>
      <c r="GR21" s="448"/>
      <c r="GS21" s="448"/>
      <c r="GT21" s="448"/>
      <c r="GU21" s="448"/>
      <c r="GV21" s="448"/>
      <c r="GW21" s="448"/>
      <c r="GX21" s="448"/>
      <c r="GY21" s="448"/>
      <c r="GZ21" s="448"/>
      <c r="HA21" s="448"/>
      <c r="HB21" s="448"/>
      <c r="HC21" s="448"/>
      <c r="HD21" s="448"/>
      <c r="HE21" s="448"/>
      <c r="HF21" s="448"/>
      <c r="HG21" s="448"/>
      <c r="HH21" s="448"/>
      <c r="HI21" s="448"/>
      <c r="HJ21" s="448"/>
      <c r="HK21" s="448"/>
      <c r="HL21" s="448"/>
      <c r="HM21" s="448"/>
      <c r="HN21" s="448"/>
      <c r="HO21" s="448"/>
      <c r="HP21" s="448"/>
      <c r="HQ21" s="448"/>
      <c r="HR21" s="448"/>
      <c r="HS21" s="448"/>
      <c r="HT21" s="448"/>
      <c r="HU21" s="448"/>
      <c r="HV21" s="448"/>
      <c r="HW21" s="448"/>
      <c r="HX21" s="448"/>
      <c r="HY21" s="448"/>
      <c r="HZ21" s="448"/>
      <c r="IA21" s="448"/>
      <c r="IB21" s="448"/>
      <c r="IC21" s="448"/>
      <c r="ID21" s="448"/>
      <c r="IE21" s="448"/>
      <c r="IF21" s="448"/>
      <c r="IG21" s="448"/>
      <c r="IH21" s="448"/>
      <c r="II21" s="448"/>
      <c r="IJ21" s="448"/>
      <c r="IK21" s="448"/>
      <c r="IL21" s="448"/>
      <c r="IM21" s="448"/>
      <c r="IN21" s="448"/>
      <c r="IO21" s="448"/>
      <c r="IP21" s="448"/>
      <c r="IQ21" s="448"/>
      <c r="IR21" s="448"/>
      <c r="IS21" s="448"/>
      <c r="IT21" s="448"/>
      <c r="IU21" s="448"/>
      <c r="IV21" s="448"/>
      <c r="IW21" s="448"/>
    </row>
    <row r="22" customFormat="false" ht="12.75" hidden="false" customHeight="false" outlineLevel="0" collapsed="false">
      <c r="B22" s="463"/>
      <c r="C22" s="464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48"/>
      <c r="AJ22" s="448"/>
      <c r="AK22" s="448"/>
      <c r="AL22" s="448"/>
      <c r="AM22" s="448"/>
      <c r="AN22" s="448"/>
      <c r="AO22" s="448"/>
      <c r="AP22" s="448"/>
      <c r="AQ22" s="448"/>
      <c r="AR22" s="448"/>
      <c r="AS22" s="448"/>
      <c r="AT22" s="448"/>
      <c r="AU22" s="448"/>
      <c r="AV22" s="448"/>
      <c r="AW22" s="448"/>
      <c r="AX22" s="448"/>
      <c r="AY22" s="448"/>
      <c r="AZ22" s="448"/>
      <c r="BA22" s="448"/>
      <c r="BB22" s="448"/>
      <c r="BC22" s="448"/>
      <c r="BD22" s="448"/>
      <c r="BE22" s="448"/>
      <c r="BF22" s="448"/>
      <c r="BG22" s="448"/>
      <c r="BH22" s="448"/>
      <c r="BI22" s="448"/>
      <c r="BJ22" s="448"/>
      <c r="BK22" s="448"/>
      <c r="BL22" s="448"/>
      <c r="BM22" s="448"/>
      <c r="BN22" s="448"/>
      <c r="BO22" s="448"/>
      <c r="BP22" s="448"/>
      <c r="BQ22" s="448"/>
      <c r="BR22" s="448"/>
      <c r="BS22" s="448"/>
      <c r="BT22" s="448"/>
      <c r="BU22" s="448"/>
      <c r="BV22" s="448"/>
      <c r="BW22" s="448"/>
      <c r="BX22" s="448"/>
      <c r="BY22" s="448"/>
      <c r="BZ22" s="448"/>
      <c r="CA22" s="448"/>
      <c r="CB22" s="448"/>
      <c r="CC22" s="448"/>
      <c r="CD22" s="448"/>
      <c r="CE22" s="448"/>
      <c r="CF22" s="448"/>
      <c r="CG22" s="448"/>
      <c r="CH22" s="448"/>
      <c r="CI22" s="448"/>
      <c r="CJ22" s="448"/>
      <c r="CK22" s="448"/>
      <c r="CL22" s="448"/>
      <c r="CM22" s="448"/>
      <c r="CN22" s="448"/>
      <c r="CO22" s="448"/>
      <c r="CP22" s="448"/>
      <c r="CQ22" s="448"/>
      <c r="CR22" s="448"/>
      <c r="CS22" s="448"/>
      <c r="CT22" s="448"/>
      <c r="CU22" s="448"/>
      <c r="CV22" s="448"/>
      <c r="CW22" s="448"/>
      <c r="CX22" s="448"/>
      <c r="CY22" s="448"/>
      <c r="CZ22" s="448"/>
      <c r="DA22" s="448"/>
      <c r="DB22" s="448"/>
      <c r="DC22" s="448"/>
      <c r="DD22" s="448"/>
      <c r="DE22" s="448"/>
      <c r="DF22" s="448"/>
      <c r="DG22" s="448"/>
      <c r="DH22" s="448"/>
      <c r="DI22" s="448"/>
      <c r="DJ22" s="448"/>
      <c r="DK22" s="448"/>
      <c r="DL22" s="448"/>
      <c r="DM22" s="448"/>
      <c r="DN22" s="448"/>
      <c r="DO22" s="448"/>
      <c r="DP22" s="448"/>
      <c r="DQ22" s="448"/>
      <c r="DR22" s="448"/>
      <c r="DS22" s="448"/>
      <c r="DT22" s="448"/>
      <c r="DU22" s="448"/>
      <c r="DV22" s="448"/>
      <c r="DW22" s="448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448"/>
      <c r="EJ22" s="448"/>
      <c r="EK22" s="448"/>
      <c r="EL22" s="448"/>
      <c r="EM22" s="448"/>
      <c r="EN22" s="448"/>
      <c r="EO22" s="448"/>
      <c r="EP22" s="448"/>
      <c r="EQ22" s="448"/>
      <c r="ER22" s="448"/>
      <c r="ES22" s="448"/>
      <c r="ET22" s="448"/>
      <c r="EU22" s="448"/>
      <c r="EV22" s="448"/>
      <c r="EW22" s="448"/>
      <c r="EX22" s="448"/>
      <c r="EY22" s="448"/>
      <c r="EZ22" s="448"/>
      <c r="FA22" s="448"/>
      <c r="FB22" s="448"/>
      <c r="FC22" s="448"/>
      <c r="FD22" s="448"/>
      <c r="FE22" s="448"/>
      <c r="FF22" s="448"/>
      <c r="FG22" s="448"/>
      <c r="FH22" s="448"/>
      <c r="FI22" s="448"/>
      <c r="FJ22" s="448"/>
      <c r="FK22" s="448"/>
      <c r="FL22" s="448"/>
      <c r="FM22" s="448"/>
      <c r="FN22" s="448"/>
      <c r="FO22" s="448"/>
      <c r="FP22" s="448"/>
      <c r="FQ22" s="448"/>
      <c r="FR22" s="448"/>
      <c r="FS22" s="448"/>
      <c r="FT22" s="448"/>
      <c r="FU22" s="448"/>
      <c r="FV22" s="448"/>
      <c r="FW22" s="448"/>
      <c r="FX22" s="448"/>
      <c r="FY22" s="448"/>
      <c r="FZ22" s="448"/>
      <c r="GA22" s="448"/>
      <c r="GB22" s="448"/>
      <c r="GC22" s="448"/>
      <c r="GD22" s="448"/>
      <c r="GE22" s="448"/>
      <c r="GF22" s="448"/>
      <c r="GG22" s="448"/>
      <c r="GH22" s="448"/>
      <c r="GI22" s="448"/>
      <c r="GJ22" s="448"/>
      <c r="GK22" s="448"/>
      <c r="GL22" s="44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8"/>
      <c r="HM22" s="448"/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8"/>
      <c r="IH22" s="448"/>
      <c r="II22" s="448"/>
      <c r="IJ22" s="448"/>
      <c r="IK22" s="448"/>
      <c r="IL22" s="448"/>
      <c r="IM22" s="448"/>
      <c r="IN22" s="448"/>
      <c r="IO22" s="448"/>
      <c r="IP22" s="448"/>
      <c r="IQ22" s="448"/>
      <c r="IR22" s="448"/>
      <c r="IS22" s="448"/>
      <c r="IT22" s="448"/>
      <c r="IU22" s="448"/>
      <c r="IV22" s="448"/>
      <c r="IW22" s="448"/>
    </row>
    <row r="23" customFormat="false" ht="12.75" hidden="false" customHeight="false" outlineLevel="0" collapsed="false">
      <c r="A23" s="465"/>
      <c r="B23" s="166"/>
      <c r="C23" s="466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8"/>
      <c r="BB23" s="448"/>
      <c r="BC23" s="448"/>
      <c r="BD23" s="448"/>
      <c r="BE23" s="448"/>
      <c r="BF23" s="448"/>
      <c r="BG23" s="448"/>
      <c r="BH23" s="448"/>
      <c r="BI23" s="448"/>
      <c r="BJ23" s="448"/>
      <c r="BK23" s="448"/>
      <c r="BL23" s="448"/>
      <c r="BM23" s="448"/>
      <c r="BN23" s="448"/>
      <c r="BO23" s="448"/>
      <c r="BP23" s="448"/>
      <c r="BQ23" s="448"/>
      <c r="BR23" s="448"/>
      <c r="BS23" s="448"/>
      <c r="BT23" s="448"/>
      <c r="BU23" s="448"/>
      <c r="BV23" s="448"/>
      <c r="BW23" s="448"/>
      <c r="BX23" s="448"/>
      <c r="BY23" s="448"/>
      <c r="BZ23" s="448"/>
      <c r="CA23" s="448"/>
      <c r="CB23" s="448"/>
      <c r="CC23" s="448"/>
      <c r="CD23" s="448"/>
      <c r="CE23" s="448"/>
      <c r="CF23" s="448"/>
      <c r="CG23" s="448"/>
      <c r="CH23" s="448"/>
      <c r="CI23" s="448"/>
      <c r="CJ23" s="448"/>
      <c r="CK23" s="448"/>
      <c r="CL23" s="448"/>
      <c r="CM23" s="448"/>
      <c r="CN23" s="448"/>
      <c r="CO23" s="448"/>
      <c r="CP23" s="448"/>
      <c r="CQ23" s="448"/>
      <c r="CR23" s="448"/>
      <c r="CS23" s="448"/>
      <c r="CT23" s="448"/>
      <c r="CU23" s="448"/>
      <c r="CV23" s="448"/>
      <c r="CW23" s="448"/>
      <c r="CX23" s="448"/>
      <c r="CY23" s="448"/>
      <c r="CZ23" s="448"/>
      <c r="DA23" s="448"/>
      <c r="DB23" s="448"/>
      <c r="DC23" s="448"/>
      <c r="DD23" s="448"/>
      <c r="DE23" s="448"/>
      <c r="DF23" s="448"/>
      <c r="DG23" s="448"/>
      <c r="DH23" s="448"/>
      <c r="DI23" s="448"/>
      <c r="DJ23" s="448"/>
      <c r="DK23" s="448"/>
      <c r="DL23" s="448"/>
      <c r="DM23" s="448"/>
      <c r="DN23" s="448"/>
      <c r="DO23" s="448"/>
      <c r="DP23" s="448"/>
      <c r="DQ23" s="448"/>
      <c r="DR23" s="448"/>
      <c r="DS23" s="448"/>
      <c r="DT23" s="448"/>
      <c r="DU23" s="448"/>
      <c r="DV23" s="448"/>
      <c r="DW23" s="448"/>
      <c r="DX23" s="448"/>
      <c r="DY23" s="448"/>
      <c r="DZ23" s="448"/>
      <c r="EA23" s="448"/>
      <c r="EB23" s="448"/>
      <c r="EC23" s="448"/>
      <c r="ED23" s="448"/>
      <c r="EE23" s="448"/>
      <c r="EF23" s="448"/>
      <c r="EG23" s="448"/>
      <c r="EH23" s="448"/>
      <c r="EI23" s="448"/>
      <c r="EJ23" s="448"/>
      <c r="EK23" s="448"/>
      <c r="EL23" s="448"/>
      <c r="EM23" s="448"/>
      <c r="EN23" s="448"/>
      <c r="EO23" s="448"/>
      <c r="EP23" s="448"/>
      <c r="EQ23" s="448"/>
      <c r="ER23" s="448"/>
      <c r="ES23" s="448"/>
      <c r="ET23" s="448"/>
      <c r="EU23" s="448"/>
      <c r="EV23" s="448"/>
      <c r="EW23" s="448"/>
      <c r="EX23" s="448"/>
      <c r="EY23" s="448"/>
      <c r="EZ23" s="448"/>
      <c r="FA23" s="448"/>
      <c r="FB23" s="448"/>
      <c r="FC23" s="448"/>
      <c r="FD23" s="448"/>
      <c r="FE23" s="448"/>
      <c r="FF23" s="448"/>
      <c r="FG23" s="448"/>
      <c r="FH23" s="448"/>
      <c r="FI23" s="448"/>
      <c r="FJ23" s="448"/>
      <c r="FK23" s="448"/>
      <c r="FL23" s="448"/>
      <c r="FM23" s="448"/>
      <c r="FN23" s="448"/>
      <c r="FO23" s="448"/>
      <c r="FP23" s="448"/>
      <c r="FQ23" s="448"/>
      <c r="FR23" s="448"/>
      <c r="FS23" s="448"/>
      <c r="FT23" s="448"/>
      <c r="FU23" s="448"/>
      <c r="FV23" s="448"/>
      <c r="FW23" s="448"/>
      <c r="FX23" s="448"/>
      <c r="FY23" s="448"/>
      <c r="FZ23" s="448"/>
      <c r="GA23" s="448"/>
      <c r="GB23" s="448"/>
      <c r="GC23" s="448"/>
      <c r="GD23" s="448"/>
      <c r="GE23" s="448"/>
      <c r="GF23" s="448"/>
      <c r="GG23" s="448"/>
      <c r="GH23" s="448"/>
      <c r="GI23" s="448"/>
      <c r="GJ23" s="448"/>
      <c r="GK23" s="448"/>
      <c r="GL23" s="448"/>
      <c r="GM23" s="448"/>
      <c r="GN23" s="448"/>
      <c r="GO23" s="448"/>
      <c r="GP23" s="448"/>
      <c r="GQ23" s="448"/>
      <c r="GR23" s="448"/>
      <c r="GS23" s="448"/>
      <c r="GT23" s="448"/>
      <c r="GU23" s="448"/>
      <c r="GV23" s="448"/>
      <c r="GW23" s="448"/>
      <c r="GX23" s="448"/>
      <c r="GY23" s="448"/>
      <c r="GZ23" s="448"/>
      <c r="HA23" s="448"/>
      <c r="HB23" s="448"/>
      <c r="HC23" s="448"/>
      <c r="HD23" s="448"/>
      <c r="HE23" s="448"/>
      <c r="HF23" s="448"/>
      <c r="HG23" s="448"/>
      <c r="HH23" s="448"/>
      <c r="HI23" s="448"/>
      <c r="HJ23" s="448"/>
      <c r="HK23" s="448"/>
      <c r="HL23" s="448"/>
      <c r="HM23" s="448"/>
      <c r="HN23" s="448"/>
      <c r="HO23" s="448"/>
      <c r="HP23" s="448"/>
      <c r="HQ23" s="448"/>
      <c r="HR23" s="448"/>
      <c r="HS23" s="448"/>
      <c r="HT23" s="448"/>
      <c r="HU23" s="448"/>
      <c r="HV23" s="448"/>
      <c r="HW23" s="448"/>
      <c r="HX23" s="448"/>
      <c r="HY23" s="448"/>
      <c r="HZ23" s="448"/>
      <c r="IA23" s="448"/>
      <c r="IB23" s="448"/>
      <c r="IC23" s="448"/>
      <c r="ID23" s="448"/>
      <c r="IE23" s="448"/>
      <c r="IF23" s="448"/>
      <c r="IG23" s="448"/>
      <c r="IH23" s="448"/>
      <c r="II23" s="448"/>
      <c r="IJ23" s="448"/>
      <c r="IK23" s="448"/>
      <c r="IL23" s="448"/>
      <c r="IM23" s="448"/>
      <c r="IN23" s="448"/>
      <c r="IO23" s="448"/>
      <c r="IP23" s="448"/>
      <c r="IQ23" s="448"/>
      <c r="IR23" s="448"/>
      <c r="IS23" s="448"/>
      <c r="IT23" s="448"/>
      <c r="IU23" s="448"/>
      <c r="IV23" s="448"/>
      <c r="IW23" s="448"/>
    </row>
    <row r="24" customFormat="false" ht="12.75" hidden="false" customHeight="false" outlineLevel="0" collapsed="false">
      <c r="A24" s="445" t="s">
        <v>507</v>
      </c>
      <c r="B24" s="33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8"/>
      <c r="BA24" s="448"/>
      <c r="BB24" s="448"/>
      <c r="BC24" s="448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48"/>
      <c r="BU24" s="448"/>
      <c r="BV24" s="448"/>
      <c r="BW24" s="448"/>
      <c r="BX24" s="448"/>
      <c r="BY24" s="448"/>
      <c r="BZ24" s="448"/>
      <c r="CA24" s="448"/>
      <c r="CB24" s="448"/>
      <c r="CC24" s="448"/>
      <c r="CD24" s="448"/>
      <c r="CE24" s="448"/>
      <c r="CF24" s="448"/>
      <c r="CG24" s="448"/>
      <c r="CH24" s="448"/>
      <c r="CI24" s="448"/>
      <c r="CJ24" s="448"/>
      <c r="CK24" s="448"/>
      <c r="CL24" s="448"/>
      <c r="CM24" s="448"/>
      <c r="CN24" s="448"/>
      <c r="CO24" s="448"/>
      <c r="CP24" s="448"/>
      <c r="CQ24" s="448"/>
      <c r="CR24" s="448"/>
      <c r="CS24" s="448"/>
      <c r="CT24" s="448"/>
      <c r="CU24" s="448"/>
      <c r="CV24" s="448"/>
      <c r="CW24" s="448"/>
      <c r="CX24" s="448"/>
      <c r="CY24" s="448"/>
      <c r="CZ24" s="448"/>
      <c r="DA24" s="448"/>
      <c r="DB24" s="448"/>
      <c r="DC24" s="448"/>
      <c r="DD24" s="448"/>
      <c r="DE24" s="448"/>
      <c r="DF24" s="448"/>
      <c r="DG24" s="448"/>
      <c r="DH24" s="448"/>
      <c r="DI24" s="448"/>
      <c r="DJ24" s="448"/>
      <c r="DK24" s="448"/>
      <c r="DL24" s="448"/>
      <c r="DM24" s="448"/>
      <c r="DN24" s="448"/>
      <c r="DO24" s="448"/>
      <c r="DP24" s="448"/>
      <c r="DQ24" s="448"/>
      <c r="DR24" s="448"/>
      <c r="DS24" s="448"/>
      <c r="DT24" s="448"/>
      <c r="DU24" s="448"/>
      <c r="DV24" s="448"/>
      <c r="DW24" s="448"/>
      <c r="DX24" s="448"/>
      <c r="DY24" s="448"/>
      <c r="DZ24" s="448"/>
      <c r="EA24" s="448"/>
      <c r="EB24" s="448"/>
      <c r="EC24" s="448"/>
      <c r="ED24" s="448"/>
      <c r="EE24" s="448"/>
      <c r="EF24" s="448"/>
      <c r="EG24" s="448"/>
      <c r="EH24" s="448"/>
      <c r="EI24" s="448"/>
      <c r="EJ24" s="448"/>
      <c r="EK24" s="448"/>
      <c r="EL24" s="448"/>
      <c r="EM24" s="448"/>
      <c r="EN24" s="448"/>
      <c r="EO24" s="448"/>
      <c r="EP24" s="448"/>
      <c r="EQ24" s="448"/>
      <c r="ER24" s="448"/>
      <c r="ES24" s="448"/>
      <c r="ET24" s="448"/>
      <c r="EU24" s="448"/>
      <c r="EV24" s="448"/>
      <c r="EW24" s="448"/>
      <c r="EX24" s="448"/>
      <c r="EY24" s="448"/>
      <c r="EZ24" s="448"/>
      <c r="FA24" s="448"/>
      <c r="FB24" s="448"/>
      <c r="FC24" s="448"/>
      <c r="FD24" s="448"/>
      <c r="FE24" s="448"/>
      <c r="FF24" s="448"/>
      <c r="FG24" s="448"/>
      <c r="FH24" s="448"/>
      <c r="FI24" s="448"/>
      <c r="FJ24" s="448"/>
      <c r="FK24" s="448"/>
      <c r="FL24" s="448"/>
      <c r="FM24" s="448"/>
      <c r="FN24" s="448"/>
      <c r="FO24" s="448"/>
      <c r="FP24" s="448"/>
      <c r="FQ24" s="448"/>
      <c r="FR24" s="448"/>
      <c r="FS24" s="448"/>
      <c r="FT24" s="448"/>
      <c r="FU24" s="448"/>
      <c r="FV24" s="448"/>
      <c r="FW24" s="448"/>
      <c r="FX24" s="448"/>
      <c r="FY24" s="448"/>
      <c r="FZ24" s="448"/>
      <c r="GA24" s="448"/>
      <c r="GB24" s="448"/>
      <c r="GC24" s="448"/>
      <c r="GD24" s="448"/>
      <c r="GE24" s="448"/>
      <c r="GF24" s="448"/>
      <c r="GG24" s="448"/>
      <c r="GH24" s="448"/>
      <c r="GI24" s="448"/>
      <c r="GJ24" s="448"/>
      <c r="GK24" s="448"/>
      <c r="GL24" s="448"/>
      <c r="GM24" s="448"/>
      <c r="GN24" s="448"/>
      <c r="GO24" s="448"/>
      <c r="GP24" s="448"/>
      <c r="GQ24" s="448"/>
      <c r="GR24" s="448"/>
      <c r="GS24" s="448"/>
      <c r="GT24" s="448"/>
      <c r="GU24" s="448"/>
      <c r="GV24" s="448"/>
      <c r="GW24" s="448"/>
      <c r="GX24" s="448"/>
      <c r="GY24" s="448"/>
      <c r="GZ24" s="448"/>
      <c r="HA24" s="448"/>
      <c r="HB24" s="448"/>
      <c r="HC24" s="448"/>
      <c r="HD24" s="448"/>
      <c r="HE24" s="448"/>
      <c r="HF24" s="448"/>
      <c r="HG24" s="448"/>
      <c r="HH24" s="448"/>
      <c r="HI24" s="448"/>
      <c r="HJ24" s="448"/>
      <c r="HK24" s="448"/>
      <c r="HL24" s="448"/>
      <c r="HM24" s="448"/>
      <c r="HN24" s="448"/>
      <c r="HO24" s="448"/>
      <c r="HP24" s="448"/>
      <c r="HQ24" s="448"/>
      <c r="HR24" s="448"/>
      <c r="HS24" s="448"/>
      <c r="HT24" s="448"/>
      <c r="HU24" s="448"/>
      <c r="HV24" s="448"/>
      <c r="HW24" s="448"/>
      <c r="HX24" s="448"/>
      <c r="HY24" s="448"/>
      <c r="HZ24" s="448"/>
      <c r="IA24" s="448"/>
      <c r="IB24" s="448"/>
      <c r="IC24" s="448"/>
      <c r="ID24" s="448"/>
      <c r="IE24" s="448"/>
      <c r="IF24" s="448"/>
      <c r="IG24" s="448"/>
      <c r="IH24" s="448"/>
      <c r="II24" s="448"/>
      <c r="IJ24" s="448"/>
      <c r="IK24" s="448"/>
      <c r="IL24" s="448"/>
      <c r="IM24" s="448"/>
      <c r="IN24" s="448"/>
      <c r="IO24" s="448"/>
      <c r="IP24" s="448"/>
      <c r="IQ24" s="448"/>
      <c r="IR24" s="448"/>
      <c r="IS24" s="448"/>
      <c r="IT24" s="448"/>
      <c r="IU24" s="448"/>
      <c r="IV24" s="448"/>
      <c r="IW24" s="448"/>
    </row>
    <row r="25" customFormat="false" ht="12.75" hidden="false" customHeight="false" outlineLevel="0" collapsed="false">
      <c r="A25" s="445"/>
      <c r="B25" s="449" t="s">
        <v>501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448"/>
      <c r="BD25" s="448"/>
      <c r="BE25" s="448"/>
      <c r="BF25" s="448"/>
      <c r="BG25" s="448"/>
      <c r="BH25" s="448"/>
      <c r="BI25" s="448"/>
      <c r="BJ25" s="448"/>
      <c r="BK25" s="448"/>
      <c r="BL25" s="448"/>
      <c r="BM25" s="448"/>
      <c r="BN25" s="448"/>
      <c r="BO25" s="448"/>
      <c r="BP25" s="448"/>
      <c r="BQ25" s="448"/>
      <c r="BR25" s="448"/>
      <c r="BS25" s="448"/>
      <c r="BT25" s="448"/>
      <c r="BU25" s="448"/>
      <c r="BV25" s="448"/>
      <c r="BW25" s="448"/>
      <c r="BX25" s="448"/>
      <c r="BY25" s="448"/>
      <c r="BZ25" s="448"/>
      <c r="CA25" s="448"/>
      <c r="CB25" s="448"/>
      <c r="CC25" s="448"/>
      <c r="CD25" s="448"/>
      <c r="CE25" s="448"/>
      <c r="CF25" s="448"/>
      <c r="CG25" s="448"/>
      <c r="CH25" s="448"/>
      <c r="CI25" s="448"/>
      <c r="CJ25" s="448"/>
      <c r="CK25" s="448"/>
      <c r="CL25" s="448"/>
      <c r="CM25" s="448"/>
      <c r="CN25" s="448"/>
      <c r="CO25" s="448"/>
      <c r="CP25" s="448"/>
      <c r="CQ25" s="448"/>
      <c r="CR25" s="448"/>
      <c r="CS25" s="448"/>
      <c r="CT25" s="448"/>
      <c r="CU25" s="448"/>
      <c r="CV25" s="448"/>
      <c r="CW25" s="448"/>
      <c r="CX25" s="448"/>
      <c r="CY25" s="448"/>
      <c r="CZ25" s="448"/>
      <c r="DA25" s="448"/>
      <c r="DB25" s="448"/>
      <c r="DC25" s="448"/>
      <c r="DD25" s="448"/>
      <c r="DE25" s="448"/>
      <c r="DF25" s="448"/>
      <c r="DG25" s="448"/>
      <c r="DH25" s="448"/>
      <c r="DI25" s="448"/>
      <c r="DJ25" s="448"/>
      <c r="DK25" s="448"/>
      <c r="DL25" s="448"/>
      <c r="DM25" s="448"/>
      <c r="DN25" s="448"/>
      <c r="DO25" s="448"/>
      <c r="DP25" s="448"/>
      <c r="DQ25" s="448"/>
      <c r="DR25" s="448"/>
      <c r="DS25" s="448"/>
      <c r="DT25" s="448"/>
      <c r="DU25" s="448"/>
      <c r="DV25" s="448"/>
      <c r="DW25" s="448"/>
      <c r="DX25" s="448"/>
      <c r="DY25" s="448"/>
      <c r="DZ25" s="448"/>
      <c r="EA25" s="448"/>
      <c r="EB25" s="448"/>
      <c r="EC25" s="448"/>
      <c r="ED25" s="448"/>
      <c r="EE25" s="448"/>
      <c r="EF25" s="448"/>
      <c r="EG25" s="448"/>
      <c r="EH25" s="448"/>
      <c r="EI25" s="448"/>
      <c r="EJ25" s="448"/>
      <c r="EK25" s="448"/>
      <c r="EL25" s="448"/>
      <c r="EM25" s="448"/>
      <c r="EN25" s="448"/>
      <c r="EO25" s="448"/>
      <c r="EP25" s="448"/>
      <c r="EQ25" s="448"/>
      <c r="ER25" s="448"/>
      <c r="ES25" s="448"/>
      <c r="ET25" s="448"/>
      <c r="EU25" s="448"/>
      <c r="EV25" s="448"/>
      <c r="EW25" s="448"/>
      <c r="EX25" s="448"/>
      <c r="EY25" s="448"/>
      <c r="EZ25" s="448"/>
      <c r="FA25" s="448"/>
      <c r="FB25" s="448"/>
      <c r="FC25" s="448"/>
      <c r="FD25" s="448"/>
      <c r="FE25" s="448"/>
      <c r="FF25" s="448"/>
      <c r="FG25" s="448"/>
      <c r="FH25" s="448"/>
      <c r="FI25" s="448"/>
      <c r="FJ25" s="448"/>
      <c r="FK25" s="448"/>
      <c r="FL25" s="448"/>
      <c r="FM25" s="448"/>
      <c r="FN25" s="448"/>
      <c r="FO25" s="448"/>
      <c r="FP25" s="448"/>
      <c r="FQ25" s="448"/>
      <c r="FR25" s="448"/>
      <c r="FS25" s="448"/>
      <c r="FT25" s="448"/>
      <c r="FU25" s="448"/>
      <c r="FV25" s="448"/>
      <c r="FW25" s="448"/>
      <c r="FX25" s="448"/>
      <c r="FY25" s="448"/>
      <c r="FZ25" s="448"/>
      <c r="GA25" s="448"/>
      <c r="GB25" s="448"/>
      <c r="GC25" s="448"/>
      <c r="GD25" s="448"/>
      <c r="GE25" s="448"/>
      <c r="GF25" s="448"/>
      <c r="GG25" s="448"/>
      <c r="GH25" s="448"/>
      <c r="GI25" s="448"/>
      <c r="GJ25" s="448"/>
      <c r="GK25" s="448"/>
      <c r="GL25" s="448"/>
      <c r="GM25" s="448"/>
      <c r="GN25" s="448"/>
      <c r="GO25" s="448"/>
      <c r="GP25" s="448"/>
      <c r="GQ25" s="448"/>
      <c r="GR25" s="448"/>
      <c r="GS25" s="448"/>
      <c r="GT25" s="448"/>
      <c r="GU25" s="448"/>
      <c r="GV25" s="448"/>
      <c r="GW25" s="448"/>
      <c r="GX25" s="448"/>
      <c r="GY25" s="448"/>
      <c r="GZ25" s="448"/>
      <c r="HA25" s="448"/>
      <c r="HB25" s="448"/>
      <c r="HC25" s="448"/>
      <c r="HD25" s="448"/>
      <c r="HE25" s="448"/>
      <c r="HF25" s="448"/>
      <c r="HG25" s="448"/>
      <c r="HH25" s="448"/>
      <c r="HI25" s="448"/>
      <c r="HJ25" s="448"/>
      <c r="HK25" s="448"/>
      <c r="HL25" s="448"/>
      <c r="HM25" s="448"/>
      <c r="HN25" s="448"/>
      <c r="HO25" s="448"/>
      <c r="HP25" s="448"/>
      <c r="HQ25" s="448"/>
      <c r="HR25" s="448"/>
      <c r="HS25" s="448"/>
      <c r="HT25" s="448"/>
      <c r="HU25" s="448"/>
      <c r="HV25" s="448"/>
      <c r="HW25" s="448"/>
      <c r="HX25" s="448"/>
      <c r="HY25" s="448"/>
      <c r="HZ25" s="448"/>
      <c r="IA25" s="448"/>
      <c r="IB25" s="448"/>
      <c r="IC25" s="448"/>
      <c r="ID25" s="448"/>
      <c r="IE25" s="448"/>
      <c r="IF25" s="448"/>
      <c r="IG25" s="448"/>
      <c r="IH25" s="448"/>
      <c r="II25" s="448"/>
      <c r="IJ25" s="448"/>
      <c r="IK25" s="448"/>
      <c r="IL25" s="448"/>
      <c r="IM25" s="448"/>
      <c r="IN25" s="448"/>
      <c r="IO25" s="448"/>
      <c r="IP25" s="448"/>
      <c r="IQ25" s="448"/>
      <c r="IR25" s="448"/>
      <c r="IS25" s="448"/>
      <c r="IT25" s="448"/>
      <c r="IU25" s="448"/>
      <c r="IV25" s="448"/>
      <c r="IW25" s="448"/>
    </row>
    <row r="26" customFormat="false" ht="12.75" hidden="false" customHeight="false" outlineLevel="0" collapsed="false">
      <c r="A26" s="451" t="s">
        <v>502</v>
      </c>
      <c r="B26" s="452" t="n">
        <f aca="false">Assumptions!$N$39</f>
        <v>15</v>
      </c>
      <c r="C26" s="453"/>
      <c r="D26" s="294" t="n">
        <f aca="false">D12</f>
        <v>0.05</v>
      </c>
      <c r="E26" s="294" t="n">
        <f aca="false">E12</f>
        <v>0.095</v>
      </c>
      <c r="F26" s="294" t="n">
        <f aca="false">F12</f>
        <v>0.0855</v>
      </c>
      <c r="G26" s="294" t="n">
        <f aca="false">G12</f>
        <v>0.077</v>
      </c>
      <c r="H26" s="294" t="n">
        <f aca="false">H12</f>
        <v>0.0693</v>
      </c>
      <c r="I26" s="294" t="n">
        <f aca="false">I12</f>
        <v>0.0623</v>
      </c>
      <c r="J26" s="294" t="n">
        <f aca="false">J12</f>
        <v>0.059</v>
      </c>
      <c r="K26" s="294" t="n">
        <f aca="false">K12</f>
        <v>0.0591</v>
      </c>
      <c r="L26" s="294" t="n">
        <f aca="false">L12</f>
        <v>0.059</v>
      </c>
      <c r="M26" s="294" t="n">
        <f aca="false">M12</f>
        <v>0.0591</v>
      </c>
      <c r="N26" s="294" t="n">
        <f aca="false">N12</f>
        <v>0.059</v>
      </c>
      <c r="O26" s="294" t="n">
        <f aca="false">O12</f>
        <v>0.0591</v>
      </c>
      <c r="P26" s="294" t="n">
        <f aca="false">P12</f>
        <v>0.059</v>
      </c>
      <c r="Q26" s="294" t="n">
        <f aca="false">Q12</f>
        <v>0.0591</v>
      </c>
      <c r="R26" s="294" t="n">
        <f aca="false">R12</f>
        <v>0.059</v>
      </c>
      <c r="S26" s="294" t="n">
        <f aca="false">S12</f>
        <v>0.0295</v>
      </c>
      <c r="T26" s="294" t="n">
        <f aca="false">T12</f>
        <v>0</v>
      </c>
      <c r="U26" s="294" t="n">
        <f aca="false">U12</f>
        <v>0</v>
      </c>
      <c r="V26" s="294" t="n">
        <f aca="false">V12</f>
        <v>0</v>
      </c>
      <c r="W26" s="294" t="n">
        <f aca="false">W12</f>
        <v>0</v>
      </c>
      <c r="X26" s="294" t="n">
        <f aca="false">X12</f>
        <v>0</v>
      </c>
      <c r="Y26" s="294" t="n">
        <f aca="false">Y12</f>
        <v>0</v>
      </c>
      <c r="Z26" s="294" t="n">
        <f aca="false">Z12</f>
        <v>0</v>
      </c>
      <c r="AA26" s="294" t="n">
        <f aca="false">AA12</f>
        <v>0</v>
      </c>
      <c r="AB26" s="294" t="n">
        <f aca="false">AB12</f>
        <v>0</v>
      </c>
      <c r="AC26" s="294" t="n">
        <f aca="false">AC12</f>
        <v>0</v>
      </c>
      <c r="AD26" s="294" t="n">
        <f aca="false">AD12</f>
        <v>0</v>
      </c>
      <c r="AE26" s="294" t="n">
        <f aca="false">AE12</f>
        <v>0</v>
      </c>
      <c r="AF26" s="294" t="n">
        <f aca="false">AF12</f>
        <v>0</v>
      </c>
      <c r="AG26" s="294" t="n">
        <f aca="false">AG12</f>
        <v>0</v>
      </c>
      <c r="AH26" s="294" t="n">
        <f aca="false">AH12</f>
        <v>0</v>
      </c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8"/>
      <c r="AW26" s="448"/>
      <c r="AX26" s="448"/>
      <c r="AY26" s="448"/>
      <c r="AZ26" s="448"/>
      <c r="BA26" s="448"/>
      <c r="BB26" s="448"/>
      <c r="BC26" s="448"/>
      <c r="BD26" s="448"/>
      <c r="BE26" s="448"/>
      <c r="BF26" s="448"/>
      <c r="BG26" s="448"/>
      <c r="BH26" s="448"/>
      <c r="BI26" s="448"/>
      <c r="BJ26" s="448"/>
      <c r="BK26" s="448"/>
      <c r="BL26" s="448"/>
      <c r="BM26" s="448"/>
      <c r="BN26" s="448"/>
      <c r="BO26" s="448"/>
      <c r="BP26" s="448"/>
      <c r="BQ26" s="448"/>
      <c r="BR26" s="448"/>
      <c r="BS26" s="448"/>
      <c r="BT26" s="448"/>
      <c r="BU26" s="448"/>
      <c r="BV26" s="448"/>
      <c r="BW26" s="448"/>
      <c r="BX26" s="448"/>
      <c r="BY26" s="448"/>
      <c r="BZ26" s="448"/>
      <c r="CA26" s="448"/>
      <c r="CB26" s="448"/>
      <c r="CC26" s="448"/>
      <c r="CD26" s="448"/>
      <c r="CE26" s="448"/>
      <c r="CF26" s="448"/>
      <c r="CG26" s="448"/>
      <c r="CH26" s="448"/>
      <c r="CI26" s="448"/>
      <c r="CJ26" s="448"/>
      <c r="CK26" s="448"/>
      <c r="CL26" s="448"/>
      <c r="CM26" s="448"/>
      <c r="CN26" s="448"/>
      <c r="CO26" s="448"/>
      <c r="CP26" s="448"/>
      <c r="CQ26" s="448"/>
      <c r="CR26" s="448"/>
      <c r="CS26" s="448"/>
      <c r="CT26" s="448"/>
      <c r="CU26" s="448"/>
      <c r="CV26" s="448"/>
      <c r="CW26" s="448"/>
      <c r="CX26" s="448"/>
      <c r="CY26" s="448"/>
      <c r="CZ26" s="448"/>
      <c r="DA26" s="448"/>
      <c r="DB26" s="448"/>
      <c r="DC26" s="448"/>
      <c r="DD26" s="448"/>
      <c r="DE26" s="448"/>
      <c r="DF26" s="448"/>
      <c r="DG26" s="448"/>
      <c r="DH26" s="448"/>
      <c r="DI26" s="448"/>
      <c r="DJ26" s="448"/>
      <c r="DK26" s="448"/>
      <c r="DL26" s="448"/>
      <c r="DM26" s="448"/>
      <c r="DN26" s="448"/>
      <c r="DO26" s="448"/>
      <c r="DP26" s="448"/>
      <c r="DQ26" s="448"/>
      <c r="DR26" s="448"/>
      <c r="DS26" s="448"/>
      <c r="DT26" s="448"/>
      <c r="DU26" s="448"/>
      <c r="DV26" s="448"/>
      <c r="DW26" s="448"/>
      <c r="DX26" s="448"/>
      <c r="DY26" s="448"/>
      <c r="DZ26" s="448"/>
      <c r="EA26" s="448"/>
      <c r="EB26" s="448"/>
      <c r="EC26" s="448"/>
      <c r="ED26" s="448"/>
      <c r="EE26" s="448"/>
      <c r="EF26" s="448"/>
      <c r="EG26" s="448"/>
      <c r="EH26" s="448"/>
      <c r="EI26" s="448"/>
      <c r="EJ26" s="448"/>
      <c r="EK26" s="448"/>
      <c r="EL26" s="448"/>
      <c r="EM26" s="448"/>
      <c r="EN26" s="448"/>
      <c r="EO26" s="448"/>
      <c r="EP26" s="448"/>
      <c r="EQ26" s="448"/>
      <c r="ER26" s="448"/>
      <c r="ES26" s="448"/>
      <c r="ET26" s="448"/>
      <c r="EU26" s="448"/>
      <c r="EV26" s="448"/>
      <c r="EW26" s="448"/>
      <c r="EX26" s="448"/>
      <c r="EY26" s="448"/>
      <c r="EZ26" s="448"/>
      <c r="FA26" s="448"/>
      <c r="FB26" s="448"/>
      <c r="FC26" s="448"/>
      <c r="FD26" s="448"/>
      <c r="FE26" s="448"/>
      <c r="FF26" s="448"/>
      <c r="FG26" s="448"/>
      <c r="FH26" s="448"/>
      <c r="FI26" s="448"/>
      <c r="FJ26" s="448"/>
      <c r="FK26" s="448"/>
      <c r="FL26" s="448"/>
      <c r="FM26" s="448"/>
      <c r="FN26" s="448"/>
      <c r="FO26" s="448"/>
      <c r="FP26" s="448"/>
      <c r="FQ26" s="448"/>
      <c r="FR26" s="448"/>
      <c r="FS26" s="448"/>
      <c r="FT26" s="448"/>
      <c r="FU26" s="448"/>
      <c r="FV26" s="448"/>
      <c r="FW26" s="448"/>
      <c r="FX26" s="448"/>
      <c r="FY26" s="448"/>
      <c r="FZ26" s="448"/>
      <c r="GA26" s="448"/>
      <c r="GB26" s="448"/>
      <c r="GC26" s="448"/>
      <c r="GD26" s="448"/>
      <c r="GE26" s="448"/>
      <c r="GF26" s="448"/>
      <c r="GG26" s="448"/>
      <c r="GH26" s="448"/>
      <c r="GI26" s="448"/>
      <c r="GJ26" s="448"/>
      <c r="GK26" s="448"/>
      <c r="GL26" s="448"/>
      <c r="GM26" s="448"/>
      <c r="GN26" s="448"/>
      <c r="GO26" s="448"/>
      <c r="GP26" s="448"/>
      <c r="GQ26" s="448"/>
      <c r="GR26" s="448"/>
      <c r="GS26" s="448"/>
      <c r="GT26" s="448"/>
      <c r="GU26" s="448"/>
      <c r="GV26" s="448"/>
      <c r="GW26" s="448"/>
      <c r="GX26" s="448"/>
      <c r="GY26" s="448"/>
      <c r="GZ26" s="448"/>
      <c r="HA26" s="448"/>
      <c r="HB26" s="448"/>
      <c r="HC26" s="448"/>
      <c r="HD26" s="448"/>
      <c r="HE26" s="448"/>
      <c r="HF26" s="448"/>
      <c r="HG26" s="448"/>
      <c r="HH26" s="448"/>
      <c r="HI26" s="448"/>
      <c r="HJ26" s="448"/>
      <c r="HK26" s="448"/>
      <c r="HL26" s="448"/>
      <c r="HM26" s="448"/>
      <c r="HN26" s="448"/>
      <c r="HO26" s="448"/>
      <c r="HP26" s="448"/>
      <c r="HQ26" s="448"/>
      <c r="HR26" s="448"/>
      <c r="HS26" s="448"/>
      <c r="HT26" s="448"/>
      <c r="HU26" s="448"/>
      <c r="HV26" s="448"/>
      <c r="HW26" s="448"/>
      <c r="HX26" s="448"/>
      <c r="HY26" s="448"/>
      <c r="HZ26" s="448"/>
      <c r="IA26" s="448"/>
      <c r="IB26" s="448"/>
      <c r="IC26" s="448"/>
      <c r="ID26" s="448"/>
      <c r="IE26" s="448"/>
      <c r="IF26" s="448"/>
      <c r="IG26" s="448"/>
      <c r="IH26" s="448"/>
      <c r="II26" s="448"/>
      <c r="IJ26" s="448"/>
      <c r="IK26" s="448"/>
      <c r="IL26" s="448"/>
      <c r="IM26" s="448"/>
      <c r="IN26" s="448"/>
      <c r="IO26" s="448"/>
      <c r="IP26" s="448"/>
      <c r="IQ26" s="448"/>
      <c r="IR26" s="448"/>
      <c r="IS26" s="448"/>
      <c r="IT26" s="448"/>
      <c r="IU26" s="448"/>
      <c r="IV26" s="448"/>
      <c r="IW26" s="448"/>
    </row>
    <row r="27" customFormat="false" ht="12.75" hidden="false" customHeight="false" outlineLevel="0" collapsed="false">
      <c r="A27" s="451" t="s">
        <v>503</v>
      </c>
      <c r="B27" s="452" t="n">
        <f aca="false">Assumptions!$N$40</f>
        <v>5</v>
      </c>
      <c r="C27" s="453"/>
      <c r="D27" s="294" t="n">
        <f aca="false">D13</f>
        <v>0.133333333333333</v>
      </c>
      <c r="E27" s="294" t="n">
        <f aca="false">E13</f>
        <v>0.2</v>
      </c>
      <c r="F27" s="294" t="n">
        <f aca="false">F13</f>
        <v>0.2</v>
      </c>
      <c r="G27" s="294" t="n">
        <f aca="false">G13</f>
        <v>0.2</v>
      </c>
      <c r="H27" s="294" t="n">
        <f aca="false">H13</f>
        <v>0.2</v>
      </c>
      <c r="I27" s="294" t="n">
        <f aca="false">I13</f>
        <v>0.0666666666666667</v>
      </c>
      <c r="J27" s="294" t="n">
        <f aca="false">J13</f>
        <v>0</v>
      </c>
      <c r="K27" s="294" t="n">
        <f aca="false">K13</f>
        <v>0</v>
      </c>
      <c r="L27" s="294" t="n">
        <f aca="false">L13</f>
        <v>0</v>
      </c>
      <c r="M27" s="294" t="n">
        <f aca="false">M13</f>
        <v>0</v>
      </c>
      <c r="N27" s="294" t="n">
        <f aca="false">N13</f>
        <v>0</v>
      </c>
      <c r="O27" s="294" t="n">
        <f aca="false">O13</f>
        <v>0</v>
      </c>
      <c r="P27" s="294" t="n">
        <f aca="false">P13</f>
        <v>0</v>
      </c>
      <c r="Q27" s="294" t="n">
        <f aca="false">Q13</f>
        <v>0</v>
      </c>
      <c r="R27" s="294" t="n">
        <f aca="false">R13</f>
        <v>0</v>
      </c>
      <c r="S27" s="294" t="n">
        <f aca="false">S13</f>
        <v>0</v>
      </c>
      <c r="T27" s="294" t="n">
        <f aca="false">T13</f>
        <v>0</v>
      </c>
      <c r="U27" s="294" t="n">
        <f aca="false">U13</f>
        <v>0</v>
      </c>
      <c r="V27" s="294" t="n">
        <f aca="false">V13</f>
        <v>0</v>
      </c>
      <c r="W27" s="294" t="n">
        <f aca="false">W13</f>
        <v>0</v>
      </c>
      <c r="X27" s="294" t="n">
        <f aca="false">X13</f>
        <v>0</v>
      </c>
      <c r="Y27" s="294" t="n">
        <f aca="false">Y13</f>
        <v>0</v>
      </c>
      <c r="Z27" s="294" t="n">
        <f aca="false">Z13</f>
        <v>0</v>
      </c>
      <c r="AA27" s="294" t="n">
        <f aca="false">AA13</f>
        <v>0</v>
      </c>
      <c r="AB27" s="294" t="n">
        <f aca="false">AB13</f>
        <v>0</v>
      </c>
      <c r="AC27" s="294" t="n">
        <f aca="false">AC13</f>
        <v>0</v>
      </c>
      <c r="AD27" s="294" t="n">
        <f aca="false">AD13</f>
        <v>0</v>
      </c>
      <c r="AE27" s="294" t="n">
        <f aca="false">AE13</f>
        <v>0</v>
      </c>
      <c r="AF27" s="294" t="n">
        <f aca="false">AF13</f>
        <v>0</v>
      </c>
      <c r="AG27" s="294" t="n">
        <f aca="false">AG13</f>
        <v>0</v>
      </c>
      <c r="AH27" s="294" t="n">
        <f aca="false">AH13</f>
        <v>0</v>
      </c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8"/>
      <c r="AU27" s="448"/>
      <c r="AV27" s="448"/>
      <c r="AW27" s="448"/>
      <c r="AX27" s="448"/>
      <c r="AY27" s="448"/>
      <c r="AZ27" s="448"/>
      <c r="BA27" s="448"/>
      <c r="BB27" s="448"/>
      <c r="BC27" s="448"/>
      <c r="BD27" s="448"/>
      <c r="BE27" s="448"/>
      <c r="BF27" s="448"/>
      <c r="BG27" s="448"/>
      <c r="BH27" s="448"/>
      <c r="BI27" s="448"/>
      <c r="BJ27" s="448"/>
      <c r="BK27" s="448"/>
      <c r="BL27" s="448"/>
      <c r="BM27" s="448"/>
      <c r="BN27" s="448"/>
      <c r="BO27" s="448"/>
      <c r="BP27" s="448"/>
      <c r="BQ27" s="448"/>
      <c r="BR27" s="448"/>
      <c r="BS27" s="448"/>
      <c r="BT27" s="448"/>
      <c r="BU27" s="448"/>
      <c r="BV27" s="448"/>
      <c r="BW27" s="448"/>
      <c r="BX27" s="448"/>
      <c r="BY27" s="448"/>
      <c r="BZ27" s="448"/>
      <c r="CA27" s="448"/>
      <c r="CB27" s="448"/>
      <c r="CC27" s="448"/>
      <c r="CD27" s="448"/>
      <c r="CE27" s="448"/>
      <c r="CF27" s="448"/>
      <c r="CG27" s="448"/>
      <c r="CH27" s="448"/>
      <c r="CI27" s="448"/>
      <c r="CJ27" s="448"/>
      <c r="CK27" s="448"/>
      <c r="CL27" s="448"/>
      <c r="CM27" s="448"/>
      <c r="CN27" s="448"/>
      <c r="CO27" s="448"/>
      <c r="CP27" s="448"/>
      <c r="CQ27" s="448"/>
      <c r="CR27" s="448"/>
      <c r="CS27" s="448"/>
      <c r="CT27" s="448"/>
      <c r="CU27" s="448"/>
      <c r="CV27" s="448"/>
      <c r="CW27" s="448"/>
      <c r="CX27" s="448"/>
      <c r="CY27" s="448"/>
      <c r="CZ27" s="448"/>
      <c r="DA27" s="448"/>
      <c r="DB27" s="448"/>
      <c r="DC27" s="448"/>
      <c r="DD27" s="448"/>
      <c r="DE27" s="448"/>
      <c r="DF27" s="448"/>
      <c r="DG27" s="448"/>
      <c r="DH27" s="448"/>
      <c r="DI27" s="448"/>
      <c r="DJ27" s="448"/>
      <c r="DK27" s="448"/>
      <c r="DL27" s="448"/>
      <c r="DM27" s="448"/>
      <c r="DN27" s="448"/>
      <c r="DO27" s="448"/>
      <c r="DP27" s="448"/>
      <c r="DQ27" s="448"/>
      <c r="DR27" s="448"/>
      <c r="DS27" s="448"/>
      <c r="DT27" s="448"/>
      <c r="DU27" s="448"/>
      <c r="DV27" s="448"/>
      <c r="DW27" s="448"/>
      <c r="DX27" s="448"/>
      <c r="DY27" s="448"/>
      <c r="DZ27" s="448"/>
      <c r="EA27" s="448"/>
      <c r="EB27" s="448"/>
      <c r="EC27" s="448"/>
      <c r="ED27" s="448"/>
      <c r="EE27" s="448"/>
      <c r="EF27" s="448"/>
      <c r="EG27" s="448"/>
      <c r="EH27" s="448"/>
      <c r="EI27" s="448"/>
      <c r="EJ27" s="448"/>
      <c r="EK27" s="448"/>
      <c r="EL27" s="448"/>
      <c r="EM27" s="448"/>
      <c r="EN27" s="448"/>
      <c r="EO27" s="448"/>
      <c r="EP27" s="448"/>
      <c r="EQ27" s="448"/>
      <c r="ER27" s="448"/>
      <c r="ES27" s="448"/>
      <c r="ET27" s="448"/>
      <c r="EU27" s="448"/>
      <c r="EV27" s="448"/>
      <c r="EW27" s="448"/>
      <c r="EX27" s="448"/>
      <c r="EY27" s="448"/>
      <c r="EZ27" s="448"/>
      <c r="FA27" s="448"/>
      <c r="FB27" s="448"/>
      <c r="FC27" s="448"/>
      <c r="FD27" s="448"/>
      <c r="FE27" s="448"/>
      <c r="FF27" s="448"/>
      <c r="FG27" s="448"/>
      <c r="FH27" s="448"/>
      <c r="FI27" s="448"/>
      <c r="FJ27" s="448"/>
      <c r="FK27" s="448"/>
      <c r="FL27" s="448"/>
      <c r="FM27" s="448"/>
      <c r="FN27" s="448"/>
      <c r="FO27" s="448"/>
      <c r="FP27" s="448"/>
      <c r="FQ27" s="448"/>
      <c r="FR27" s="448"/>
      <c r="FS27" s="448"/>
      <c r="FT27" s="448"/>
      <c r="FU27" s="448"/>
      <c r="FV27" s="448"/>
      <c r="FW27" s="448"/>
      <c r="FX27" s="448"/>
      <c r="FY27" s="448"/>
      <c r="FZ27" s="448"/>
      <c r="GA27" s="448"/>
      <c r="GB27" s="448"/>
      <c r="GC27" s="448"/>
      <c r="GD27" s="448"/>
      <c r="GE27" s="448"/>
      <c r="GF27" s="448"/>
      <c r="GG27" s="448"/>
      <c r="GH27" s="448"/>
      <c r="GI27" s="448"/>
      <c r="GJ27" s="448"/>
      <c r="GK27" s="448"/>
      <c r="GL27" s="448"/>
      <c r="GM27" s="448"/>
      <c r="GN27" s="448"/>
      <c r="GO27" s="448"/>
      <c r="GP27" s="448"/>
      <c r="GQ27" s="448"/>
      <c r="GR27" s="448"/>
      <c r="GS27" s="448"/>
      <c r="GT27" s="448"/>
      <c r="GU27" s="448"/>
      <c r="GV27" s="448"/>
      <c r="GW27" s="448"/>
      <c r="GX27" s="448"/>
      <c r="GY27" s="448"/>
      <c r="GZ27" s="448"/>
      <c r="HA27" s="448"/>
      <c r="HB27" s="448"/>
      <c r="HC27" s="448"/>
      <c r="HD27" s="448"/>
      <c r="HE27" s="448"/>
      <c r="HF27" s="448"/>
      <c r="HG27" s="448"/>
      <c r="HH27" s="448"/>
      <c r="HI27" s="448"/>
      <c r="HJ27" s="448"/>
      <c r="HK27" s="448"/>
      <c r="HL27" s="448"/>
      <c r="HM27" s="448"/>
      <c r="HN27" s="448"/>
      <c r="HO27" s="448"/>
      <c r="HP27" s="448"/>
      <c r="HQ27" s="448"/>
      <c r="HR27" s="448"/>
      <c r="HS27" s="448"/>
      <c r="HT27" s="448"/>
      <c r="HU27" s="448"/>
      <c r="HV27" s="448"/>
      <c r="HW27" s="448"/>
      <c r="HX27" s="448"/>
      <c r="HY27" s="448"/>
      <c r="HZ27" s="448"/>
      <c r="IA27" s="448"/>
      <c r="IB27" s="448"/>
      <c r="IC27" s="448"/>
      <c r="ID27" s="448"/>
      <c r="IE27" s="448"/>
      <c r="IF27" s="448"/>
      <c r="IG27" s="448"/>
      <c r="IH27" s="448"/>
      <c r="II27" s="448"/>
      <c r="IJ27" s="448"/>
      <c r="IK27" s="448"/>
      <c r="IL27" s="448"/>
      <c r="IM27" s="448"/>
      <c r="IN27" s="448"/>
      <c r="IO27" s="448"/>
      <c r="IP27" s="448"/>
      <c r="IQ27" s="448"/>
      <c r="IR27" s="448"/>
      <c r="IS27" s="448"/>
      <c r="IT27" s="448"/>
      <c r="IU27" s="448"/>
      <c r="IV27" s="448"/>
      <c r="IW27" s="448"/>
    </row>
    <row r="28" customFormat="false" ht="12.75" hidden="false" customHeight="false" outlineLevel="0" collapsed="false">
      <c r="A28" s="454" t="s">
        <v>504</v>
      </c>
      <c r="B28" s="455" t="n">
        <f aca="false">Assumptions!$N$41</f>
        <v>20</v>
      </c>
      <c r="C28" s="453"/>
      <c r="D28" s="294" t="n">
        <f aca="false">D14</f>
        <v>0.0333333333333333</v>
      </c>
      <c r="E28" s="294" t="n">
        <f aca="false">E14</f>
        <v>0.05</v>
      </c>
      <c r="F28" s="294" t="n">
        <f aca="false">F14</f>
        <v>0.05</v>
      </c>
      <c r="G28" s="294" t="n">
        <f aca="false">G14</f>
        <v>0.05</v>
      </c>
      <c r="H28" s="294" t="n">
        <f aca="false">H14</f>
        <v>0.05</v>
      </c>
      <c r="I28" s="294" t="n">
        <f aca="false">I14</f>
        <v>0.05</v>
      </c>
      <c r="J28" s="294" t="n">
        <f aca="false">J14</f>
        <v>0.05</v>
      </c>
      <c r="K28" s="294" t="n">
        <f aca="false">K14</f>
        <v>0.05</v>
      </c>
      <c r="L28" s="294" t="n">
        <f aca="false">L14</f>
        <v>0.05</v>
      </c>
      <c r="M28" s="294" t="n">
        <f aca="false">M14</f>
        <v>0.05</v>
      </c>
      <c r="N28" s="294" t="n">
        <f aca="false">N14</f>
        <v>0.05</v>
      </c>
      <c r="O28" s="294" t="n">
        <f aca="false">O14</f>
        <v>0.05</v>
      </c>
      <c r="P28" s="294" t="n">
        <f aca="false">P14</f>
        <v>0.05</v>
      </c>
      <c r="Q28" s="294" t="n">
        <f aca="false">Q14</f>
        <v>0.05</v>
      </c>
      <c r="R28" s="294" t="n">
        <f aca="false">R14</f>
        <v>0.05</v>
      </c>
      <c r="S28" s="294" t="n">
        <f aca="false">S14</f>
        <v>0.05</v>
      </c>
      <c r="T28" s="294" t="n">
        <f aca="false">T14</f>
        <v>0.05</v>
      </c>
      <c r="U28" s="294" t="n">
        <f aca="false">U14</f>
        <v>0.05</v>
      </c>
      <c r="V28" s="294" t="n">
        <f aca="false">V14</f>
        <v>0.05</v>
      </c>
      <c r="W28" s="294" t="n">
        <f aca="false">W14</f>
        <v>0.05</v>
      </c>
      <c r="X28" s="294" t="n">
        <f aca="false">X14</f>
        <v>0.0166666666666667</v>
      </c>
      <c r="Y28" s="294" t="n">
        <f aca="false">Y14</f>
        <v>0</v>
      </c>
      <c r="Z28" s="294" t="n">
        <f aca="false">Z14</f>
        <v>0</v>
      </c>
      <c r="AA28" s="294" t="n">
        <f aca="false">AA14</f>
        <v>0</v>
      </c>
      <c r="AB28" s="294" t="n">
        <f aca="false">AB14</f>
        <v>0</v>
      </c>
      <c r="AC28" s="294" t="n">
        <f aca="false">AC14</f>
        <v>0</v>
      </c>
      <c r="AD28" s="294" t="n">
        <f aca="false">AD14</f>
        <v>0</v>
      </c>
      <c r="AE28" s="294" t="n">
        <f aca="false">AE14</f>
        <v>0</v>
      </c>
      <c r="AF28" s="294" t="n">
        <f aca="false">AF14</f>
        <v>0</v>
      </c>
      <c r="AG28" s="294" t="n">
        <f aca="false">AG14</f>
        <v>0</v>
      </c>
      <c r="AH28" s="294" t="n">
        <f aca="false">AH14</f>
        <v>0</v>
      </c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  <c r="AW28" s="448"/>
      <c r="AX28" s="448"/>
      <c r="AY28" s="448"/>
      <c r="AZ28" s="448"/>
      <c r="BA28" s="448"/>
      <c r="BB28" s="448"/>
      <c r="BC28" s="448"/>
      <c r="BD28" s="448"/>
      <c r="BE28" s="448"/>
      <c r="BF28" s="448"/>
      <c r="BG28" s="448"/>
      <c r="BH28" s="448"/>
      <c r="BI28" s="448"/>
      <c r="BJ28" s="448"/>
      <c r="BK28" s="448"/>
      <c r="BL28" s="448"/>
      <c r="BM28" s="448"/>
      <c r="BN28" s="448"/>
      <c r="BO28" s="448"/>
      <c r="BP28" s="448"/>
      <c r="BQ28" s="448"/>
      <c r="BR28" s="448"/>
      <c r="BS28" s="448"/>
      <c r="BT28" s="448"/>
      <c r="BU28" s="448"/>
      <c r="BV28" s="448"/>
      <c r="BW28" s="448"/>
      <c r="BX28" s="448"/>
      <c r="BY28" s="448"/>
      <c r="BZ28" s="448"/>
      <c r="CA28" s="448"/>
      <c r="CB28" s="448"/>
      <c r="CC28" s="448"/>
      <c r="CD28" s="448"/>
      <c r="CE28" s="448"/>
      <c r="CF28" s="448"/>
      <c r="CG28" s="448"/>
      <c r="CH28" s="448"/>
      <c r="CI28" s="448"/>
      <c r="CJ28" s="448"/>
      <c r="CK28" s="448"/>
      <c r="CL28" s="448"/>
      <c r="CM28" s="448"/>
      <c r="CN28" s="448"/>
      <c r="CO28" s="448"/>
      <c r="CP28" s="448"/>
      <c r="CQ28" s="448"/>
      <c r="CR28" s="448"/>
      <c r="CS28" s="448"/>
      <c r="CT28" s="448"/>
      <c r="CU28" s="448"/>
      <c r="CV28" s="448"/>
      <c r="CW28" s="448"/>
      <c r="CX28" s="448"/>
      <c r="CY28" s="448"/>
      <c r="CZ28" s="448"/>
      <c r="DA28" s="448"/>
      <c r="DB28" s="448"/>
      <c r="DC28" s="448"/>
      <c r="DD28" s="448"/>
      <c r="DE28" s="448"/>
      <c r="DF28" s="448"/>
      <c r="DG28" s="448"/>
      <c r="DH28" s="448"/>
      <c r="DI28" s="448"/>
      <c r="DJ28" s="448"/>
      <c r="DK28" s="448"/>
      <c r="DL28" s="448"/>
      <c r="DM28" s="448"/>
      <c r="DN28" s="448"/>
      <c r="DO28" s="448"/>
      <c r="DP28" s="448"/>
      <c r="DQ28" s="448"/>
      <c r="DR28" s="448"/>
      <c r="DS28" s="448"/>
      <c r="DT28" s="448"/>
      <c r="DU28" s="448"/>
      <c r="DV28" s="448"/>
      <c r="DW28" s="448"/>
      <c r="DX28" s="448"/>
      <c r="DY28" s="448"/>
      <c r="DZ28" s="448"/>
      <c r="EA28" s="448"/>
      <c r="EB28" s="448"/>
      <c r="EC28" s="448"/>
      <c r="ED28" s="448"/>
      <c r="EE28" s="448"/>
      <c r="EF28" s="448"/>
      <c r="EG28" s="448"/>
      <c r="EH28" s="448"/>
      <c r="EI28" s="448"/>
      <c r="EJ28" s="448"/>
      <c r="EK28" s="448"/>
      <c r="EL28" s="448"/>
      <c r="EM28" s="448"/>
      <c r="EN28" s="448"/>
      <c r="EO28" s="448"/>
      <c r="EP28" s="448"/>
      <c r="EQ28" s="448"/>
      <c r="ER28" s="448"/>
      <c r="ES28" s="448"/>
      <c r="ET28" s="448"/>
      <c r="EU28" s="448"/>
      <c r="EV28" s="448"/>
      <c r="EW28" s="448"/>
      <c r="EX28" s="448"/>
      <c r="EY28" s="448"/>
      <c r="EZ28" s="448"/>
      <c r="FA28" s="448"/>
      <c r="FB28" s="448"/>
      <c r="FC28" s="448"/>
      <c r="FD28" s="448"/>
      <c r="FE28" s="448"/>
      <c r="FF28" s="448"/>
      <c r="FG28" s="448"/>
      <c r="FH28" s="448"/>
      <c r="FI28" s="448"/>
      <c r="FJ28" s="448"/>
      <c r="FK28" s="448"/>
      <c r="FL28" s="448"/>
      <c r="FM28" s="448"/>
      <c r="FN28" s="448"/>
      <c r="FO28" s="448"/>
      <c r="FP28" s="448"/>
      <c r="FQ28" s="448"/>
      <c r="FR28" s="448"/>
      <c r="FS28" s="448"/>
      <c r="FT28" s="448"/>
      <c r="FU28" s="448"/>
      <c r="FV28" s="448"/>
      <c r="FW28" s="448"/>
      <c r="FX28" s="448"/>
      <c r="FY28" s="448"/>
      <c r="FZ28" s="448"/>
      <c r="GA28" s="448"/>
      <c r="GB28" s="448"/>
      <c r="GC28" s="448"/>
      <c r="GD28" s="448"/>
      <c r="GE28" s="448"/>
      <c r="GF28" s="448"/>
      <c r="GG28" s="448"/>
      <c r="GH28" s="448"/>
      <c r="GI28" s="448"/>
      <c r="GJ28" s="448"/>
      <c r="GK28" s="448"/>
      <c r="GL28" s="448"/>
      <c r="GM28" s="448"/>
      <c r="GN28" s="448"/>
      <c r="GO28" s="448"/>
      <c r="GP28" s="448"/>
      <c r="GQ28" s="448"/>
      <c r="GR28" s="448"/>
      <c r="GS28" s="448"/>
      <c r="GT28" s="448"/>
      <c r="GU28" s="448"/>
      <c r="GV28" s="448"/>
      <c r="GW28" s="448"/>
      <c r="GX28" s="448"/>
      <c r="GY28" s="448"/>
      <c r="GZ28" s="448"/>
      <c r="HA28" s="448"/>
      <c r="HB28" s="448"/>
      <c r="HC28" s="448"/>
      <c r="HD28" s="448"/>
      <c r="HE28" s="448"/>
      <c r="HF28" s="448"/>
      <c r="HG28" s="448"/>
      <c r="HH28" s="448"/>
      <c r="HI28" s="448"/>
      <c r="HJ28" s="448"/>
      <c r="HK28" s="448"/>
      <c r="HL28" s="448"/>
      <c r="HM28" s="448"/>
      <c r="HN28" s="448"/>
      <c r="HO28" s="448"/>
      <c r="HP28" s="448"/>
      <c r="HQ28" s="448"/>
      <c r="HR28" s="448"/>
      <c r="HS28" s="448"/>
      <c r="HT28" s="448"/>
      <c r="HU28" s="448"/>
      <c r="HV28" s="448"/>
      <c r="HW28" s="448"/>
      <c r="HX28" s="448"/>
      <c r="HY28" s="448"/>
      <c r="HZ28" s="448"/>
      <c r="IA28" s="448"/>
      <c r="IB28" s="448"/>
      <c r="IC28" s="448"/>
      <c r="ID28" s="448"/>
      <c r="IE28" s="448"/>
      <c r="IF28" s="448"/>
      <c r="IG28" s="448"/>
      <c r="IH28" s="448"/>
      <c r="II28" s="448"/>
      <c r="IJ28" s="448"/>
      <c r="IK28" s="448"/>
      <c r="IL28" s="448"/>
      <c r="IM28" s="448"/>
      <c r="IN28" s="448"/>
      <c r="IO28" s="448"/>
      <c r="IP28" s="448"/>
      <c r="IQ28" s="448"/>
      <c r="IR28" s="448"/>
      <c r="IS28" s="448"/>
      <c r="IT28" s="448"/>
      <c r="IU28" s="448"/>
      <c r="IV28" s="448"/>
      <c r="IW28" s="448"/>
    </row>
    <row r="29" customFormat="false" ht="12.75" hidden="false" customHeight="false" outlineLevel="0" collapsed="false">
      <c r="A29" s="465"/>
      <c r="B29" s="452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8"/>
      <c r="AU29" s="448"/>
      <c r="AV29" s="448"/>
      <c r="AW29" s="448"/>
      <c r="AX29" s="448"/>
      <c r="AY29" s="448"/>
      <c r="AZ29" s="448"/>
      <c r="BA29" s="448"/>
      <c r="BB29" s="448"/>
      <c r="BC29" s="448"/>
      <c r="BD29" s="448"/>
      <c r="BE29" s="448"/>
      <c r="BF29" s="448"/>
      <c r="BG29" s="448"/>
      <c r="BH29" s="448"/>
      <c r="BI29" s="448"/>
      <c r="BJ29" s="448"/>
      <c r="BK29" s="448"/>
      <c r="BL29" s="448"/>
      <c r="BM29" s="448"/>
      <c r="BN29" s="448"/>
      <c r="BO29" s="448"/>
      <c r="BP29" s="448"/>
      <c r="BQ29" s="448"/>
      <c r="BR29" s="448"/>
      <c r="BS29" s="448"/>
      <c r="BT29" s="448"/>
      <c r="BU29" s="448"/>
      <c r="BV29" s="448"/>
      <c r="BW29" s="448"/>
      <c r="BX29" s="448"/>
      <c r="BY29" s="448"/>
      <c r="BZ29" s="448"/>
      <c r="CA29" s="448"/>
      <c r="CB29" s="448"/>
      <c r="CC29" s="448"/>
      <c r="CD29" s="448"/>
      <c r="CE29" s="448"/>
      <c r="CF29" s="448"/>
      <c r="CG29" s="448"/>
      <c r="CH29" s="448"/>
      <c r="CI29" s="448"/>
      <c r="CJ29" s="448"/>
      <c r="CK29" s="448"/>
      <c r="CL29" s="448"/>
      <c r="CM29" s="448"/>
      <c r="CN29" s="448"/>
      <c r="CO29" s="448"/>
      <c r="CP29" s="448"/>
      <c r="CQ29" s="448"/>
      <c r="CR29" s="448"/>
      <c r="CS29" s="448"/>
      <c r="CT29" s="448"/>
      <c r="CU29" s="448"/>
      <c r="CV29" s="448"/>
      <c r="CW29" s="448"/>
      <c r="CX29" s="448"/>
      <c r="CY29" s="448"/>
      <c r="CZ29" s="448"/>
      <c r="DA29" s="448"/>
      <c r="DB29" s="448"/>
      <c r="DC29" s="448"/>
      <c r="DD29" s="448"/>
      <c r="DE29" s="448"/>
      <c r="DF29" s="448"/>
      <c r="DG29" s="448"/>
      <c r="DH29" s="448"/>
      <c r="DI29" s="448"/>
      <c r="DJ29" s="448"/>
      <c r="DK29" s="448"/>
      <c r="DL29" s="448"/>
      <c r="DM29" s="448"/>
      <c r="DN29" s="448"/>
      <c r="DO29" s="448"/>
      <c r="DP29" s="448"/>
      <c r="DQ29" s="448"/>
      <c r="DR29" s="448"/>
      <c r="DS29" s="448"/>
      <c r="DT29" s="448"/>
      <c r="DU29" s="448"/>
      <c r="DV29" s="448"/>
      <c r="DW29" s="448"/>
      <c r="DX29" s="448"/>
      <c r="DY29" s="448"/>
      <c r="DZ29" s="448"/>
      <c r="EA29" s="448"/>
      <c r="EB29" s="448"/>
      <c r="EC29" s="448"/>
      <c r="ED29" s="448"/>
      <c r="EE29" s="448"/>
      <c r="EF29" s="448"/>
      <c r="EG29" s="448"/>
      <c r="EH29" s="448"/>
      <c r="EI29" s="448"/>
      <c r="EJ29" s="448"/>
      <c r="EK29" s="448"/>
      <c r="EL29" s="448"/>
      <c r="EM29" s="448"/>
      <c r="EN29" s="448"/>
      <c r="EO29" s="448"/>
      <c r="EP29" s="448"/>
      <c r="EQ29" s="448"/>
      <c r="ER29" s="448"/>
      <c r="ES29" s="448"/>
      <c r="ET29" s="448"/>
      <c r="EU29" s="448"/>
      <c r="EV29" s="448"/>
      <c r="EW29" s="448"/>
      <c r="EX29" s="448"/>
      <c r="EY29" s="448"/>
      <c r="EZ29" s="448"/>
      <c r="FA29" s="448"/>
      <c r="FB29" s="448"/>
      <c r="FC29" s="448"/>
      <c r="FD29" s="448"/>
      <c r="FE29" s="448"/>
      <c r="FF29" s="448"/>
      <c r="FG29" s="448"/>
      <c r="FH29" s="448"/>
      <c r="FI29" s="448"/>
      <c r="FJ29" s="448"/>
      <c r="FK29" s="448"/>
      <c r="FL29" s="448"/>
      <c r="FM29" s="448"/>
      <c r="FN29" s="448"/>
      <c r="FO29" s="448"/>
      <c r="FP29" s="448"/>
      <c r="FQ29" s="448"/>
      <c r="FR29" s="448"/>
      <c r="FS29" s="448"/>
      <c r="FT29" s="448"/>
      <c r="FU29" s="448"/>
      <c r="FV29" s="448"/>
      <c r="FW29" s="448"/>
      <c r="FX29" s="448"/>
      <c r="FY29" s="448"/>
      <c r="FZ29" s="448"/>
      <c r="GA29" s="448"/>
      <c r="GB29" s="448"/>
      <c r="GC29" s="448"/>
      <c r="GD29" s="448"/>
      <c r="GE29" s="448"/>
      <c r="GF29" s="448"/>
      <c r="GG29" s="448"/>
      <c r="GH29" s="448"/>
      <c r="GI29" s="448"/>
      <c r="GJ29" s="448"/>
      <c r="GK29" s="448"/>
      <c r="GL29" s="448"/>
      <c r="GM29" s="448"/>
      <c r="GN29" s="448"/>
      <c r="GO29" s="448"/>
      <c r="GP29" s="448"/>
      <c r="GQ29" s="448"/>
      <c r="GR29" s="448"/>
      <c r="GS29" s="448"/>
      <c r="GT29" s="448"/>
      <c r="GU29" s="448"/>
      <c r="GV29" s="448"/>
      <c r="GW29" s="448"/>
      <c r="GX29" s="448"/>
      <c r="GY29" s="448"/>
      <c r="GZ29" s="448"/>
      <c r="HA29" s="448"/>
      <c r="HB29" s="448"/>
      <c r="HC29" s="448"/>
      <c r="HD29" s="448"/>
      <c r="HE29" s="448"/>
      <c r="HF29" s="448"/>
      <c r="HG29" s="448"/>
      <c r="HH29" s="448"/>
      <c r="HI29" s="448"/>
      <c r="HJ29" s="448"/>
      <c r="HK29" s="448"/>
      <c r="HL29" s="448"/>
      <c r="HM29" s="448"/>
      <c r="HN29" s="448"/>
      <c r="HO29" s="448"/>
      <c r="HP29" s="448"/>
      <c r="HQ29" s="448"/>
      <c r="HR29" s="448"/>
      <c r="HS29" s="448"/>
      <c r="HT29" s="448"/>
      <c r="HU29" s="448"/>
      <c r="HV29" s="448"/>
      <c r="HW29" s="448"/>
      <c r="HX29" s="448"/>
      <c r="HY29" s="448"/>
      <c r="HZ29" s="448"/>
      <c r="IA29" s="448"/>
      <c r="IB29" s="448"/>
      <c r="IC29" s="448"/>
      <c r="ID29" s="448"/>
      <c r="IE29" s="448"/>
      <c r="IF29" s="448"/>
      <c r="IG29" s="448"/>
      <c r="IH29" s="448"/>
      <c r="II29" s="448"/>
      <c r="IJ29" s="448"/>
      <c r="IK29" s="448"/>
      <c r="IL29" s="448"/>
      <c r="IM29" s="448"/>
      <c r="IN29" s="448"/>
      <c r="IO29" s="448"/>
      <c r="IP29" s="448"/>
      <c r="IQ29" s="448"/>
      <c r="IR29" s="448"/>
      <c r="IS29" s="448"/>
      <c r="IT29" s="448"/>
      <c r="IU29" s="448"/>
      <c r="IV29" s="448"/>
      <c r="IW29" s="448"/>
    </row>
    <row r="30" customFormat="false" ht="12.75" hidden="false" customHeight="false" outlineLevel="0" collapsed="false">
      <c r="B30" s="449"/>
      <c r="AI30" s="448"/>
      <c r="AJ30" s="448"/>
      <c r="AK30" s="448"/>
      <c r="AL30" s="448"/>
      <c r="AM30" s="448"/>
      <c r="AN30" s="448"/>
      <c r="AO30" s="448"/>
      <c r="AP30" s="448"/>
      <c r="AQ30" s="448"/>
      <c r="AR30" s="448"/>
      <c r="AS30" s="448"/>
      <c r="AT30" s="448"/>
      <c r="AU30" s="448"/>
      <c r="AV30" s="448"/>
      <c r="AW30" s="448"/>
      <c r="AX30" s="448"/>
      <c r="AY30" s="448"/>
      <c r="AZ30" s="448"/>
      <c r="BA30" s="448"/>
      <c r="BB30" s="448"/>
      <c r="BC30" s="448"/>
      <c r="BD30" s="448"/>
      <c r="BE30" s="448"/>
      <c r="BF30" s="448"/>
      <c r="BG30" s="448"/>
      <c r="BH30" s="448"/>
      <c r="BI30" s="448"/>
      <c r="BJ30" s="448"/>
      <c r="BK30" s="448"/>
      <c r="BL30" s="448"/>
      <c r="BM30" s="448"/>
      <c r="BN30" s="448"/>
      <c r="BO30" s="448"/>
      <c r="BP30" s="448"/>
      <c r="BQ30" s="448"/>
      <c r="BR30" s="448"/>
      <c r="BS30" s="448"/>
      <c r="BT30" s="448"/>
      <c r="BU30" s="448"/>
      <c r="BV30" s="448"/>
      <c r="BW30" s="448"/>
      <c r="BX30" s="448"/>
      <c r="BY30" s="448"/>
      <c r="BZ30" s="448"/>
      <c r="CA30" s="448"/>
      <c r="CB30" s="448"/>
      <c r="CC30" s="448"/>
      <c r="CD30" s="448"/>
      <c r="CE30" s="448"/>
      <c r="CF30" s="448"/>
      <c r="CG30" s="448"/>
      <c r="CH30" s="448"/>
      <c r="CI30" s="448"/>
      <c r="CJ30" s="448"/>
      <c r="CK30" s="448"/>
      <c r="CL30" s="448"/>
      <c r="CM30" s="448"/>
      <c r="CN30" s="448"/>
      <c r="CO30" s="448"/>
      <c r="CP30" s="448"/>
      <c r="CQ30" s="448"/>
      <c r="CR30" s="448"/>
      <c r="CS30" s="448"/>
      <c r="CT30" s="448"/>
      <c r="CU30" s="448"/>
      <c r="CV30" s="448"/>
      <c r="CW30" s="448"/>
      <c r="CX30" s="448"/>
      <c r="CY30" s="448"/>
      <c r="CZ30" s="448"/>
      <c r="DA30" s="448"/>
      <c r="DB30" s="448"/>
      <c r="DC30" s="448"/>
      <c r="DD30" s="448"/>
      <c r="DE30" s="448"/>
      <c r="DF30" s="448"/>
      <c r="DG30" s="448"/>
      <c r="DH30" s="448"/>
      <c r="DI30" s="448"/>
      <c r="DJ30" s="448"/>
      <c r="DK30" s="448"/>
      <c r="DL30" s="448"/>
      <c r="DM30" s="448"/>
      <c r="DN30" s="448"/>
      <c r="DO30" s="448"/>
      <c r="DP30" s="448"/>
      <c r="DQ30" s="448"/>
      <c r="DR30" s="448"/>
      <c r="DS30" s="448"/>
      <c r="DT30" s="448"/>
      <c r="DU30" s="448"/>
      <c r="DV30" s="448"/>
      <c r="DW30" s="448"/>
      <c r="DX30" s="448"/>
      <c r="DY30" s="448"/>
      <c r="DZ30" s="448"/>
      <c r="EA30" s="448"/>
      <c r="EB30" s="448"/>
      <c r="EC30" s="448"/>
      <c r="ED30" s="448"/>
      <c r="EE30" s="448"/>
      <c r="EF30" s="448"/>
      <c r="EG30" s="448"/>
      <c r="EH30" s="448"/>
      <c r="EI30" s="448"/>
      <c r="EJ30" s="448"/>
      <c r="EK30" s="448"/>
      <c r="EL30" s="448"/>
      <c r="EM30" s="448"/>
      <c r="EN30" s="448"/>
      <c r="EO30" s="448"/>
      <c r="EP30" s="448"/>
      <c r="EQ30" s="448"/>
      <c r="ER30" s="448"/>
      <c r="ES30" s="448"/>
      <c r="ET30" s="448"/>
      <c r="EU30" s="448"/>
      <c r="EV30" s="448"/>
      <c r="EW30" s="448"/>
      <c r="EX30" s="448"/>
      <c r="EY30" s="448"/>
      <c r="EZ30" s="448"/>
      <c r="FA30" s="448"/>
      <c r="FB30" s="448"/>
      <c r="FC30" s="448"/>
      <c r="FD30" s="448"/>
      <c r="FE30" s="448"/>
      <c r="FF30" s="448"/>
      <c r="FG30" s="448"/>
      <c r="FH30" s="448"/>
      <c r="FI30" s="448"/>
      <c r="FJ30" s="448"/>
      <c r="FK30" s="448"/>
      <c r="FL30" s="448"/>
      <c r="FM30" s="448"/>
      <c r="FN30" s="448"/>
      <c r="FO30" s="448"/>
      <c r="FP30" s="448"/>
      <c r="FQ30" s="448"/>
      <c r="FR30" s="448"/>
      <c r="FS30" s="448"/>
      <c r="FT30" s="448"/>
      <c r="FU30" s="448"/>
      <c r="FV30" s="448"/>
      <c r="FW30" s="448"/>
      <c r="FX30" s="448"/>
      <c r="FY30" s="448"/>
      <c r="FZ30" s="448"/>
      <c r="GA30" s="448"/>
      <c r="GB30" s="448"/>
      <c r="GC30" s="448"/>
      <c r="GD30" s="448"/>
      <c r="GE30" s="448"/>
      <c r="GF30" s="448"/>
      <c r="GG30" s="448"/>
      <c r="GH30" s="448"/>
      <c r="GI30" s="448"/>
      <c r="GJ30" s="448"/>
      <c r="GK30" s="448"/>
      <c r="GL30" s="448"/>
      <c r="GM30" s="448"/>
      <c r="GN30" s="448"/>
      <c r="GO30" s="448"/>
      <c r="GP30" s="448"/>
      <c r="GQ30" s="448"/>
      <c r="GR30" s="448"/>
      <c r="GS30" s="448"/>
      <c r="GT30" s="448"/>
      <c r="GU30" s="448"/>
      <c r="GV30" s="448"/>
      <c r="GW30" s="448"/>
      <c r="GX30" s="448"/>
      <c r="GY30" s="448"/>
      <c r="GZ30" s="448"/>
      <c r="HA30" s="448"/>
      <c r="HB30" s="448"/>
      <c r="HC30" s="448"/>
      <c r="HD30" s="448"/>
      <c r="HE30" s="448"/>
      <c r="HF30" s="448"/>
      <c r="HG30" s="448"/>
      <c r="HH30" s="448"/>
      <c r="HI30" s="448"/>
      <c r="HJ30" s="448"/>
      <c r="HK30" s="448"/>
      <c r="HL30" s="448"/>
      <c r="HM30" s="448"/>
      <c r="HN30" s="448"/>
      <c r="HO30" s="448"/>
      <c r="HP30" s="448"/>
      <c r="HQ30" s="448"/>
      <c r="HR30" s="448"/>
      <c r="HS30" s="448"/>
      <c r="HT30" s="448"/>
      <c r="HU30" s="448"/>
      <c r="HV30" s="448"/>
      <c r="HW30" s="448"/>
      <c r="HX30" s="448"/>
      <c r="HY30" s="448"/>
      <c r="HZ30" s="448"/>
      <c r="IA30" s="448"/>
      <c r="IB30" s="448"/>
      <c r="IC30" s="448"/>
      <c r="ID30" s="448"/>
      <c r="IE30" s="448"/>
      <c r="IF30" s="448"/>
      <c r="IG30" s="448"/>
      <c r="IH30" s="448"/>
      <c r="II30" s="448"/>
      <c r="IJ30" s="448"/>
      <c r="IK30" s="448"/>
      <c r="IL30" s="448"/>
      <c r="IM30" s="448"/>
      <c r="IN30" s="448"/>
      <c r="IO30" s="448"/>
      <c r="IP30" s="448"/>
      <c r="IQ30" s="448"/>
      <c r="IR30" s="448"/>
      <c r="IS30" s="448"/>
      <c r="IT30" s="448"/>
      <c r="IU30" s="448"/>
      <c r="IV30" s="448"/>
      <c r="IW30" s="448"/>
    </row>
    <row r="31" customFormat="false" ht="12.75" hidden="false" customHeight="false" outlineLevel="0" collapsed="false">
      <c r="A31" s="451" t="s">
        <v>502</v>
      </c>
      <c r="B31" s="188" t="n">
        <f aca="false">B16</f>
        <v>196610.889268267</v>
      </c>
      <c r="C31" s="459"/>
      <c r="D31" s="188" t="n">
        <f aca="false">$B$31*D26</f>
        <v>9830.54446341336</v>
      </c>
      <c r="E31" s="188" t="n">
        <f aca="false">$B$31*E26</f>
        <v>18678.0344804854</v>
      </c>
      <c r="F31" s="188" t="n">
        <f aca="false">$B$31*F26</f>
        <v>16810.2310324368</v>
      </c>
      <c r="G31" s="188" t="n">
        <f aca="false">$B$31*G26</f>
        <v>15139.0384736566</v>
      </c>
      <c r="H31" s="188" t="n">
        <f aca="false">$B$31*H26</f>
        <v>13625.1346262909</v>
      </c>
      <c r="I31" s="188" t="n">
        <f aca="false">$B$31*I26</f>
        <v>12248.858401413</v>
      </c>
      <c r="J31" s="188" t="n">
        <f aca="false">$B$31*J26</f>
        <v>11600.0424668278</v>
      </c>
      <c r="K31" s="188" t="n">
        <f aca="false">$B$31*K26</f>
        <v>11619.7035557546</v>
      </c>
      <c r="L31" s="188" t="n">
        <f aca="false">$B$31*L26</f>
        <v>11600.0424668278</v>
      </c>
      <c r="M31" s="188" t="n">
        <f aca="false">$B$31*M26</f>
        <v>11619.7035557546</v>
      </c>
      <c r="N31" s="188" t="n">
        <f aca="false">$B$31*N26</f>
        <v>11600.0424668278</v>
      </c>
      <c r="O31" s="188" t="n">
        <f aca="false">$B$31*O26</f>
        <v>11619.7035557546</v>
      </c>
      <c r="P31" s="188" t="n">
        <f aca="false">$B$31*P26</f>
        <v>11600.0424668278</v>
      </c>
      <c r="Q31" s="188" t="n">
        <f aca="false">$B$31*Q26</f>
        <v>11619.7035557546</v>
      </c>
      <c r="R31" s="188" t="n">
        <f aca="false">$B$31*R26</f>
        <v>11600.0424668278</v>
      </c>
      <c r="S31" s="188" t="n">
        <f aca="false">$B$31*S26</f>
        <v>5800.02123341388</v>
      </c>
      <c r="T31" s="188" t="n">
        <f aca="false">$B$31*T26</f>
        <v>0</v>
      </c>
      <c r="U31" s="188" t="n">
        <f aca="false">$B$31*U26</f>
        <v>0</v>
      </c>
      <c r="V31" s="188" t="n">
        <f aca="false">$B$31*V26</f>
        <v>0</v>
      </c>
      <c r="W31" s="188" t="n">
        <f aca="false">$B$31*W26</f>
        <v>0</v>
      </c>
      <c r="X31" s="188" t="n">
        <f aca="false">$B$31*X26</f>
        <v>0</v>
      </c>
      <c r="Y31" s="188" t="n">
        <f aca="false">$B$31*Y26</f>
        <v>0</v>
      </c>
      <c r="Z31" s="188" t="n">
        <f aca="false">$B$31*Z26</f>
        <v>0</v>
      </c>
      <c r="AA31" s="188" t="n">
        <f aca="false">$B$31*AA26</f>
        <v>0</v>
      </c>
      <c r="AB31" s="188" t="n">
        <f aca="false">$B$31*AB26</f>
        <v>0</v>
      </c>
      <c r="AC31" s="188" t="n">
        <f aca="false">$B$31*AC26</f>
        <v>0</v>
      </c>
      <c r="AD31" s="188" t="n">
        <f aca="false">$B$31*AD26</f>
        <v>0</v>
      </c>
      <c r="AE31" s="188" t="n">
        <f aca="false">$B$31*AE26</f>
        <v>0</v>
      </c>
      <c r="AF31" s="188" t="n">
        <f aca="false">$B$31*AF26</f>
        <v>0</v>
      </c>
      <c r="AG31" s="188" t="n">
        <f aca="false">$B$31*AG26</f>
        <v>0</v>
      </c>
      <c r="AH31" s="188" t="n">
        <f aca="false">$B$31*AH26</f>
        <v>0</v>
      </c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7"/>
      <c r="BZ31" s="467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7"/>
      <c r="CL31" s="467"/>
      <c r="CM31" s="467"/>
      <c r="CN31" s="467"/>
      <c r="CO31" s="467"/>
      <c r="CP31" s="467"/>
      <c r="CQ31" s="467"/>
      <c r="CR31" s="467"/>
      <c r="CS31" s="467"/>
      <c r="CT31" s="467"/>
      <c r="CU31" s="467"/>
      <c r="CV31" s="467"/>
      <c r="CW31" s="467"/>
      <c r="CX31" s="467"/>
      <c r="CY31" s="467"/>
      <c r="CZ31" s="467"/>
      <c r="DA31" s="467"/>
      <c r="DB31" s="467"/>
      <c r="DC31" s="467"/>
      <c r="DD31" s="467"/>
      <c r="DE31" s="467"/>
      <c r="DF31" s="467"/>
      <c r="DG31" s="467"/>
      <c r="DH31" s="467"/>
      <c r="DI31" s="467"/>
      <c r="DJ31" s="467"/>
      <c r="DK31" s="467"/>
      <c r="DL31" s="467"/>
      <c r="DM31" s="467"/>
      <c r="DN31" s="467"/>
      <c r="DO31" s="467"/>
      <c r="DP31" s="467"/>
      <c r="DQ31" s="467"/>
      <c r="DR31" s="467"/>
      <c r="DS31" s="467"/>
      <c r="DT31" s="467"/>
      <c r="DU31" s="467"/>
      <c r="DV31" s="467"/>
      <c r="DW31" s="467"/>
      <c r="DX31" s="467"/>
      <c r="DY31" s="467"/>
      <c r="DZ31" s="467"/>
      <c r="EA31" s="467"/>
      <c r="EB31" s="467"/>
      <c r="EC31" s="467"/>
      <c r="ED31" s="467"/>
      <c r="EE31" s="467"/>
      <c r="EF31" s="467"/>
      <c r="EG31" s="467"/>
      <c r="EH31" s="467"/>
      <c r="EI31" s="467"/>
      <c r="EJ31" s="467"/>
      <c r="EK31" s="467"/>
      <c r="EL31" s="467"/>
      <c r="EM31" s="467"/>
      <c r="EN31" s="467"/>
      <c r="EO31" s="467"/>
      <c r="EP31" s="467"/>
      <c r="EQ31" s="467"/>
      <c r="ER31" s="467"/>
      <c r="ES31" s="467"/>
      <c r="ET31" s="467"/>
      <c r="EU31" s="467"/>
      <c r="EV31" s="467"/>
      <c r="EW31" s="467"/>
      <c r="EX31" s="467"/>
      <c r="EY31" s="467"/>
      <c r="EZ31" s="467"/>
      <c r="FA31" s="467"/>
      <c r="FB31" s="467"/>
      <c r="FC31" s="467"/>
      <c r="FD31" s="467"/>
      <c r="FE31" s="467"/>
      <c r="FF31" s="467"/>
      <c r="FG31" s="467"/>
      <c r="FH31" s="467"/>
      <c r="FI31" s="467"/>
      <c r="FJ31" s="467"/>
      <c r="FK31" s="467"/>
      <c r="FL31" s="467"/>
      <c r="FM31" s="467"/>
      <c r="FN31" s="467"/>
      <c r="FO31" s="467"/>
      <c r="FP31" s="467"/>
      <c r="FQ31" s="467"/>
      <c r="FR31" s="467"/>
      <c r="FS31" s="467"/>
      <c r="FT31" s="467"/>
      <c r="FU31" s="467"/>
      <c r="FV31" s="467"/>
      <c r="FW31" s="467"/>
      <c r="FX31" s="467"/>
      <c r="FY31" s="467"/>
      <c r="FZ31" s="467"/>
      <c r="GA31" s="467"/>
      <c r="GB31" s="467"/>
      <c r="GC31" s="467"/>
      <c r="GD31" s="467"/>
      <c r="GE31" s="467"/>
      <c r="GF31" s="467"/>
      <c r="GG31" s="467"/>
      <c r="GH31" s="467"/>
      <c r="GI31" s="467"/>
      <c r="GJ31" s="467"/>
      <c r="GK31" s="467"/>
      <c r="GL31" s="467"/>
      <c r="GM31" s="467"/>
      <c r="GN31" s="467"/>
      <c r="GO31" s="467"/>
      <c r="GP31" s="467"/>
      <c r="GQ31" s="467"/>
      <c r="GR31" s="467"/>
      <c r="GS31" s="467"/>
      <c r="GT31" s="467"/>
      <c r="GU31" s="467"/>
      <c r="GV31" s="467"/>
      <c r="GW31" s="467"/>
      <c r="GX31" s="467"/>
      <c r="GY31" s="467"/>
      <c r="GZ31" s="467"/>
      <c r="HA31" s="467"/>
      <c r="HB31" s="467"/>
      <c r="HC31" s="467"/>
      <c r="HD31" s="467"/>
      <c r="HE31" s="467"/>
      <c r="HF31" s="467"/>
      <c r="HG31" s="467"/>
      <c r="HH31" s="467"/>
      <c r="HI31" s="467"/>
      <c r="HJ31" s="467"/>
      <c r="HK31" s="467"/>
      <c r="HL31" s="467"/>
      <c r="HM31" s="467"/>
      <c r="HN31" s="467"/>
      <c r="HO31" s="467"/>
      <c r="HP31" s="467"/>
      <c r="HQ31" s="467"/>
      <c r="HR31" s="467"/>
      <c r="HS31" s="467"/>
      <c r="HT31" s="467"/>
      <c r="HU31" s="467"/>
      <c r="HV31" s="467"/>
      <c r="HW31" s="467"/>
      <c r="HX31" s="467"/>
      <c r="HY31" s="467"/>
      <c r="HZ31" s="467"/>
      <c r="IA31" s="467"/>
      <c r="IB31" s="467"/>
      <c r="IC31" s="467"/>
      <c r="ID31" s="467"/>
      <c r="IE31" s="467"/>
      <c r="IF31" s="467"/>
      <c r="IG31" s="467"/>
      <c r="IH31" s="467"/>
      <c r="II31" s="467"/>
      <c r="IJ31" s="467"/>
      <c r="IK31" s="467"/>
      <c r="IL31" s="467"/>
      <c r="IM31" s="467"/>
      <c r="IN31" s="467"/>
      <c r="IO31" s="467"/>
      <c r="IP31" s="467"/>
      <c r="IQ31" s="467"/>
      <c r="IR31" s="467"/>
      <c r="IS31" s="467"/>
      <c r="IT31" s="467"/>
      <c r="IU31" s="467"/>
      <c r="IV31" s="467"/>
      <c r="IW31" s="467"/>
    </row>
    <row r="32" customFormat="false" ht="12.75" hidden="false" customHeight="false" outlineLevel="0" collapsed="false">
      <c r="A32" s="451" t="s">
        <v>503</v>
      </c>
      <c r="B32" s="460" t="n">
        <f aca="false">B17</f>
        <v>13509.09395</v>
      </c>
      <c r="C32" s="459"/>
      <c r="D32" s="188" t="n">
        <f aca="false">D27*$B$32</f>
        <v>1801.21252666667</v>
      </c>
      <c r="E32" s="188" t="n">
        <f aca="false">E27*$B$32</f>
        <v>2701.81879</v>
      </c>
      <c r="F32" s="188" t="n">
        <f aca="false">F27*$B$32</f>
        <v>2701.81879</v>
      </c>
      <c r="G32" s="188" t="n">
        <f aca="false">G27*$B$32</f>
        <v>2701.81879</v>
      </c>
      <c r="H32" s="188" t="n">
        <f aca="false">H27*$B$32</f>
        <v>2701.81879</v>
      </c>
      <c r="I32" s="188" t="n">
        <f aca="false">I27*$B$32</f>
        <v>900.606263333334</v>
      </c>
      <c r="J32" s="188" t="n">
        <f aca="false">J27*$B$32</f>
        <v>0</v>
      </c>
      <c r="K32" s="188" t="n">
        <f aca="false">K27*$B$32</f>
        <v>0</v>
      </c>
      <c r="L32" s="188" t="n">
        <f aca="false">L27*$B$32</f>
        <v>0</v>
      </c>
      <c r="M32" s="188" t="n">
        <f aca="false">M27*$B$32</f>
        <v>0</v>
      </c>
      <c r="N32" s="188" t="n">
        <f aca="false">N27*$B$32</f>
        <v>0</v>
      </c>
      <c r="O32" s="188" t="n">
        <f aca="false">O27*$B$32</f>
        <v>0</v>
      </c>
      <c r="P32" s="188" t="n">
        <f aca="false">P27*$B$32</f>
        <v>0</v>
      </c>
      <c r="Q32" s="188" t="n">
        <f aca="false">Q27*$B$32</f>
        <v>0</v>
      </c>
      <c r="R32" s="188" t="n">
        <f aca="false">R27*$B$32</f>
        <v>0</v>
      </c>
      <c r="S32" s="188" t="n">
        <f aca="false">S27*$B$32</f>
        <v>0</v>
      </c>
      <c r="T32" s="188" t="n">
        <f aca="false">T27*$B$32</f>
        <v>0</v>
      </c>
      <c r="U32" s="188" t="n">
        <f aca="false">U27*$B$32</f>
        <v>0</v>
      </c>
      <c r="V32" s="188" t="n">
        <f aca="false">V27*$B$32</f>
        <v>0</v>
      </c>
      <c r="W32" s="188" t="n">
        <f aca="false">W27*$B$32</f>
        <v>0</v>
      </c>
      <c r="X32" s="188" t="n">
        <f aca="false">X27*$B$32</f>
        <v>0</v>
      </c>
      <c r="Y32" s="188" t="n">
        <f aca="false">Y27*$B$32</f>
        <v>0</v>
      </c>
      <c r="Z32" s="188" t="n">
        <f aca="false">Z27*$B$32</f>
        <v>0</v>
      </c>
      <c r="AA32" s="188" t="n">
        <f aca="false">AA27*$B$32</f>
        <v>0</v>
      </c>
      <c r="AB32" s="188" t="n">
        <f aca="false">AB27*$B$32</f>
        <v>0</v>
      </c>
      <c r="AC32" s="188" t="n">
        <f aca="false">AC27*$B$32</f>
        <v>0</v>
      </c>
      <c r="AD32" s="188" t="n">
        <f aca="false">AD27*$B$32</f>
        <v>0</v>
      </c>
      <c r="AE32" s="188" t="n">
        <f aca="false">AE27*$B$32</f>
        <v>0</v>
      </c>
      <c r="AF32" s="188" t="n">
        <f aca="false">AF27*$B$32</f>
        <v>0</v>
      </c>
      <c r="AG32" s="188" t="n">
        <f aca="false">AG27*$B$32</f>
        <v>0</v>
      </c>
      <c r="AH32" s="188" t="n">
        <f aca="false">AH27*$B$32</f>
        <v>0</v>
      </c>
      <c r="AI32" s="448"/>
      <c r="AJ32" s="448"/>
      <c r="AK32" s="448"/>
      <c r="AL32" s="448"/>
      <c r="AM32" s="448"/>
      <c r="AN32" s="448"/>
      <c r="AO32" s="448"/>
      <c r="AP32" s="448"/>
      <c r="AQ32" s="448"/>
      <c r="AR32" s="448"/>
      <c r="AS32" s="448"/>
      <c r="AT32" s="448"/>
      <c r="AU32" s="448"/>
      <c r="AV32" s="448"/>
      <c r="AW32" s="448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8"/>
      <c r="BS32" s="448"/>
      <c r="BT32" s="448"/>
      <c r="BU32" s="448"/>
      <c r="BV32" s="448"/>
      <c r="BW32" s="448"/>
      <c r="BX32" s="448"/>
      <c r="BY32" s="448"/>
      <c r="BZ32" s="448"/>
      <c r="CA32" s="448"/>
      <c r="CB32" s="448"/>
      <c r="CC32" s="448"/>
      <c r="CD32" s="448"/>
      <c r="CE32" s="448"/>
      <c r="CF32" s="448"/>
      <c r="CG32" s="448"/>
      <c r="CH32" s="448"/>
      <c r="CI32" s="448"/>
      <c r="CJ32" s="448"/>
      <c r="CK32" s="448"/>
      <c r="CL32" s="448"/>
      <c r="CM32" s="448"/>
      <c r="CN32" s="448"/>
      <c r="CO32" s="448"/>
      <c r="CP32" s="448"/>
      <c r="CQ32" s="448"/>
      <c r="CR32" s="448"/>
      <c r="CS32" s="448"/>
      <c r="CT32" s="448"/>
      <c r="CU32" s="448"/>
      <c r="CV32" s="448"/>
      <c r="CW32" s="448"/>
      <c r="CX32" s="448"/>
      <c r="CY32" s="448"/>
      <c r="CZ32" s="448"/>
      <c r="DA32" s="448"/>
      <c r="DB32" s="448"/>
      <c r="DC32" s="448"/>
      <c r="DD32" s="448"/>
      <c r="DE32" s="448"/>
      <c r="DF32" s="448"/>
      <c r="DG32" s="448"/>
      <c r="DH32" s="448"/>
      <c r="DI32" s="448"/>
      <c r="DJ32" s="448"/>
      <c r="DK32" s="448"/>
      <c r="DL32" s="448"/>
      <c r="DM32" s="448"/>
      <c r="DN32" s="448"/>
      <c r="DO32" s="448"/>
      <c r="DP32" s="448"/>
      <c r="DQ32" s="448"/>
      <c r="DR32" s="448"/>
      <c r="DS32" s="448"/>
      <c r="DT32" s="448"/>
      <c r="DU32" s="448"/>
      <c r="DV32" s="448"/>
      <c r="DW32" s="448"/>
      <c r="DX32" s="448"/>
      <c r="DY32" s="448"/>
      <c r="DZ32" s="448"/>
      <c r="EA32" s="448"/>
      <c r="EB32" s="448"/>
      <c r="EC32" s="448"/>
      <c r="ED32" s="448"/>
      <c r="EE32" s="448"/>
      <c r="EF32" s="448"/>
      <c r="EG32" s="448"/>
      <c r="EH32" s="448"/>
      <c r="EI32" s="448"/>
      <c r="EJ32" s="448"/>
      <c r="EK32" s="448"/>
      <c r="EL32" s="448"/>
      <c r="EM32" s="448"/>
      <c r="EN32" s="448"/>
      <c r="EO32" s="448"/>
      <c r="EP32" s="448"/>
      <c r="EQ32" s="448"/>
      <c r="ER32" s="448"/>
      <c r="ES32" s="448"/>
      <c r="ET32" s="448"/>
      <c r="EU32" s="448"/>
      <c r="EV32" s="448"/>
      <c r="EW32" s="448"/>
      <c r="EX32" s="448"/>
      <c r="EY32" s="448"/>
      <c r="EZ32" s="448"/>
      <c r="FA32" s="448"/>
      <c r="FB32" s="448"/>
      <c r="FC32" s="448"/>
      <c r="FD32" s="448"/>
      <c r="FE32" s="448"/>
      <c r="FF32" s="448"/>
      <c r="FG32" s="448"/>
      <c r="FH32" s="448"/>
      <c r="FI32" s="448"/>
      <c r="FJ32" s="448"/>
      <c r="FK32" s="448"/>
      <c r="FL32" s="448"/>
      <c r="FM32" s="448"/>
      <c r="FN32" s="448"/>
      <c r="FO32" s="448"/>
      <c r="FP32" s="448"/>
      <c r="FQ32" s="448"/>
      <c r="FR32" s="448"/>
      <c r="FS32" s="448"/>
      <c r="FT32" s="448"/>
      <c r="FU32" s="448"/>
      <c r="FV32" s="448"/>
      <c r="FW32" s="448"/>
      <c r="FX32" s="448"/>
      <c r="FY32" s="448"/>
      <c r="FZ32" s="448"/>
      <c r="GA32" s="448"/>
      <c r="GB32" s="448"/>
      <c r="GC32" s="448"/>
      <c r="GD32" s="448"/>
      <c r="GE32" s="448"/>
      <c r="GF32" s="448"/>
      <c r="GG32" s="448"/>
      <c r="GH32" s="448"/>
      <c r="GI32" s="448"/>
      <c r="GJ32" s="448"/>
      <c r="GK32" s="448"/>
      <c r="GL32" s="448"/>
      <c r="GM32" s="448"/>
      <c r="GN32" s="448"/>
      <c r="GO32" s="448"/>
      <c r="GP32" s="448"/>
      <c r="GQ32" s="448"/>
      <c r="GR32" s="448"/>
      <c r="GS32" s="448"/>
      <c r="GT32" s="448"/>
      <c r="GU32" s="448"/>
      <c r="GV32" s="448"/>
      <c r="GW32" s="448"/>
      <c r="GX32" s="448"/>
      <c r="GY32" s="448"/>
      <c r="GZ32" s="448"/>
      <c r="HA32" s="448"/>
      <c r="HB32" s="448"/>
      <c r="HC32" s="448"/>
      <c r="HD32" s="448"/>
      <c r="HE32" s="448"/>
      <c r="HF32" s="448"/>
      <c r="HG32" s="448"/>
      <c r="HH32" s="448"/>
      <c r="HI32" s="448"/>
      <c r="HJ32" s="448"/>
      <c r="HK32" s="448"/>
      <c r="HL32" s="448"/>
      <c r="HM32" s="448"/>
      <c r="HN32" s="448"/>
      <c r="HO32" s="448"/>
      <c r="HP32" s="448"/>
      <c r="HQ32" s="448"/>
      <c r="HR32" s="448"/>
      <c r="HS32" s="448"/>
      <c r="HT32" s="448"/>
      <c r="HU32" s="448"/>
      <c r="HV32" s="448"/>
      <c r="HW32" s="448"/>
      <c r="HX32" s="448"/>
      <c r="HY32" s="448"/>
      <c r="HZ32" s="448"/>
      <c r="IA32" s="448"/>
      <c r="IB32" s="448"/>
      <c r="IC32" s="448"/>
      <c r="ID32" s="448"/>
      <c r="IE32" s="448"/>
      <c r="IF32" s="448"/>
      <c r="IG32" s="448"/>
      <c r="IH32" s="448"/>
      <c r="II32" s="448"/>
      <c r="IJ32" s="448"/>
      <c r="IK32" s="448"/>
      <c r="IL32" s="448"/>
      <c r="IM32" s="448"/>
      <c r="IN32" s="448"/>
      <c r="IO32" s="448"/>
      <c r="IP32" s="448"/>
      <c r="IQ32" s="448"/>
      <c r="IR32" s="448"/>
      <c r="IS32" s="448"/>
      <c r="IT32" s="448"/>
      <c r="IU32" s="448"/>
      <c r="IV32" s="448"/>
      <c r="IW32" s="448"/>
    </row>
    <row r="33" customFormat="false" ht="15" hidden="false" customHeight="false" outlineLevel="0" collapsed="false">
      <c r="A33" s="454" t="s">
        <v>504</v>
      </c>
      <c r="B33" s="355" t="n">
        <f aca="false">B18</f>
        <v>0</v>
      </c>
      <c r="C33" s="459"/>
      <c r="D33" s="355" t="n">
        <f aca="false">$B33*D28</f>
        <v>0</v>
      </c>
      <c r="E33" s="355" t="n">
        <f aca="false">$B33*E28</f>
        <v>0</v>
      </c>
      <c r="F33" s="355" t="n">
        <f aca="false">$B33*F28</f>
        <v>0</v>
      </c>
      <c r="G33" s="355" t="n">
        <f aca="false">$B33*G28</f>
        <v>0</v>
      </c>
      <c r="H33" s="355" t="n">
        <f aca="false">$B33*H28</f>
        <v>0</v>
      </c>
      <c r="I33" s="355" t="n">
        <f aca="false">$B33*I28</f>
        <v>0</v>
      </c>
      <c r="J33" s="355" t="n">
        <f aca="false">$B33*J28</f>
        <v>0</v>
      </c>
      <c r="K33" s="355" t="n">
        <f aca="false">$B33*K28</f>
        <v>0</v>
      </c>
      <c r="L33" s="355" t="n">
        <f aca="false">$B33*L28</f>
        <v>0</v>
      </c>
      <c r="M33" s="355" t="n">
        <f aca="false">$B33*M28</f>
        <v>0</v>
      </c>
      <c r="N33" s="355" t="n">
        <f aca="false">$B33*N28</f>
        <v>0</v>
      </c>
      <c r="O33" s="355" t="n">
        <f aca="false">$B33*O28</f>
        <v>0</v>
      </c>
      <c r="P33" s="355" t="n">
        <f aca="false">$B33*P28</f>
        <v>0</v>
      </c>
      <c r="Q33" s="355" t="n">
        <f aca="false">$B33*Q28</f>
        <v>0</v>
      </c>
      <c r="R33" s="355" t="n">
        <f aca="false">$B33*R28</f>
        <v>0</v>
      </c>
      <c r="S33" s="355" t="n">
        <f aca="false">$B33*S28</f>
        <v>0</v>
      </c>
      <c r="T33" s="355" t="n">
        <f aca="false">$B33*T28</f>
        <v>0</v>
      </c>
      <c r="U33" s="355" t="n">
        <f aca="false">$B33*U28</f>
        <v>0</v>
      </c>
      <c r="V33" s="355" t="n">
        <f aca="false">$B33*V28</f>
        <v>0</v>
      </c>
      <c r="W33" s="355" t="n">
        <f aca="false">$B33*W28</f>
        <v>0</v>
      </c>
      <c r="X33" s="355" t="n">
        <f aca="false">$B33*X28</f>
        <v>0</v>
      </c>
      <c r="Y33" s="355" t="n">
        <f aca="false">$B33*Y28</f>
        <v>0</v>
      </c>
      <c r="Z33" s="355" t="n">
        <f aca="false">$B33*Z28</f>
        <v>0</v>
      </c>
      <c r="AA33" s="355" t="n">
        <f aca="false">$B33*AA28</f>
        <v>0</v>
      </c>
      <c r="AB33" s="355" t="n">
        <f aca="false">$B33*AB28</f>
        <v>0</v>
      </c>
      <c r="AC33" s="355" t="n">
        <f aca="false">$B33*AC28</f>
        <v>0</v>
      </c>
      <c r="AD33" s="355" t="n">
        <f aca="false">$B33*AD28</f>
        <v>0</v>
      </c>
      <c r="AE33" s="355" t="n">
        <f aca="false">$B33*AE28</f>
        <v>0</v>
      </c>
      <c r="AF33" s="355" t="n">
        <f aca="false">$B33*AF28</f>
        <v>0</v>
      </c>
      <c r="AG33" s="355" t="n">
        <f aca="false">$B33*AG28</f>
        <v>0</v>
      </c>
      <c r="AH33" s="355" t="n">
        <f aca="false">$B33*AH28</f>
        <v>0</v>
      </c>
      <c r="AI33" s="448"/>
      <c r="AJ33" s="448"/>
      <c r="AK33" s="448"/>
      <c r="AL33" s="448"/>
      <c r="AM33" s="448"/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48"/>
      <c r="CD33" s="448"/>
      <c r="CE33" s="448"/>
      <c r="CF33" s="448"/>
      <c r="CG33" s="448"/>
      <c r="CH33" s="448"/>
      <c r="CI33" s="448"/>
      <c r="CJ33" s="448"/>
      <c r="CK33" s="448"/>
      <c r="CL33" s="448"/>
      <c r="CM33" s="448"/>
      <c r="CN33" s="448"/>
      <c r="CO33" s="448"/>
      <c r="CP33" s="448"/>
      <c r="CQ33" s="448"/>
      <c r="CR33" s="448"/>
      <c r="CS33" s="448"/>
      <c r="CT33" s="448"/>
      <c r="CU33" s="448"/>
      <c r="CV33" s="448"/>
      <c r="CW33" s="448"/>
      <c r="CX33" s="448"/>
      <c r="CY33" s="448"/>
      <c r="CZ33" s="448"/>
      <c r="DA33" s="448"/>
      <c r="DB33" s="448"/>
      <c r="DC33" s="448"/>
      <c r="DD33" s="448"/>
      <c r="DE33" s="448"/>
      <c r="DF33" s="448"/>
      <c r="DG33" s="448"/>
      <c r="DH33" s="448"/>
      <c r="DI33" s="448"/>
      <c r="DJ33" s="448"/>
      <c r="DK33" s="448"/>
      <c r="DL33" s="448"/>
      <c r="DM33" s="448"/>
      <c r="DN33" s="448"/>
      <c r="DO33" s="448"/>
      <c r="DP33" s="448"/>
      <c r="DQ33" s="448"/>
      <c r="DR33" s="448"/>
      <c r="DS33" s="448"/>
      <c r="DT33" s="448"/>
      <c r="DU33" s="448"/>
      <c r="DV33" s="448"/>
      <c r="DW33" s="448"/>
      <c r="DX33" s="448"/>
      <c r="DY33" s="448"/>
      <c r="DZ33" s="448"/>
      <c r="EA33" s="448"/>
      <c r="EB33" s="448"/>
      <c r="EC33" s="448"/>
      <c r="ED33" s="448"/>
      <c r="EE33" s="448"/>
      <c r="EF33" s="448"/>
      <c r="EG33" s="448"/>
      <c r="EH33" s="448"/>
      <c r="EI33" s="448"/>
      <c r="EJ33" s="448"/>
      <c r="EK33" s="448"/>
      <c r="EL33" s="448"/>
      <c r="EM33" s="448"/>
      <c r="EN33" s="448"/>
      <c r="EO33" s="448"/>
      <c r="EP33" s="448"/>
      <c r="EQ33" s="448"/>
      <c r="ER33" s="448"/>
      <c r="ES33" s="448"/>
      <c r="ET33" s="448"/>
      <c r="EU33" s="448"/>
      <c r="EV33" s="448"/>
      <c r="EW33" s="448"/>
      <c r="EX33" s="448"/>
      <c r="EY33" s="448"/>
      <c r="EZ33" s="448"/>
      <c r="FA33" s="448"/>
      <c r="FB33" s="448"/>
      <c r="FC33" s="448"/>
      <c r="FD33" s="448"/>
      <c r="FE33" s="448"/>
      <c r="FF33" s="448"/>
      <c r="FG33" s="448"/>
      <c r="FH33" s="448"/>
      <c r="FI33" s="448"/>
      <c r="FJ33" s="448"/>
      <c r="FK33" s="448"/>
      <c r="FL33" s="448"/>
      <c r="FM33" s="448"/>
      <c r="FN33" s="448"/>
      <c r="FO33" s="448"/>
      <c r="FP33" s="448"/>
      <c r="FQ33" s="448"/>
      <c r="FR33" s="448"/>
      <c r="FS33" s="448"/>
      <c r="FT33" s="448"/>
      <c r="FU33" s="448"/>
      <c r="FV33" s="448"/>
      <c r="FW33" s="448"/>
      <c r="FX33" s="448"/>
      <c r="FY33" s="448"/>
      <c r="FZ33" s="448"/>
      <c r="GA33" s="448"/>
      <c r="GB33" s="448"/>
      <c r="GC33" s="448"/>
      <c r="GD33" s="448"/>
      <c r="GE33" s="448"/>
      <c r="GF33" s="448"/>
      <c r="GG33" s="448"/>
      <c r="GH33" s="448"/>
      <c r="GI33" s="448"/>
      <c r="GJ33" s="448"/>
      <c r="GK33" s="448"/>
      <c r="GL33" s="448"/>
      <c r="GM33" s="448"/>
      <c r="GN33" s="448"/>
      <c r="GO33" s="448"/>
      <c r="GP33" s="448"/>
      <c r="GQ33" s="448"/>
      <c r="GR33" s="448"/>
      <c r="GS33" s="448"/>
      <c r="GT33" s="448"/>
      <c r="GU33" s="448"/>
      <c r="GV33" s="448"/>
      <c r="GW33" s="448"/>
      <c r="GX33" s="448"/>
      <c r="GY33" s="448"/>
      <c r="GZ33" s="448"/>
      <c r="HA33" s="448"/>
      <c r="HB33" s="448"/>
      <c r="HC33" s="448"/>
      <c r="HD33" s="448"/>
      <c r="HE33" s="448"/>
      <c r="HF33" s="448"/>
      <c r="HG33" s="448"/>
      <c r="HH33" s="448"/>
      <c r="HI33" s="448"/>
      <c r="HJ33" s="448"/>
      <c r="HK33" s="448"/>
      <c r="HL33" s="448"/>
      <c r="HM33" s="448"/>
      <c r="HN33" s="448"/>
      <c r="HO33" s="448"/>
      <c r="HP33" s="448"/>
      <c r="HQ33" s="448"/>
      <c r="HR33" s="448"/>
      <c r="HS33" s="448"/>
      <c r="HT33" s="448"/>
      <c r="HU33" s="448"/>
      <c r="HV33" s="448"/>
      <c r="HW33" s="448"/>
      <c r="HX33" s="448"/>
      <c r="HY33" s="448"/>
      <c r="HZ33" s="448"/>
      <c r="IA33" s="448"/>
      <c r="IB33" s="448"/>
      <c r="IC33" s="448"/>
      <c r="ID33" s="448"/>
      <c r="IE33" s="448"/>
      <c r="IF33" s="448"/>
      <c r="IG33" s="448"/>
      <c r="IH33" s="448"/>
      <c r="II33" s="448"/>
      <c r="IJ33" s="448"/>
      <c r="IK33" s="448"/>
      <c r="IL33" s="448"/>
      <c r="IM33" s="448"/>
      <c r="IN33" s="448"/>
      <c r="IO33" s="448"/>
      <c r="IP33" s="448"/>
      <c r="IQ33" s="448"/>
      <c r="IR33" s="448"/>
      <c r="IS33" s="448"/>
      <c r="IT33" s="448"/>
      <c r="IU33" s="448"/>
      <c r="IV33" s="448"/>
      <c r="IW33" s="448"/>
    </row>
    <row r="34" customFormat="false" ht="12.75" hidden="false" customHeight="false" outlineLevel="0" collapsed="false">
      <c r="A34" s="465" t="s">
        <v>505</v>
      </c>
      <c r="B34" s="188" t="n">
        <f aca="false">SUM(B31:B33)</f>
        <v>210119.983218267</v>
      </c>
      <c r="C34" s="459"/>
      <c r="D34" s="188" t="n">
        <f aca="false">SUM(D31:D33)</f>
        <v>11631.75699008</v>
      </c>
      <c r="E34" s="188" t="n">
        <f aca="false">SUM(E31:E33)</f>
        <v>21379.8532704854</v>
      </c>
      <c r="F34" s="188" t="n">
        <f aca="false">SUM(F31:F33)</f>
        <v>19512.0498224368</v>
      </c>
      <c r="G34" s="188" t="n">
        <f aca="false">SUM(G31:G33)</f>
        <v>17840.8572636566</v>
      </c>
      <c r="H34" s="188" t="n">
        <f aca="false">SUM(H31:H33)</f>
        <v>16326.9534162909</v>
      </c>
      <c r="I34" s="188" t="n">
        <f aca="false">SUM(I31:I33)</f>
        <v>13149.4646647464</v>
      </c>
      <c r="J34" s="188" t="n">
        <f aca="false">SUM(J31:J33)</f>
        <v>11600.0424668278</v>
      </c>
      <c r="K34" s="188" t="n">
        <f aca="false">SUM(K31:K33)</f>
        <v>11619.7035557546</v>
      </c>
      <c r="L34" s="188" t="n">
        <f aca="false">SUM(L31:L33)</f>
        <v>11600.0424668278</v>
      </c>
      <c r="M34" s="188" t="n">
        <f aca="false">SUM(M31:M33)</f>
        <v>11619.7035557546</v>
      </c>
      <c r="N34" s="188" t="n">
        <f aca="false">SUM(N31:N33)</f>
        <v>11600.0424668278</v>
      </c>
      <c r="O34" s="188" t="n">
        <f aca="false">SUM(O31:O33)</f>
        <v>11619.7035557546</v>
      </c>
      <c r="P34" s="188" t="n">
        <f aca="false">SUM(P31:P33)</f>
        <v>11600.0424668278</v>
      </c>
      <c r="Q34" s="188" t="n">
        <f aca="false">SUM(Q31:Q33)</f>
        <v>11619.7035557546</v>
      </c>
      <c r="R34" s="188" t="n">
        <f aca="false">SUM(R31:R33)</f>
        <v>11600.0424668278</v>
      </c>
      <c r="S34" s="188" t="n">
        <f aca="false">SUM(S31:S33)</f>
        <v>5800.02123341388</v>
      </c>
      <c r="T34" s="188" t="n">
        <f aca="false">SUM(T31:T33)</f>
        <v>0</v>
      </c>
      <c r="U34" s="188" t="n">
        <f aca="false">SUM(U31:U33)</f>
        <v>0</v>
      </c>
      <c r="V34" s="188" t="n">
        <f aca="false">SUM(V31:V33)</f>
        <v>0</v>
      </c>
      <c r="W34" s="188" t="n">
        <f aca="false">SUM(W31:W33)</f>
        <v>0</v>
      </c>
      <c r="X34" s="188" t="n">
        <f aca="false">SUM(X31:X33)</f>
        <v>0</v>
      </c>
      <c r="Y34" s="188" t="n">
        <f aca="false">SUM(Y31:Y33)</f>
        <v>0</v>
      </c>
      <c r="Z34" s="188" t="n">
        <f aca="false">SUM(Z31:Z33)</f>
        <v>0</v>
      </c>
      <c r="AA34" s="188" t="n">
        <f aca="false">SUM(AA31:AA33)</f>
        <v>0</v>
      </c>
      <c r="AB34" s="188" t="n">
        <f aca="false">SUM(AB31:AB33)</f>
        <v>0</v>
      </c>
      <c r="AC34" s="188" t="n">
        <f aca="false">SUM(AC31:AC33)</f>
        <v>0</v>
      </c>
      <c r="AD34" s="188" t="n">
        <f aca="false">SUM(AD31:AD33)</f>
        <v>0</v>
      </c>
      <c r="AE34" s="188" t="n">
        <f aca="false">SUM(AE31:AE33)</f>
        <v>0</v>
      </c>
      <c r="AF34" s="188" t="n">
        <f aca="false">SUM(AF31:AF33)</f>
        <v>0</v>
      </c>
      <c r="AG34" s="188" t="n">
        <f aca="false">SUM(AG31:AG33)</f>
        <v>0</v>
      </c>
      <c r="AH34" s="188" t="n">
        <f aca="false">SUM(AH31:AH33)</f>
        <v>0</v>
      </c>
      <c r="AI34" s="448"/>
      <c r="AJ34" s="448"/>
      <c r="AK34" s="448"/>
      <c r="AL34" s="448"/>
      <c r="AM34" s="448"/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448"/>
      <c r="BH34" s="448"/>
      <c r="BI34" s="448"/>
      <c r="BJ34" s="448"/>
      <c r="BK34" s="448"/>
      <c r="BL34" s="448"/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8"/>
      <c r="BY34" s="448"/>
      <c r="BZ34" s="448"/>
      <c r="CA34" s="448"/>
      <c r="CB34" s="448"/>
      <c r="CC34" s="448"/>
      <c r="CD34" s="448"/>
      <c r="CE34" s="448"/>
      <c r="CF34" s="448"/>
      <c r="CG34" s="448"/>
      <c r="CH34" s="448"/>
      <c r="CI34" s="448"/>
      <c r="CJ34" s="448"/>
      <c r="CK34" s="448"/>
      <c r="CL34" s="448"/>
      <c r="CM34" s="448"/>
      <c r="CN34" s="448"/>
      <c r="CO34" s="448"/>
      <c r="CP34" s="448"/>
      <c r="CQ34" s="448"/>
      <c r="CR34" s="448"/>
      <c r="CS34" s="448"/>
      <c r="CT34" s="448"/>
      <c r="CU34" s="448"/>
      <c r="CV34" s="448"/>
      <c r="CW34" s="448"/>
      <c r="CX34" s="448"/>
      <c r="CY34" s="448"/>
      <c r="CZ34" s="448"/>
      <c r="DA34" s="448"/>
      <c r="DB34" s="448"/>
      <c r="DC34" s="448"/>
      <c r="DD34" s="448"/>
      <c r="DE34" s="448"/>
      <c r="DF34" s="448"/>
      <c r="DG34" s="448"/>
      <c r="DH34" s="448"/>
      <c r="DI34" s="448"/>
      <c r="DJ34" s="448"/>
      <c r="DK34" s="448"/>
      <c r="DL34" s="448"/>
      <c r="DM34" s="448"/>
      <c r="DN34" s="448"/>
      <c r="DO34" s="448"/>
      <c r="DP34" s="448"/>
      <c r="DQ34" s="448"/>
      <c r="DR34" s="448"/>
      <c r="DS34" s="448"/>
      <c r="DT34" s="448"/>
      <c r="DU34" s="448"/>
      <c r="DV34" s="448"/>
      <c r="DW34" s="448"/>
      <c r="DX34" s="448"/>
      <c r="DY34" s="448"/>
      <c r="DZ34" s="448"/>
      <c r="EA34" s="448"/>
      <c r="EB34" s="448"/>
      <c r="EC34" s="448"/>
      <c r="ED34" s="448"/>
      <c r="EE34" s="448"/>
      <c r="EF34" s="448"/>
      <c r="EG34" s="448"/>
      <c r="EH34" s="448"/>
      <c r="EI34" s="448"/>
      <c r="EJ34" s="448"/>
      <c r="EK34" s="448"/>
      <c r="EL34" s="448"/>
      <c r="EM34" s="448"/>
      <c r="EN34" s="448"/>
      <c r="EO34" s="448"/>
      <c r="EP34" s="448"/>
      <c r="EQ34" s="448"/>
      <c r="ER34" s="448"/>
      <c r="ES34" s="448"/>
      <c r="ET34" s="448"/>
      <c r="EU34" s="448"/>
      <c r="EV34" s="448"/>
      <c r="EW34" s="448"/>
      <c r="EX34" s="448"/>
      <c r="EY34" s="448"/>
      <c r="EZ34" s="448"/>
      <c r="FA34" s="448"/>
      <c r="FB34" s="448"/>
      <c r="FC34" s="448"/>
      <c r="FD34" s="448"/>
      <c r="FE34" s="448"/>
      <c r="FF34" s="448"/>
      <c r="FG34" s="448"/>
      <c r="FH34" s="448"/>
      <c r="FI34" s="448"/>
      <c r="FJ34" s="448"/>
      <c r="FK34" s="448"/>
      <c r="FL34" s="448"/>
      <c r="FM34" s="448"/>
      <c r="FN34" s="448"/>
      <c r="FO34" s="448"/>
      <c r="FP34" s="448"/>
      <c r="FQ34" s="448"/>
      <c r="FR34" s="448"/>
      <c r="FS34" s="448"/>
      <c r="FT34" s="448"/>
      <c r="FU34" s="448"/>
      <c r="FV34" s="448"/>
      <c r="FW34" s="448"/>
      <c r="FX34" s="448"/>
      <c r="FY34" s="448"/>
      <c r="FZ34" s="448"/>
      <c r="GA34" s="448"/>
      <c r="GB34" s="448"/>
      <c r="GC34" s="448"/>
      <c r="GD34" s="448"/>
      <c r="GE34" s="448"/>
      <c r="GF34" s="448"/>
      <c r="GG34" s="448"/>
      <c r="GH34" s="448"/>
      <c r="GI34" s="448"/>
      <c r="GJ34" s="448"/>
      <c r="GK34" s="448"/>
      <c r="GL34" s="448"/>
      <c r="GM34" s="448"/>
      <c r="GN34" s="448"/>
      <c r="GO34" s="448"/>
      <c r="GP34" s="448"/>
      <c r="GQ34" s="448"/>
      <c r="GR34" s="448"/>
      <c r="GS34" s="448"/>
      <c r="GT34" s="448"/>
      <c r="GU34" s="448"/>
      <c r="GV34" s="448"/>
      <c r="GW34" s="448"/>
      <c r="GX34" s="448"/>
      <c r="GY34" s="448"/>
      <c r="GZ34" s="448"/>
      <c r="HA34" s="448"/>
      <c r="HB34" s="448"/>
      <c r="HC34" s="448"/>
      <c r="HD34" s="448"/>
      <c r="HE34" s="448"/>
      <c r="HF34" s="448"/>
      <c r="HG34" s="448"/>
      <c r="HH34" s="448"/>
      <c r="HI34" s="448"/>
      <c r="HJ34" s="448"/>
      <c r="HK34" s="448"/>
      <c r="HL34" s="448"/>
      <c r="HM34" s="448"/>
      <c r="HN34" s="448"/>
      <c r="HO34" s="448"/>
      <c r="HP34" s="448"/>
      <c r="HQ34" s="448"/>
      <c r="HR34" s="448"/>
      <c r="HS34" s="448"/>
      <c r="HT34" s="448"/>
      <c r="HU34" s="448"/>
      <c r="HV34" s="448"/>
      <c r="HW34" s="448"/>
      <c r="HX34" s="448"/>
      <c r="HY34" s="448"/>
      <c r="HZ34" s="448"/>
      <c r="IA34" s="448"/>
      <c r="IB34" s="448"/>
      <c r="IC34" s="448"/>
      <c r="ID34" s="448"/>
      <c r="IE34" s="448"/>
      <c r="IF34" s="448"/>
      <c r="IG34" s="448"/>
      <c r="IH34" s="448"/>
      <c r="II34" s="448"/>
      <c r="IJ34" s="448"/>
      <c r="IK34" s="448"/>
      <c r="IL34" s="448"/>
      <c r="IM34" s="448"/>
      <c r="IN34" s="448"/>
      <c r="IO34" s="448"/>
      <c r="IP34" s="448"/>
      <c r="IQ34" s="448"/>
      <c r="IR34" s="448"/>
      <c r="IS34" s="448"/>
      <c r="IT34" s="448"/>
      <c r="IU34" s="448"/>
      <c r="IV34" s="448"/>
      <c r="IW34" s="448"/>
    </row>
    <row r="35" customFormat="false" ht="12.75" hidden="false" customHeight="false" outlineLevel="0" collapsed="false">
      <c r="A35" s="465"/>
      <c r="B35" s="188"/>
      <c r="C35" s="459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448"/>
      <c r="AJ35" s="448"/>
      <c r="AK35" s="448"/>
      <c r="AL35" s="448"/>
      <c r="AM35" s="448"/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448"/>
      <c r="BH35" s="448"/>
      <c r="BI35" s="448"/>
      <c r="BJ35" s="448"/>
      <c r="BK35" s="448"/>
      <c r="BL35" s="448"/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8"/>
      <c r="BY35" s="448"/>
      <c r="BZ35" s="448"/>
      <c r="CA35" s="448"/>
      <c r="CB35" s="448"/>
      <c r="CC35" s="448"/>
      <c r="CD35" s="448"/>
      <c r="CE35" s="448"/>
      <c r="CF35" s="448"/>
      <c r="CG35" s="448"/>
      <c r="CH35" s="448"/>
      <c r="CI35" s="448"/>
      <c r="CJ35" s="448"/>
      <c r="CK35" s="448"/>
      <c r="CL35" s="448"/>
      <c r="CM35" s="448"/>
      <c r="CN35" s="448"/>
      <c r="CO35" s="448"/>
      <c r="CP35" s="448"/>
      <c r="CQ35" s="448"/>
      <c r="CR35" s="448"/>
      <c r="CS35" s="448"/>
      <c r="CT35" s="448"/>
      <c r="CU35" s="448"/>
      <c r="CV35" s="448"/>
      <c r="CW35" s="448"/>
      <c r="CX35" s="448"/>
      <c r="CY35" s="448"/>
      <c r="CZ35" s="448"/>
      <c r="DA35" s="448"/>
      <c r="DB35" s="448"/>
      <c r="DC35" s="448"/>
      <c r="DD35" s="448"/>
      <c r="DE35" s="448"/>
      <c r="DF35" s="448"/>
      <c r="DG35" s="448"/>
      <c r="DH35" s="448"/>
      <c r="DI35" s="448"/>
      <c r="DJ35" s="448"/>
      <c r="DK35" s="448"/>
      <c r="DL35" s="448"/>
      <c r="DM35" s="448"/>
      <c r="DN35" s="448"/>
      <c r="DO35" s="448"/>
      <c r="DP35" s="448"/>
      <c r="DQ35" s="448"/>
      <c r="DR35" s="448"/>
      <c r="DS35" s="448"/>
      <c r="DT35" s="448"/>
      <c r="DU35" s="448"/>
      <c r="DV35" s="448"/>
      <c r="DW35" s="448"/>
      <c r="DX35" s="448"/>
      <c r="DY35" s="448"/>
      <c r="DZ35" s="448"/>
      <c r="EA35" s="448"/>
      <c r="EB35" s="448"/>
      <c r="EC35" s="448"/>
      <c r="ED35" s="448"/>
      <c r="EE35" s="448"/>
      <c r="EF35" s="448"/>
      <c r="EG35" s="448"/>
      <c r="EH35" s="448"/>
      <c r="EI35" s="448"/>
      <c r="EJ35" s="448"/>
      <c r="EK35" s="448"/>
      <c r="EL35" s="448"/>
      <c r="EM35" s="448"/>
      <c r="EN35" s="448"/>
      <c r="EO35" s="448"/>
      <c r="EP35" s="448"/>
      <c r="EQ35" s="448"/>
      <c r="ER35" s="448"/>
      <c r="ES35" s="448"/>
      <c r="ET35" s="448"/>
      <c r="EU35" s="448"/>
      <c r="EV35" s="448"/>
      <c r="EW35" s="448"/>
      <c r="EX35" s="448"/>
      <c r="EY35" s="448"/>
      <c r="EZ35" s="448"/>
      <c r="FA35" s="448"/>
      <c r="FB35" s="448"/>
      <c r="FC35" s="448"/>
      <c r="FD35" s="448"/>
      <c r="FE35" s="448"/>
      <c r="FF35" s="448"/>
      <c r="FG35" s="448"/>
      <c r="FH35" s="448"/>
      <c r="FI35" s="448"/>
      <c r="FJ35" s="448"/>
      <c r="FK35" s="448"/>
      <c r="FL35" s="448"/>
      <c r="FM35" s="448"/>
      <c r="FN35" s="448"/>
      <c r="FO35" s="448"/>
      <c r="FP35" s="448"/>
      <c r="FQ35" s="448"/>
      <c r="FR35" s="448"/>
      <c r="FS35" s="448"/>
      <c r="FT35" s="448"/>
      <c r="FU35" s="448"/>
      <c r="FV35" s="448"/>
      <c r="FW35" s="448"/>
      <c r="FX35" s="448"/>
      <c r="FY35" s="448"/>
      <c r="FZ35" s="448"/>
      <c r="GA35" s="448"/>
      <c r="GB35" s="448"/>
      <c r="GC35" s="448"/>
      <c r="GD35" s="448"/>
      <c r="GE35" s="448"/>
      <c r="GF35" s="448"/>
      <c r="GG35" s="448"/>
      <c r="GH35" s="448"/>
      <c r="GI35" s="448"/>
      <c r="GJ35" s="448"/>
      <c r="GK35" s="448"/>
      <c r="GL35" s="448"/>
      <c r="GM35" s="448"/>
      <c r="GN35" s="448"/>
      <c r="GO35" s="448"/>
      <c r="GP35" s="448"/>
      <c r="GQ35" s="448"/>
      <c r="GR35" s="448"/>
      <c r="GS35" s="448"/>
      <c r="GT35" s="448"/>
      <c r="GU35" s="448"/>
      <c r="GV35" s="448"/>
      <c r="GW35" s="448"/>
      <c r="GX35" s="448"/>
      <c r="GY35" s="448"/>
      <c r="GZ35" s="448"/>
      <c r="HA35" s="448"/>
      <c r="HB35" s="448"/>
      <c r="HC35" s="448"/>
      <c r="HD35" s="448"/>
      <c r="HE35" s="448"/>
      <c r="HF35" s="448"/>
      <c r="HG35" s="448"/>
      <c r="HH35" s="448"/>
      <c r="HI35" s="448"/>
      <c r="HJ35" s="448"/>
      <c r="HK35" s="448"/>
      <c r="HL35" s="448"/>
      <c r="HM35" s="448"/>
      <c r="HN35" s="448"/>
      <c r="HO35" s="448"/>
      <c r="HP35" s="448"/>
      <c r="HQ35" s="448"/>
      <c r="HR35" s="448"/>
      <c r="HS35" s="448"/>
      <c r="HT35" s="448"/>
      <c r="HU35" s="448"/>
      <c r="HV35" s="448"/>
      <c r="HW35" s="448"/>
      <c r="HX35" s="448"/>
      <c r="HY35" s="448"/>
      <c r="HZ35" s="448"/>
      <c r="IA35" s="448"/>
      <c r="IB35" s="448"/>
      <c r="IC35" s="448"/>
      <c r="ID35" s="448"/>
      <c r="IE35" s="448"/>
      <c r="IF35" s="448"/>
      <c r="IG35" s="448"/>
      <c r="IH35" s="448"/>
      <c r="II35" s="448"/>
      <c r="IJ35" s="448"/>
      <c r="IK35" s="448"/>
      <c r="IL35" s="448"/>
      <c r="IM35" s="448"/>
      <c r="IN35" s="448"/>
      <c r="IO35" s="448"/>
      <c r="IP35" s="448"/>
      <c r="IQ35" s="448"/>
      <c r="IR35" s="448"/>
      <c r="IS35" s="448"/>
      <c r="IT35" s="448"/>
      <c r="IU35" s="448"/>
      <c r="IV35" s="448"/>
      <c r="IW35" s="448"/>
    </row>
    <row r="36" customFormat="false" ht="12.75" hidden="false" customHeight="false" outlineLevel="0" collapsed="false">
      <c r="A36" s="271" t="s">
        <v>506</v>
      </c>
      <c r="B36" s="356" t="n">
        <f aca="false">B34</f>
        <v>210119.983218267</v>
      </c>
      <c r="C36" s="461"/>
      <c r="D36" s="356" t="n">
        <f aca="false">B34-D34</f>
        <v>198488.226228187</v>
      </c>
      <c r="E36" s="356" t="n">
        <f aca="false">D36-E34</f>
        <v>177108.372957702</v>
      </c>
      <c r="F36" s="356" t="n">
        <f aca="false">E36-F34</f>
        <v>157596.323135265</v>
      </c>
      <c r="G36" s="356" t="n">
        <f aca="false">F36-G34</f>
        <v>139755.465871608</v>
      </c>
      <c r="H36" s="356" t="n">
        <f aca="false">G36-H34</f>
        <v>123428.512455317</v>
      </c>
      <c r="I36" s="356" t="n">
        <f aca="false">H36-I34</f>
        <v>110279.047790571</v>
      </c>
      <c r="J36" s="356" t="n">
        <f aca="false">I36-J34</f>
        <v>98679.0053237433</v>
      </c>
      <c r="K36" s="356" t="n">
        <f aca="false">J36-K34</f>
        <v>87059.3017679887</v>
      </c>
      <c r="L36" s="356" t="n">
        <f aca="false">K36-L34</f>
        <v>75459.2593011609</v>
      </c>
      <c r="M36" s="356" t="n">
        <f aca="false">L36-M34</f>
        <v>63839.5557454063</v>
      </c>
      <c r="N36" s="356" t="n">
        <f aca="false">M36-N34</f>
        <v>52239.5132785786</v>
      </c>
      <c r="O36" s="356" t="n">
        <f aca="false">N36-O34</f>
        <v>40619.809722824</v>
      </c>
      <c r="P36" s="356" t="n">
        <f aca="false">O36-P34</f>
        <v>29019.7672559962</v>
      </c>
      <c r="Q36" s="356" t="n">
        <f aca="false">P36-Q34</f>
        <v>17400.0637002416</v>
      </c>
      <c r="R36" s="356" t="n">
        <f aca="false">Q36-R34</f>
        <v>5800.02123341387</v>
      </c>
      <c r="S36" s="356" t="n">
        <f aca="false">R36-S34</f>
        <v>0</v>
      </c>
      <c r="T36" s="356" t="n">
        <f aca="false">S36-T34</f>
        <v>0</v>
      </c>
      <c r="U36" s="356" t="n">
        <f aca="false">T36-U34</f>
        <v>0</v>
      </c>
      <c r="V36" s="356" t="n">
        <f aca="false">U36-V34</f>
        <v>0</v>
      </c>
      <c r="W36" s="356" t="n">
        <f aca="false">V36-W34</f>
        <v>0</v>
      </c>
      <c r="X36" s="356" t="n">
        <f aca="false">W36-X34</f>
        <v>0</v>
      </c>
      <c r="Y36" s="356" t="n">
        <f aca="false">X36-Y34</f>
        <v>0</v>
      </c>
      <c r="Z36" s="356" t="n">
        <f aca="false">Y36-Z34</f>
        <v>0</v>
      </c>
      <c r="AA36" s="356" t="n">
        <f aca="false">Z36-AA34</f>
        <v>0</v>
      </c>
      <c r="AB36" s="356" t="n">
        <f aca="false">AA36-AB34</f>
        <v>0</v>
      </c>
      <c r="AC36" s="356" t="n">
        <f aca="false">AB36-AC34</f>
        <v>0</v>
      </c>
      <c r="AD36" s="356" t="n">
        <f aca="false">AC36-AD34</f>
        <v>0</v>
      </c>
      <c r="AE36" s="356" t="n">
        <f aca="false">AD36-AE34</f>
        <v>0</v>
      </c>
      <c r="AF36" s="356" t="n">
        <f aca="false">AE36-AF34</f>
        <v>0</v>
      </c>
      <c r="AG36" s="356" t="n">
        <f aca="false">AF36-AG34</f>
        <v>0</v>
      </c>
      <c r="AH36" s="356" t="n">
        <f aca="false">AG36-AH34</f>
        <v>0</v>
      </c>
      <c r="AI36" s="462"/>
      <c r="AJ36" s="462"/>
      <c r="AK36" s="448"/>
      <c r="AL36" s="448"/>
      <c r="AM36" s="448"/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448"/>
      <c r="BH36" s="448"/>
      <c r="BI36" s="448"/>
      <c r="BJ36" s="448"/>
      <c r="BK36" s="448"/>
      <c r="BL36" s="448"/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8"/>
      <c r="BY36" s="448"/>
      <c r="BZ36" s="448"/>
      <c r="CA36" s="448"/>
      <c r="CB36" s="448"/>
      <c r="CC36" s="448"/>
      <c r="CD36" s="448"/>
      <c r="CE36" s="448"/>
      <c r="CF36" s="448"/>
      <c r="CG36" s="448"/>
      <c r="CH36" s="448"/>
      <c r="CI36" s="448"/>
      <c r="CJ36" s="448"/>
      <c r="CK36" s="448"/>
      <c r="CL36" s="448"/>
      <c r="CM36" s="448"/>
      <c r="CN36" s="448"/>
      <c r="CO36" s="448"/>
      <c r="CP36" s="448"/>
      <c r="CQ36" s="448"/>
      <c r="CR36" s="448"/>
      <c r="CS36" s="448"/>
      <c r="CT36" s="448"/>
      <c r="CU36" s="448"/>
      <c r="CV36" s="448"/>
      <c r="CW36" s="448"/>
      <c r="CX36" s="448"/>
      <c r="CY36" s="448"/>
      <c r="CZ36" s="448"/>
      <c r="DA36" s="448"/>
      <c r="DB36" s="448"/>
      <c r="DC36" s="448"/>
      <c r="DD36" s="448"/>
      <c r="DE36" s="448"/>
      <c r="DF36" s="448"/>
      <c r="DG36" s="448"/>
      <c r="DH36" s="448"/>
      <c r="DI36" s="448"/>
      <c r="DJ36" s="448"/>
      <c r="DK36" s="448"/>
      <c r="DL36" s="448"/>
      <c r="DM36" s="448"/>
      <c r="DN36" s="448"/>
      <c r="DO36" s="448"/>
      <c r="DP36" s="448"/>
      <c r="DQ36" s="448"/>
      <c r="DR36" s="448"/>
      <c r="DS36" s="448"/>
      <c r="DT36" s="448"/>
      <c r="DU36" s="448"/>
      <c r="DV36" s="448"/>
      <c r="DW36" s="448"/>
      <c r="DX36" s="448"/>
      <c r="DY36" s="448"/>
      <c r="DZ36" s="448"/>
      <c r="EA36" s="448"/>
      <c r="EB36" s="448"/>
      <c r="EC36" s="448"/>
      <c r="ED36" s="448"/>
      <c r="EE36" s="448"/>
      <c r="EF36" s="448"/>
      <c r="EG36" s="448"/>
      <c r="EH36" s="448"/>
      <c r="EI36" s="448"/>
      <c r="EJ36" s="448"/>
      <c r="EK36" s="448"/>
      <c r="EL36" s="448"/>
      <c r="EM36" s="448"/>
      <c r="EN36" s="448"/>
      <c r="EO36" s="448"/>
      <c r="EP36" s="448"/>
      <c r="EQ36" s="448"/>
      <c r="ER36" s="448"/>
      <c r="ES36" s="448"/>
      <c r="ET36" s="448"/>
      <c r="EU36" s="448"/>
      <c r="EV36" s="448"/>
      <c r="EW36" s="448"/>
      <c r="EX36" s="448"/>
      <c r="EY36" s="448"/>
      <c r="EZ36" s="448"/>
      <c r="FA36" s="448"/>
      <c r="FB36" s="448"/>
      <c r="FC36" s="448"/>
      <c r="FD36" s="448"/>
      <c r="FE36" s="448"/>
      <c r="FF36" s="448"/>
      <c r="FG36" s="448"/>
      <c r="FH36" s="448"/>
      <c r="FI36" s="448"/>
      <c r="FJ36" s="448"/>
      <c r="FK36" s="448"/>
      <c r="FL36" s="448"/>
      <c r="FM36" s="448"/>
      <c r="FN36" s="448"/>
      <c r="FO36" s="448"/>
      <c r="FP36" s="448"/>
      <c r="FQ36" s="448"/>
      <c r="FR36" s="448"/>
      <c r="FS36" s="448"/>
      <c r="FT36" s="448"/>
      <c r="FU36" s="448"/>
      <c r="FV36" s="448"/>
      <c r="FW36" s="448"/>
      <c r="FX36" s="448"/>
      <c r="FY36" s="448"/>
      <c r="FZ36" s="448"/>
      <c r="GA36" s="448"/>
      <c r="GB36" s="448"/>
      <c r="GC36" s="448"/>
      <c r="GD36" s="448"/>
      <c r="GE36" s="448"/>
      <c r="GF36" s="448"/>
      <c r="GG36" s="448"/>
      <c r="GH36" s="448"/>
      <c r="GI36" s="448"/>
      <c r="GJ36" s="448"/>
      <c r="GK36" s="448"/>
      <c r="GL36" s="448"/>
      <c r="GM36" s="448"/>
      <c r="GN36" s="448"/>
      <c r="GO36" s="448"/>
      <c r="GP36" s="448"/>
      <c r="GQ36" s="448"/>
      <c r="GR36" s="448"/>
      <c r="GS36" s="448"/>
      <c r="GT36" s="448"/>
      <c r="GU36" s="448"/>
      <c r="GV36" s="448"/>
      <c r="GW36" s="448"/>
      <c r="GX36" s="448"/>
      <c r="GY36" s="448"/>
      <c r="GZ36" s="448"/>
      <c r="HA36" s="448"/>
      <c r="HB36" s="448"/>
      <c r="HC36" s="448"/>
      <c r="HD36" s="448"/>
      <c r="HE36" s="448"/>
      <c r="HF36" s="448"/>
      <c r="HG36" s="448"/>
      <c r="HH36" s="448"/>
      <c r="HI36" s="448"/>
      <c r="HJ36" s="448"/>
      <c r="HK36" s="448"/>
      <c r="HL36" s="448"/>
      <c r="HM36" s="448"/>
      <c r="HN36" s="448"/>
      <c r="HO36" s="448"/>
      <c r="HP36" s="448"/>
      <c r="HQ36" s="448"/>
      <c r="HR36" s="448"/>
      <c r="HS36" s="448"/>
      <c r="HT36" s="448"/>
      <c r="HU36" s="448"/>
      <c r="HV36" s="448"/>
      <c r="HW36" s="448"/>
      <c r="HX36" s="448"/>
      <c r="HY36" s="448"/>
      <c r="HZ36" s="448"/>
      <c r="IA36" s="448"/>
      <c r="IB36" s="448"/>
      <c r="IC36" s="448"/>
      <c r="ID36" s="448"/>
      <c r="IE36" s="448"/>
      <c r="IF36" s="448"/>
      <c r="IG36" s="448"/>
      <c r="IH36" s="448"/>
      <c r="II36" s="448"/>
      <c r="IJ36" s="448"/>
      <c r="IK36" s="448"/>
      <c r="IL36" s="448"/>
      <c r="IM36" s="448"/>
      <c r="IN36" s="448"/>
      <c r="IO36" s="448"/>
      <c r="IP36" s="448"/>
      <c r="IQ36" s="448"/>
      <c r="IR36" s="448"/>
      <c r="IS36" s="448"/>
      <c r="IT36" s="448"/>
      <c r="IU36" s="448"/>
      <c r="IV36" s="448"/>
      <c r="IW36" s="448"/>
    </row>
    <row r="37" customFormat="false" ht="12.75" hidden="false" customHeight="false" outlineLevel="0" collapsed="false">
      <c r="D37" s="468"/>
      <c r="AI37" s="448"/>
      <c r="AJ37" s="448"/>
      <c r="AK37" s="448"/>
      <c r="AL37" s="448"/>
      <c r="AM37" s="448"/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8"/>
      <c r="BA37" s="448"/>
      <c r="BB37" s="448"/>
      <c r="BC37" s="448"/>
      <c r="BD37" s="448"/>
      <c r="BE37" s="448"/>
      <c r="BF37" s="448"/>
      <c r="BG37" s="448"/>
      <c r="BH37" s="448"/>
      <c r="BI37" s="448"/>
      <c r="BJ37" s="448"/>
      <c r="BK37" s="448"/>
      <c r="BL37" s="448"/>
      <c r="BM37" s="448"/>
      <c r="BN37" s="448"/>
      <c r="BO37" s="448"/>
      <c r="BP37" s="448"/>
      <c r="BQ37" s="448"/>
      <c r="BR37" s="448"/>
      <c r="BS37" s="448"/>
      <c r="BT37" s="448"/>
      <c r="BU37" s="448"/>
      <c r="BV37" s="448"/>
      <c r="BW37" s="448"/>
      <c r="BX37" s="448"/>
      <c r="BY37" s="448"/>
      <c r="BZ37" s="448"/>
      <c r="CA37" s="448"/>
      <c r="CB37" s="448"/>
      <c r="CC37" s="448"/>
      <c r="CD37" s="448"/>
      <c r="CE37" s="448"/>
      <c r="CF37" s="448"/>
      <c r="CG37" s="448"/>
      <c r="CH37" s="448"/>
      <c r="CI37" s="448"/>
      <c r="CJ37" s="448"/>
      <c r="CK37" s="448"/>
      <c r="CL37" s="448"/>
      <c r="CM37" s="448"/>
      <c r="CN37" s="448"/>
      <c r="CO37" s="448"/>
      <c r="CP37" s="448"/>
      <c r="CQ37" s="448"/>
      <c r="CR37" s="448"/>
      <c r="CS37" s="448"/>
      <c r="CT37" s="448"/>
      <c r="CU37" s="448"/>
      <c r="CV37" s="448"/>
      <c r="CW37" s="448"/>
      <c r="CX37" s="448"/>
      <c r="CY37" s="448"/>
      <c r="CZ37" s="448"/>
      <c r="DA37" s="448"/>
      <c r="DB37" s="448"/>
      <c r="DC37" s="448"/>
      <c r="DD37" s="448"/>
      <c r="DE37" s="448"/>
      <c r="DF37" s="448"/>
      <c r="DG37" s="448"/>
      <c r="DH37" s="448"/>
      <c r="DI37" s="448"/>
      <c r="DJ37" s="448"/>
      <c r="DK37" s="448"/>
      <c r="DL37" s="448"/>
      <c r="DM37" s="448"/>
      <c r="DN37" s="448"/>
      <c r="DO37" s="448"/>
      <c r="DP37" s="448"/>
      <c r="DQ37" s="448"/>
      <c r="DR37" s="448"/>
      <c r="DS37" s="448"/>
      <c r="DT37" s="448"/>
      <c r="DU37" s="448"/>
      <c r="DV37" s="448"/>
      <c r="DW37" s="448"/>
      <c r="DX37" s="448"/>
      <c r="DY37" s="448"/>
      <c r="DZ37" s="448"/>
      <c r="EA37" s="448"/>
      <c r="EB37" s="448"/>
      <c r="EC37" s="448"/>
      <c r="ED37" s="448"/>
      <c r="EE37" s="448"/>
      <c r="EF37" s="448"/>
      <c r="EG37" s="448"/>
      <c r="EH37" s="448"/>
      <c r="EI37" s="448"/>
      <c r="EJ37" s="448"/>
      <c r="EK37" s="448"/>
      <c r="EL37" s="448"/>
      <c r="EM37" s="448"/>
      <c r="EN37" s="448"/>
      <c r="EO37" s="448"/>
      <c r="EP37" s="448"/>
      <c r="EQ37" s="448"/>
      <c r="ER37" s="448"/>
      <c r="ES37" s="448"/>
      <c r="ET37" s="448"/>
      <c r="EU37" s="448"/>
      <c r="EV37" s="448"/>
      <c r="EW37" s="448"/>
      <c r="EX37" s="448"/>
      <c r="EY37" s="448"/>
      <c r="EZ37" s="448"/>
      <c r="FA37" s="448"/>
      <c r="FB37" s="448"/>
      <c r="FC37" s="448"/>
      <c r="FD37" s="448"/>
      <c r="FE37" s="448"/>
      <c r="FF37" s="448"/>
      <c r="FG37" s="448"/>
      <c r="FH37" s="448"/>
      <c r="FI37" s="448"/>
      <c r="FJ37" s="448"/>
      <c r="FK37" s="448"/>
      <c r="FL37" s="448"/>
      <c r="FM37" s="448"/>
      <c r="FN37" s="448"/>
      <c r="FO37" s="448"/>
      <c r="FP37" s="448"/>
      <c r="FQ37" s="448"/>
      <c r="FR37" s="448"/>
      <c r="FS37" s="448"/>
      <c r="FT37" s="448"/>
      <c r="FU37" s="448"/>
      <c r="FV37" s="448"/>
      <c r="FW37" s="448"/>
      <c r="FX37" s="448"/>
      <c r="FY37" s="448"/>
      <c r="FZ37" s="448"/>
      <c r="GA37" s="448"/>
      <c r="GB37" s="448"/>
      <c r="GC37" s="448"/>
      <c r="GD37" s="448"/>
      <c r="GE37" s="448"/>
      <c r="GF37" s="448"/>
      <c r="GG37" s="448"/>
      <c r="GH37" s="448"/>
      <c r="GI37" s="448"/>
      <c r="GJ37" s="448"/>
      <c r="GK37" s="448"/>
      <c r="GL37" s="448"/>
      <c r="GM37" s="448"/>
      <c r="GN37" s="448"/>
      <c r="GO37" s="448"/>
      <c r="GP37" s="448"/>
      <c r="GQ37" s="448"/>
      <c r="GR37" s="448"/>
      <c r="GS37" s="448"/>
      <c r="GT37" s="448"/>
      <c r="GU37" s="448"/>
      <c r="GV37" s="448"/>
      <c r="GW37" s="448"/>
      <c r="GX37" s="448"/>
      <c r="GY37" s="448"/>
      <c r="GZ37" s="448"/>
      <c r="HA37" s="448"/>
      <c r="HB37" s="448"/>
      <c r="HC37" s="448"/>
      <c r="HD37" s="448"/>
      <c r="HE37" s="448"/>
      <c r="HF37" s="448"/>
      <c r="HG37" s="448"/>
      <c r="HH37" s="448"/>
      <c r="HI37" s="448"/>
      <c r="HJ37" s="448"/>
      <c r="HK37" s="448"/>
      <c r="HL37" s="448"/>
      <c r="HM37" s="448"/>
      <c r="HN37" s="448"/>
      <c r="HO37" s="448"/>
      <c r="HP37" s="448"/>
      <c r="HQ37" s="448"/>
      <c r="HR37" s="448"/>
      <c r="HS37" s="448"/>
      <c r="HT37" s="448"/>
      <c r="HU37" s="448"/>
      <c r="HV37" s="448"/>
      <c r="HW37" s="448"/>
      <c r="HX37" s="448"/>
      <c r="HY37" s="448"/>
      <c r="HZ37" s="448"/>
      <c r="IA37" s="448"/>
      <c r="IB37" s="448"/>
      <c r="IC37" s="448"/>
      <c r="ID37" s="448"/>
      <c r="IE37" s="448"/>
      <c r="IF37" s="448"/>
      <c r="IG37" s="448"/>
      <c r="IH37" s="448"/>
      <c r="II37" s="448"/>
      <c r="IJ37" s="448"/>
      <c r="IK37" s="448"/>
      <c r="IL37" s="448"/>
      <c r="IM37" s="448"/>
      <c r="IN37" s="448"/>
      <c r="IO37" s="448"/>
      <c r="IP37" s="448"/>
      <c r="IQ37" s="448"/>
      <c r="IR37" s="448"/>
      <c r="IS37" s="448"/>
      <c r="IT37" s="448"/>
      <c r="IU37" s="448"/>
      <c r="IV37" s="448"/>
      <c r="IW37" s="448"/>
    </row>
    <row r="38" customFormat="false" ht="12.75" hidden="false" customHeight="false" outlineLevel="0" collapsed="false">
      <c r="B38" s="448"/>
      <c r="C38" s="448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48"/>
      <c r="AJ38" s="448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448"/>
      <c r="BH38" s="448"/>
      <c r="BI38" s="448"/>
      <c r="BJ38" s="448"/>
      <c r="BK38" s="448"/>
      <c r="BL38" s="448"/>
      <c r="BM38" s="448"/>
      <c r="BN38" s="448"/>
      <c r="BO38" s="448"/>
      <c r="BP38" s="448"/>
      <c r="BQ38" s="448"/>
      <c r="BR38" s="448"/>
      <c r="BS38" s="448"/>
      <c r="BT38" s="448"/>
      <c r="BU38" s="448"/>
      <c r="BV38" s="448"/>
      <c r="BW38" s="448"/>
      <c r="BX38" s="448"/>
      <c r="BY38" s="448"/>
      <c r="BZ38" s="448"/>
      <c r="CA38" s="448"/>
      <c r="CB38" s="448"/>
      <c r="CC38" s="448"/>
      <c r="CD38" s="448"/>
      <c r="CE38" s="448"/>
      <c r="CF38" s="448"/>
      <c r="CG38" s="448"/>
      <c r="CH38" s="448"/>
      <c r="CI38" s="448"/>
      <c r="CJ38" s="448"/>
      <c r="CK38" s="448"/>
      <c r="CL38" s="448"/>
      <c r="CM38" s="448"/>
      <c r="CN38" s="448"/>
      <c r="CO38" s="448"/>
      <c r="CP38" s="448"/>
      <c r="CQ38" s="448"/>
      <c r="CR38" s="448"/>
      <c r="CS38" s="448"/>
      <c r="CT38" s="448"/>
      <c r="CU38" s="448"/>
      <c r="CV38" s="448"/>
      <c r="CW38" s="448"/>
      <c r="CX38" s="448"/>
      <c r="CY38" s="448"/>
      <c r="CZ38" s="448"/>
      <c r="DA38" s="448"/>
      <c r="DB38" s="448"/>
      <c r="DC38" s="448"/>
      <c r="DD38" s="448"/>
      <c r="DE38" s="448"/>
      <c r="DF38" s="448"/>
      <c r="DG38" s="448"/>
      <c r="DH38" s="448"/>
      <c r="DI38" s="448"/>
      <c r="DJ38" s="448"/>
      <c r="DK38" s="448"/>
      <c r="DL38" s="448"/>
      <c r="DM38" s="448"/>
      <c r="DN38" s="448"/>
      <c r="DO38" s="448"/>
      <c r="DP38" s="448"/>
      <c r="DQ38" s="448"/>
      <c r="DR38" s="448"/>
      <c r="DS38" s="448"/>
      <c r="DT38" s="448"/>
      <c r="DU38" s="448"/>
      <c r="DV38" s="448"/>
      <c r="DW38" s="448"/>
      <c r="DX38" s="448"/>
      <c r="DY38" s="448"/>
      <c r="DZ38" s="448"/>
      <c r="EA38" s="448"/>
      <c r="EB38" s="448"/>
      <c r="EC38" s="448"/>
      <c r="ED38" s="448"/>
      <c r="EE38" s="448"/>
      <c r="EF38" s="448"/>
      <c r="EG38" s="448"/>
      <c r="EH38" s="448"/>
      <c r="EI38" s="448"/>
      <c r="EJ38" s="448"/>
      <c r="EK38" s="448"/>
      <c r="EL38" s="448"/>
      <c r="EM38" s="448"/>
      <c r="EN38" s="448"/>
      <c r="EO38" s="448"/>
      <c r="EP38" s="448"/>
      <c r="EQ38" s="448"/>
      <c r="ER38" s="448"/>
      <c r="ES38" s="448"/>
      <c r="ET38" s="448"/>
      <c r="EU38" s="448"/>
      <c r="EV38" s="448"/>
      <c r="EW38" s="448"/>
      <c r="EX38" s="448"/>
      <c r="EY38" s="448"/>
      <c r="EZ38" s="448"/>
      <c r="FA38" s="448"/>
      <c r="FB38" s="448"/>
      <c r="FC38" s="448"/>
      <c r="FD38" s="448"/>
      <c r="FE38" s="448"/>
      <c r="FF38" s="448"/>
      <c r="FG38" s="448"/>
      <c r="FH38" s="448"/>
      <c r="FI38" s="448"/>
      <c r="FJ38" s="448"/>
      <c r="FK38" s="448"/>
      <c r="FL38" s="448"/>
      <c r="FM38" s="448"/>
      <c r="FN38" s="448"/>
      <c r="FO38" s="448"/>
      <c r="FP38" s="448"/>
      <c r="FQ38" s="448"/>
      <c r="FR38" s="448"/>
      <c r="FS38" s="448"/>
      <c r="FT38" s="448"/>
      <c r="FU38" s="448"/>
      <c r="FV38" s="448"/>
      <c r="FW38" s="448"/>
      <c r="FX38" s="448"/>
      <c r="FY38" s="448"/>
      <c r="FZ38" s="448"/>
      <c r="GA38" s="448"/>
      <c r="GB38" s="448"/>
      <c r="GC38" s="448"/>
      <c r="GD38" s="448"/>
      <c r="GE38" s="448"/>
      <c r="GF38" s="448"/>
      <c r="GG38" s="448"/>
      <c r="GH38" s="448"/>
      <c r="GI38" s="448"/>
      <c r="GJ38" s="448"/>
      <c r="GK38" s="448"/>
      <c r="GL38" s="448"/>
      <c r="GM38" s="448"/>
      <c r="GN38" s="448"/>
      <c r="GO38" s="448"/>
      <c r="GP38" s="448"/>
      <c r="GQ38" s="448"/>
      <c r="GR38" s="448"/>
      <c r="GS38" s="448"/>
      <c r="GT38" s="448"/>
      <c r="GU38" s="448"/>
      <c r="GV38" s="448"/>
      <c r="GW38" s="448"/>
      <c r="GX38" s="448"/>
      <c r="GY38" s="448"/>
      <c r="GZ38" s="448"/>
      <c r="HA38" s="448"/>
      <c r="HB38" s="448"/>
      <c r="HC38" s="448"/>
      <c r="HD38" s="448"/>
      <c r="HE38" s="448"/>
      <c r="HF38" s="448"/>
      <c r="HG38" s="448"/>
      <c r="HH38" s="448"/>
      <c r="HI38" s="448"/>
      <c r="HJ38" s="448"/>
      <c r="HK38" s="448"/>
      <c r="HL38" s="448"/>
      <c r="HM38" s="448"/>
      <c r="HN38" s="448"/>
      <c r="HO38" s="448"/>
      <c r="HP38" s="448"/>
      <c r="HQ38" s="448"/>
      <c r="HR38" s="448"/>
      <c r="HS38" s="448"/>
      <c r="HT38" s="448"/>
      <c r="HU38" s="448"/>
      <c r="HV38" s="448"/>
      <c r="HW38" s="448"/>
      <c r="HX38" s="448"/>
      <c r="HY38" s="448"/>
      <c r="HZ38" s="448"/>
      <c r="IA38" s="448"/>
      <c r="IB38" s="448"/>
      <c r="IC38" s="448"/>
      <c r="ID38" s="448"/>
      <c r="IE38" s="448"/>
      <c r="IF38" s="448"/>
      <c r="IG38" s="448"/>
      <c r="IH38" s="448"/>
      <c r="II38" s="448"/>
      <c r="IJ38" s="448"/>
      <c r="IK38" s="448"/>
      <c r="IL38" s="448"/>
      <c r="IM38" s="448"/>
      <c r="IN38" s="448"/>
      <c r="IO38" s="448"/>
      <c r="IP38" s="448"/>
      <c r="IQ38" s="448"/>
      <c r="IR38" s="448"/>
      <c r="IS38" s="448"/>
      <c r="IT38" s="448"/>
      <c r="IU38" s="448"/>
      <c r="IV38" s="448"/>
      <c r="IW38" s="448"/>
    </row>
    <row r="39" customFormat="false" ht="12.75" hidden="false" customHeight="false" outlineLevel="0" collapsed="false">
      <c r="A39" s="445" t="s">
        <v>508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8"/>
      <c r="AM39" s="448"/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448"/>
      <c r="BH39" s="448"/>
      <c r="BI39" s="448"/>
      <c r="BJ39" s="448"/>
      <c r="BK39" s="448"/>
      <c r="BL39" s="448"/>
      <c r="BM39" s="448"/>
      <c r="BN39" s="448"/>
      <c r="BO39" s="448"/>
      <c r="BP39" s="448"/>
      <c r="BQ39" s="448"/>
      <c r="BR39" s="448"/>
      <c r="BS39" s="448"/>
      <c r="BT39" s="448"/>
      <c r="BU39" s="448"/>
      <c r="BV39" s="448"/>
      <c r="BW39" s="448"/>
      <c r="BX39" s="448"/>
      <c r="BY39" s="448"/>
      <c r="BZ39" s="448"/>
      <c r="CA39" s="448"/>
      <c r="CB39" s="448"/>
      <c r="CC39" s="448"/>
      <c r="CD39" s="448"/>
      <c r="CE39" s="448"/>
      <c r="CF39" s="448"/>
      <c r="CG39" s="448"/>
      <c r="CH39" s="448"/>
      <c r="CI39" s="448"/>
      <c r="CJ39" s="448"/>
      <c r="CK39" s="448"/>
      <c r="CL39" s="448"/>
      <c r="CM39" s="448"/>
      <c r="CN39" s="448"/>
      <c r="CO39" s="448"/>
      <c r="CP39" s="448"/>
      <c r="CQ39" s="448"/>
      <c r="CR39" s="448"/>
      <c r="CS39" s="448"/>
      <c r="CT39" s="448"/>
      <c r="CU39" s="448"/>
      <c r="CV39" s="448"/>
      <c r="CW39" s="448"/>
      <c r="CX39" s="448"/>
      <c r="CY39" s="448"/>
      <c r="CZ39" s="448"/>
      <c r="DA39" s="448"/>
      <c r="DB39" s="448"/>
      <c r="DC39" s="448"/>
      <c r="DD39" s="448"/>
      <c r="DE39" s="448"/>
      <c r="DF39" s="448"/>
      <c r="DG39" s="448"/>
      <c r="DH39" s="448"/>
      <c r="DI39" s="448"/>
      <c r="DJ39" s="448"/>
      <c r="DK39" s="448"/>
      <c r="DL39" s="448"/>
      <c r="DM39" s="448"/>
      <c r="DN39" s="448"/>
      <c r="DO39" s="448"/>
      <c r="DP39" s="448"/>
      <c r="DQ39" s="448"/>
      <c r="DR39" s="448"/>
      <c r="DS39" s="448"/>
      <c r="DT39" s="448"/>
      <c r="DU39" s="448"/>
      <c r="DV39" s="448"/>
      <c r="DW39" s="448"/>
      <c r="DX39" s="448"/>
      <c r="DY39" s="448"/>
      <c r="DZ39" s="448"/>
      <c r="EA39" s="448"/>
      <c r="EB39" s="448"/>
      <c r="EC39" s="448"/>
      <c r="ED39" s="448"/>
      <c r="EE39" s="448"/>
      <c r="EF39" s="448"/>
      <c r="EG39" s="448"/>
      <c r="EH39" s="448"/>
      <c r="EI39" s="448"/>
      <c r="EJ39" s="448"/>
      <c r="EK39" s="448"/>
      <c r="EL39" s="448"/>
      <c r="EM39" s="448"/>
      <c r="EN39" s="448"/>
      <c r="EO39" s="448"/>
      <c r="EP39" s="448"/>
      <c r="EQ39" s="448"/>
      <c r="ER39" s="448"/>
      <c r="ES39" s="448"/>
      <c r="ET39" s="448"/>
      <c r="EU39" s="448"/>
      <c r="EV39" s="448"/>
      <c r="EW39" s="448"/>
      <c r="EX39" s="448"/>
      <c r="EY39" s="448"/>
      <c r="EZ39" s="448"/>
      <c r="FA39" s="448"/>
      <c r="FB39" s="448"/>
      <c r="FC39" s="448"/>
      <c r="FD39" s="448"/>
      <c r="FE39" s="448"/>
      <c r="FF39" s="448"/>
      <c r="FG39" s="448"/>
      <c r="FH39" s="448"/>
      <c r="FI39" s="448"/>
      <c r="FJ39" s="448"/>
      <c r="FK39" s="448"/>
      <c r="FL39" s="448"/>
      <c r="FM39" s="448"/>
      <c r="FN39" s="448"/>
      <c r="FO39" s="448"/>
      <c r="FP39" s="448"/>
      <c r="FQ39" s="448"/>
      <c r="FR39" s="448"/>
      <c r="FS39" s="448"/>
      <c r="FT39" s="448"/>
      <c r="FU39" s="448"/>
      <c r="FV39" s="448"/>
      <c r="FW39" s="448"/>
      <c r="FX39" s="448"/>
      <c r="FY39" s="448"/>
      <c r="FZ39" s="448"/>
      <c r="GA39" s="448"/>
      <c r="GB39" s="448"/>
      <c r="GC39" s="448"/>
      <c r="GD39" s="448"/>
      <c r="GE39" s="448"/>
      <c r="GF39" s="448"/>
      <c r="GG39" s="448"/>
      <c r="GH39" s="448"/>
      <c r="GI39" s="448"/>
      <c r="GJ39" s="448"/>
      <c r="GK39" s="448"/>
      <c r="GL39" s="448"/>
      <c r="GM39" s="448"/>
      <c r="GN39" s="448"/>
      <c r="GO39" s="448"/>
      <c r="GP39" s="448"/>
      <c r="GQ39" s="448"/>
      <c r="GR39" s="448"/>
      <c r="GS39" s="448"/>
      <c r="GT39" s="448"/>
      <c r="GU39" s="448"/>
      <c r="GV39" s="448"/>
      <c r="GW39" s="448"/>
      <c r="GX39" s="448"/>
      <c r="GY39" s="448"/>
      <c r="GZ39" s="448"/>
      <c r="HA39" s="448"/>
      <c r="HB39" s="448"/>
      <c r="HC39" s="448"/>
      <c r="HD39" s="448"/>
      <c r="HE39" s="448"/>
      <c r="HF39" s="448"/>
      <c r="HG39" s="448"/>
      <c r="HH39" s="448"/>
      <c r="HI39" s="448"/>
      <c r="HJ39" s="448"/>
      <c r="HK39" s="448"/>
      <c r="HL39" s="448"/>
      <c r="HM39" s="448"/>
      <c r="HN39" s="448"/>
      <c r="HO39" s="448"/>
      <c r="HP39" s="448"/>
      <c r="HQ39" s="448"/>
      <c r="HR39" s="448"/>
      <c r="HS39" s="448"/>
      <c r="HT39" s="448"/>
      <c r="HU39" s="448"/>
      <c r="HV39" s="448"/>
      <c r="HW39" s="448"/>
      <c r="HX39" s="448"/>
      <c r="HY39" s="448"/>
      <c r="HZ39" s="448"/>
      <c r="IA39" s="448"/>
      <c r="IB39" s="448"/>
      <c r="IC39" s="448"/>
      <c r="ID39" s="448"/>
      <c r="IE39" s="448"/>
      <c r="IF39" s="448"/>
      <c r="IG39" s="448"/>
      <c r="IH39" s="448"/>
      <c r="II39" s="448"/>
      <c r="IJ39" s="448"/>
      <c r="IK39" s="448"/>
      <c r="IL39" s="448"/>
      <c r="IM39" s="448"/>
      <c r="IN39" s="448"/>
      <c r="IO39" s="448"/>
      <c r="IP39" s="448"/>
      <c r="IQ39" s="448"/>
      <c r="IR39" s="448"/>
      <c r="IS39" s="448"/>
      <c r="IT39" s="448"/>
      <c r="IU39" s="448"/>
      <c r="IV39" s="448"/>
      <c r="IW39" s="448"/>
    </row>
    <row r="40" customFormat="false" ht="12.75" hidden="false" customHeight="false" outlineLevel="0" collapsed="false">
      <c r="A40" s="445"/>
      <c r="B40" s="449" t="s">
        <v>501</v>
      </c>
      <c r="C40" s="470" t="s">
        <v>509</v>
      </c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8"/>
      <c r="BA40" s="448"/>
      <c r="BB40" s="448"/>
      <c r="BC40" s="448"/>
      <c r="BD40" s="448"/>
      <c r="BE40" s="448"/>
      <c r="BF40" s="448"/>
      <c r="BG40" s="448"/>
      <c r="BH40" s="448"/>
      <c r="BI40" s="448"/>
      <c r="BJ40" s="448"/>
      <c r="BK40" s="448"/>
      <c r="BL40" s="448"/>
      <c r="BM40" s="448"/>
      <c r="BN40" s="448"/>
      <c r="BO40" s="448"/>
      <c r="BP40" s="448"/>
      <c r="BQ40" s="448"/>
      <c r="BR40" s="448"/>
      <c r="BS40" s="448"/>
      <c r="BT40" s="448"/>
      <c r="BU40" s="448"/>
      <c r="BV40" s="448"/>
      <c r="BW40" s="448"/>
      <c r="BX40" s="448"/>
      <c r="BY40" s="448"/>
      <c r="BZ40" s="448"/>
      <c r="CA40" s="448"/>
      <c r="CB40" s="448"/>
      <c r="CC40" s="448"/>
      <c r="CD40" s="448"/>
      <c r="CE40" s="448"/>
      <c r="CF40" s="448"/>
      <c r="CG40" s="448"/>
      <c r="CH40" s="448"/>
      <c r="CI40" s="448"/>
      <c r="CJ40" s="448"/>
      <c r="CK40" s="448"/>
      <c r="CL40" s="448"/>
      <c r="CM40" s="448"/>
      <c r="CN40" s="448"/>
      <c r="CO40" s="448"/>
      <c r="CP40" s="448"/>
      <c r="CQ40" s="448"/>
      <c r="CR40" s="448"/>
      <c r="CS40" s="448"/>
      <c r="CT40" s="448"/>
      <c r="CU40" s="448"/>
      <c r="CV40" s="448"/>
      <c r="CW40" s="448"/>
      <c r="CX40" s="448"/>
      <c r="CY40" s="448"/>
      <c r="CZ40" s="448"/>
      <c r="DA40" s="448"/>
      <c r="DB40" s="448"/>
      <c r="DC40" s="448"/>
      <c r="DD40" s="448"/>
      <c r="DE40" s="448"/>
      <c r="DF40" s="448"/>
      <c r="DG40" s="448"/>
      <c r="DH40" s="448"/>
      <c r="DI40" s="448"/>
      <c r="DJ40" s="448"/>
      <c r="DK40" s="448"/>
      <c r="DL40" s="448"/>
      <c r="DM40" s="448"/>
      <c r="DN40" s="448"/>
      <c r="DO40" s="448"/>
      <c r="DP40" s="448"/>
      <c r="DQ40" s="448"/>
      <c r="DR40" s="448"/>
      <c r="DS40" s="448"/>
      <c r="DT40" s="448"/>
      <c r="DU40" s="448"/>
      <c r="DV40" s="448"/>
      <c r="DW40" s="448"/>
      <c r="DX40" s="448"/>
      <c r="DY40" s="448"/>
      <c r="DZ40" s="448"/>
      <c r="EA40" s="448"/>
      <c r="EB40" s="448"/>
      <c r="EC40" s="448"/>
      <c r="ED40" s="448"/>
      <c r="EE40" s="448"/>
      <c r="EF40" s="448"/>
      <c r="EG40" s="448"/>
      <c r="EH40" s="448"/>
      <c r="EI40" s="448"/>
      <c r="EJ40" s="448"/>
      <c r="EK40" s="448"/>
      <c r="EL40" s="448"/>
      <c r="EM40" s="448"/>
      <c r="EN40" s="448"/>
      <c r="EO40" s="448"/>
      <c r="EP40" s="448"/>
      <c r="EQ40" s="448"/>
      <c r="ER40" s="448"/>
      <c r="ES40" s="448"/>
      <c r="ET40" s="448"/>
      <c r="EU40" s="448"/>
      <c r="EV40" s="448"/>
      <c r="EW40" s="448"/>
      <c r="EX40" s="448"/>
      <c r="EY40" s="448"/>
      <c r="EZ40" s="448"/>
      <c r="FA40" s="448"/>
      <c r="FB40" s="448"/>
      <c r="FC40" s="448"/>
      <c r="FD40" s="448"/>
      <c r="FE40" s="448"/>
      <c r="FF40" s="448"/>
      <c r="FG40" s="448"/>
      <c r="FH40" s="448"/>
      <c r="FI40" s="448"/>
      <c r="FJ40" s="448"/>
      <c r="FK40" s="448"/>
      <c r="FL40" s="448"/>
      <c r="FM40" s="448"/>
      <c r="FN40" s="448"/>
      <c r="FO40" s="448"/>
      <c r="FP40" s="448"/>
      <c r="FQ40" s="448"/>
      <c r="FR40" s="448"/>
      <c r="FS40" s="448"/>
      <c r="FT40" s="448"/>
      <c r="FU40" s="448"/>
      <c r="FV40" s="448"/>
      <c r="FW40" s="448"/>
      <c r="FX40" s="448"/>
      <c r="FY40" s="448"/>
      <c r="FZ40" s="448"/>
      <c r="GA40" s="448"/>
      <c r="GB40" s="448"/>
      <c r="GC40" s="448"/>
      <c r="GD40" s="448"/>
      <c r="GE40" s="448"/>
      <c r="GF40" s="448"/>
      <c r="GG40" s="448"/>
      <c r="GH40" s="448"/>
      <c r="GI40" s="448"/>
      <c r="GJ40" s="448"/>
      <c r="GK40" s="448"/>
      <c r="GL40" s="448"/>
      <c r="GM40" s="448"/>
      <c r="GN40" s="448"/>
      <c r="GO40" s="448"/>
      <c r="GP40" s="448"/>
      <c r="GQ40" s="448"/>
      <c r="GR40" s="448"/>
      <c r="GS40" s="448"/>
      <c r="GT40" s="448"/>
      <c r="GU40" s="448"/>
      <c r="GV40" s="448"/>
      <c r="GW40" s="448"/>
      <c r="GX40" s="448"/>
      <c r="GY40" s="448"/>
      <c r="GZ40" s="448"/>
      <c r="HA40" s="448"/>
      <c r="HB40" s="448"/>
      <c r="HC40" s="448"/>
      <c r="HD40" s="448"/>
      <c r="HE40" s="448"/>
      <c r="HF40" s="448"/>
      <c r="HG40" s="448"/>
      <c r="HH40" s="448"/>
      <c r="HI40" s="448"/>
      <c r="HJ40" s="448"/>
      <c r="HK40" s="448"/>
      <c r="HL40" s="448"/>
      <c r="HM40" s="448"/>
      <c r="HN40" s="448"/>
      <c r="HO40" s="448"/>
      <c r="HP40" s="448"/>
      <c r="HQ40" s="448"/>
      <c r="HR40" s="448"/>
      <c r="HS40" s="448"/>
      <c r="HT40" s="448"/>
      <c r="HU40" s="448"/>
      <c r="HV40" s="448"/>
      <c r="HW40" s="448"/>
      <c r="HX40" s="448"/>
      <c r="HY40" s="448"/>
      <c r="HZ40" s="448"/>
      <c r="IA40" s="448"/>
      <c r="IB40" s="448"/>
      <c r="IC40" s="448"/>
      <c r="ID40" s="448"/>
      <c r="IE40" s="448"/>
      <c r="IF40" s="448"/>
      <c r="IG40" s="448"/>
      <c r="IH40" s="448"/>
      <c r="II40" s="448"/>
      <c r="IJ40" s="448"/>
      <c r="IK40" s="448"/>
      <c r="IL40" s="448"/>
      <c r="IM40" s="448"/>
      <c r="IN40" s="448"/>
      <c r="IO40" s="448"/>
      <c r="IP40" s="448"/>
      <c r="IQ40" s="448"/>
      <c r="IR40" s="448"/>
      <c r="IS40" s="448"/>
      <c r="IT40" s="448"/>
      <c r="IU40" s="448"/>
      <c r="IV40" s="448"/>
      <c r="IW40" s="448"/>
    </row>
    <row r="41" customFormat="false" ht="12.75" hidden="false" customHeight="false" outlineLevel="0" collapsed="false">
      <c r="A41" s="451" t="s">
        <v>510</v>
      </c>
      <c r="B41" s="452" t="n">
        <f aca="false">Assumptions!$N$44</f>
        <v>30</v>
      </c>
      <c r="C41" s="471" t="n">
        <f aca="false">Assumptions!P44</f>
        <v>0.1</v>
      </c>
      <c r="D41" s="294" t="n">
        <f aca="false">1/Assumptions!$N$44*D6*(1-$C$41)</f>
        <v>0.02</v>
      </c>
      <c r="E41" s="29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29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29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29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29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29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29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29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29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29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29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29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29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29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29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29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29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29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29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29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29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29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29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29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29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29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29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29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29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29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48"/>
      <c r="AJ41" s="448"/>
      <c r="AK41" s="448"/>
      <c r="AL41" s="448"/>
      <c r="AM41" s="448"/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448"/>
      <c r="BH41" s="448"/>
      <c r="BI41" s="448"/>
      <c r="BJ41" s="448"/>
      <c r="BK41" s="448"/>
      <c r="BL41" s="448"/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48"/>
      <c r="CD41" s="448"/>
      <c r="CE41" s="448"/>
      <c r="CF41" s="448"/>
      <c r="CG41" s="448"/>
      <c r="CH41" s="448"/>
      <c r="CI41" s="448"/>
      <c r="CJ41" s="448"/>
      <c r="CK41" s="448"/>
      <c r="CL41" s="448"/>
      <c r="CM41" s="448"/>
      <c r="CN41" s="448"/>
      <c r="CO41" s="448"/>
      <c r="CP41" s="448"/>
      <c r="CQ41" s="448"/>
      <c r="CR41" s="448"/>
      <c r="CS41" s="448"/>
      <c r="CT41" s="448"/>
      <c r="CU41" s="448"/>
      <c r="CV41" s="448"/>
      <c r="CW41" s="448"/>
      <c r="CX41" s="448"/>
      <c r="CY41" s="448"/>
      <c r="CZ41" s="448"/>
      <c r="DA41" s="448"/>
      <c r="DB41" s="448"/>
      <c r="DC41" s="448"/>
      <c r="DD41" s="448"/>
      <c r="DE41" s="448"/>
      <c r="DF41" s="448"/>
      <c r="DG41" s="448"/>
      <c r="DH41" s="448"/>
      <c r="DI41" s="448"/>
      <c r="DJ41" s="448"/>
      <c r="DK41" s="448"/>
      <c r="DL41" s="448"/>
      <c r="DM41" s="448"/>
      <c r="DN41" s="448"/>
      <c r="DO41" s="448"/>
      <c r="DP41" s="448"/>
      <c r="DQ41" s="448"/>
      <c r="DR41" s="448"/>
      <c r="DS41" s="448"/>
      <c r="DT41" s="448"/>
      <c r="DU41" s="448"/>
      <c r="DV41" s="448"/>
      <c r="DW41" s="448"/>
      <c r="DX41" s="448"/>
      <c r="DY41" s="448"/>
      <c r="DZ41" s="448"/>
      <c r="EA41" s="448"/>
      <c r="EB41" s="448"/>
      <c r="EC41" s="448"/>
      <c r="ED41" s="448"/>
      <c r="EE41" s="448"/>
      <c r="EF41" s="448"/>
      <c r="EG41" s="448"/>
      <c r="EH41" s="448"/>
      <c r="EI41" s="448"/>
      <c r="EJ41" s="448"/>
      <c r="EK41" s="448"/>
      <c r="EL41" s="448"/>
      <c r="EM41" s="448"/>
      <c r="EN41" s="448"/>
      <c r="EO41" s="448"/>
      <c r="EP41" s="448"/>
      <c r="EQ41" s="448"/>
      <c r="ER41" s="448"/>
      <c r="ES41" s="448"/>
      <c r="ET41" s="448"/>
      <c r="EU41" s="448"/>
      <c r="EV41" s="448"/>
      <c r="EW41" s="448"/>
      <c r="EX41" s="448"/>
      <c r="EY41" s="448"/>
      <c r="EZ41" s="448"/>
      <c r="FA41" s="448"/>
      <c r="FB41" s="448"/>
      <c r="FC41" s="448"/>
      <c r="FD41" s="448"/>
      <c r="FE41" s="448"/>
      <c r="FF41" s="448"/>
      <c r="FG41" s="448"/>
      <c r="FH41" s="448"/>
      <c r="FI41" s="448"/>
      <c r="FJ41" s="448"/>
      <c r="FK41" s="448"/>
      <c r="FL41" s="448"/>
      <c r="FM41" s="448"/>
      <c r="FN41" s="448"/>
      <c r="FO41" s="448"/>
      <c r="FP41" s="448"/>
      <c r="FQ41" s="448"/>
      <c r="FR41" s="448"/>
      <c r="FS41" s="448"/>
      <c r="FT41" s="448"/>
      <c r="FU41" s="448"/>
      <c r="FV41" s="448"/>
      <c r="FW41" s="448"/>
      <c r="FX41" s="448"/>
      <c r="FY41" s="448"/>
      <c r="FZ41" s="448"/>
      <c r="GA41" s="448"/>
      <c r="GB41" s="448"/>
      <c r="GC41" s="448"/>
      <c r="GD41" s="448"/>
      <c r="GE41" s="448"/>
      <c r="GF41" s="448"/>
      <c r="GG41" s="448"/>
      <c r="GH41" s="448"/>
      <c r="GI41" s="448"/>
      <c r="GJ41" s="448"/>
      <c r="GK41" s="448"/>
      <c r="GL41" s="448"/>
      <c r="GM41" s="448"/>
      <c r="GN41" s="448"/>
      <c r="GO41" s="448"/>
      <c r="GP41" s="448"/>
      <c r="GQ41" s="448"/>
      <c r="GR41" s="448"/>
      <c r="GS41" s="448"/>
      <c r="GT41" s="448"/>
      <c r="GU41" s="448"/>
      <c r="GV41" s="448"/>
      <c r="GW41" s="448"/>
      <c r="GX41" s="448"/>
      <c r="GY41" s="448"/>
      <c r="GZ41" s="448"/>
      <c r="HA41" s="448"/>
      <c r="HB41" s="448"/>
      <c r="HC41" s="448"/>
      <c r="HD41" s="448"/>
      <c r="HE41" s="448"/>
      <c r="HF41" s="448"/>
      <c r="HG41" s="448"/>
      <c r="HH41" s="448"/>
      <c r="HI41" s="448"/>
      <c r="HJ41" s="448"/>
      <c r="HK41" s="448"/>
      <c r="HL41" s="448"/>
      <c r="HM41" s="448"/>
      <c r="HN41" s="448"/>
      <c r="HO41" s="448"/>
      <c r="HP41" s="448"/>
      <c r="HQ41" s="448"/>
      <c r="HR41" s="448"/>
      <c r="HS41" s="448"/>
      <c r="HT41" s="448"/>
      <c r="HU41" s="448"/>
      <c r="HV41" s="448"/>
      <c r="HW41" s="448"/>
      <c r="HX41" s="448"/>
      <c r="HY41" s="448"/>
      <c r="HZ41" s="448"/>
      <c r="IA41" s="448"/>
      <c r="IB41" s="448"/>
      <c r="IC41" s="448"/>
      <c r="ID41" s="448"/>
      <c r="IE41" s="448"/>
      <c r="IF41" s="448"/>
      <c r="IG41" s="448"/>
      <c r="IH41" s="448"/>
      <c r="II41" s="448"/>
      <c r="IJ41" s="448"/>
      <c r="IK41" s="448"/>
      <c r="IL41" s="448"/>
      <c r="IM41" s="448"/>
      <c r="IN41" s="448"/>
      <c r="IO41" s="448"/>
      <c r="IP41" s="448"/>
      <c r="IQ41" s="448"/>
      <c r="IR41" s="448"/>
      <c r="IS41" s="448"/>
      <c r="IT41" s="448"/>
      <c r="IU41" s="448"/>
      <c r="IV41" s="448"/>
      <c r="IW41" s="448"/>
    </row>
    <row r="42" customFormat="false" ht="12.75" hidden="false" customHeight="false" outlineLevel="0" collapsed="false">
      <c r="A42" s="451" t="s">
        <v>503</v>
      </c>
      <c r="B42" s="452" t="n">
        <f aca="false">Assumptions!$N$40</f>
        <v>5</v>
      </c>
      <c r="C42" s="453"/>
      <c r="D42" s="294" t="n">
        <f aca="false">D13</f>
        <v>0.133333333333333</v>
      </c>
      <c r="E42" s="294" t="n">
        <f aca="false">E13</f>
        <v>0.2</v>
      </c>
      <c r="F42" s="294" t="n">
        <f aca="false">F13</f>
        <v>0.2</v>
      </c>
      <c r="G42" s="294" t="n">
        <f aca="false">G13</f>
        <v>0.2</v>
      </c>
      <c r="H42" s="294" t="n">
        <f aca="false">H13</f>
        <v>0.2</v>
      </c>
      <c r="I42" s="294" t="n">
        <f aca="false">I13</f>
        <v>0.0666666666666667</v>
      </c>
      <c r="J42" s="294" t="n">
        <f aca="false">J13</f>
        <v>0</v>
      </c>
      <c r="K42" s="294" t="n">
        <f aca="false">K13</f>
        <v>0</v>
      </c>
      <c r="L42" s="294" t="n">
        <f aca="false">L13</f>
        <v>0</v>
      </c>
      <c r="M42" s="294" t="n">
        <f aca="false">M13</f>
        <v>0</v>
      </c>
      <c r="N42" s="294" t="n">
        <f aca="false">N13</f>
        <v>0</v>
      </c>
      <c r="O42" s="294" t="n">
        <f aca="false">O13</f>
        <v>0</v>
      </c>
      <c r="P42" s="294" t="n">
        <f aca="false">P13</f>
        <v>0</v>
      </c>
      <c r="Q42" s="294" t="n">
        <f aca="false">Q13</f>
        <v>0</v>
      </c>
      <c r="R42" s="294" t="n">
        <f aca="false">R13</f>
        <v>0</v>
      </c>
      <c r="S42" s="294" t="n">
        <f aca="false">S13</f>
        <v>0</v>
      </c>
      <c r="T42" s="294" t="n">
        <f aca="false">T13</f>
        <v>0</v>
      </c>
      <c r="U42" s="294" t="n">
        <f aca="false">U13</f>
        <v>0</v>
      </c>
      <c r="V42" s="294" t="n">
        <f aca="false">V13</f>
        <v>0</v>
      </c>
      <c r="W42" s="294" t="n">
        <f aca="false">W13</f>
        <v>0</v>
      </c>
      <c r="X42" s="294" t="n">
        <f aca="false">X13</f>
        <v>0</v>
      </c>
      <c r="Y42" s="294" t="n">
        <f aca="false">Y13</f>
        <v>0</v>
      </c>
      <c r="Z42" s="294" t="n">
        <f aca="false">Z13</f>
        <v>0</v>
      </c>
      <c r="AA42" s="294" t="n">
        <f aca="false">AA13</f>
        <v>0</v>
      </c>
      <c r="AB42" s="294" t="n">
        <f aca="false">AB13</f>
        <v>0</v>
      </c>
      <c r="AC42" s="294" t="n">
        <f aca="false">AC13</f>
        <v>0</v>
      </c>
      <c r="AD42" s="294" t="n">
        <f aca="false">AD13</f>
        <v>0</v>
      </c>
      <c r="AE42" s="294" t="n">
        <f aca="false">AE13</f>
        <v>0</v>
      </c>
      <c r="AF42" s="294" t="n">
        <f aca="false">AF13</f>
        <v>0</v>
      </c>
      <c r="AG42" s="294" t="n">
        <f aca="false">AG13</f>
        <v>0</v>
      </c>
      <c r="AH42" s="294" t="n">
        <f aca="false">AH13</f>
        <v>0</v>
      </c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448"/>
      <c r="BH42" s="448"/>
      <c r="BI42" s="448"/>
      <c r="BJ42" s="448"/>
      <c r="BK42" s="448"/>
      <c r="BL42" s="448"/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48"/>
      <c r="CD42" s="448"/>
      <c r="CE42" s="448"/>
      <c r="CF42" s="448"/>
      <c r="CG42" s="448"/>
      <c r="CH42" s="448"/>
      <c r="CI42" s="448"/>
      <c r="CJ42" s="448"/>
      <c r="CK42" s="448"/>
      <c r="CL42" s="448"/>
      <c r="CM42" s="448"/>
      <c r="CN42" s="448"/>
      <c r="CO42" s="448"/>
      <c r="CP42" s="448"/>
      <c r="CQ42" s="448"/>
      <c r="CR42" s="448"/>
      <c r="CS42" s="448"/>
      <c r="CT42" s="448"/>
      <c r="CU42" s="448"/>
      <c r="CV42" s="448"/>
      <c r="CW42" s="448"/>
      <c r="CX42" s="448"/>
      <c r="CY42" s="448"/>
      <c r="CZ42" s="448"/>
      <c r="DA42" s="448"/>
      <c r="DB42" s="448"/>
      <c r="DC42" s="448"/>
      <c r="DD42" s="448"/>
      <c r="DE42" s="448"/>
      <c r="DF42" s="448"/>
      <c r="DG42" s="448"/>
      <c r="DH42" s="448"/>
      <c r="DI42" s="448"/>
      <c r="DJ42" s="448"/>
      <c r="DK42" s="448"/>
      <c r="DL42" s="448"/>
      <c r="DM42" s="448"/>
      <c r="DN42" s="448"/>
      <c r="DO42" s="448"/>
      <c r="DP42" s="448"/>
      <c r="DQ42" s="448"/>
      <c r="DR42" s="448"/>
      <c r="DS42" s="448"/>
      <c r="DT42" s="448"/>
      <c r="DU42" s="448"/>
      <c r="DV42" s="448"/>
      <c r="DW42" s="448"/>
      <c r="DX42" s="448"/>
      <c r="DY42" s="448"/>
      <c r="DZ42" s="448"/>
      <c r="EA42" s="448"/>
      <c r="EB42" s="448"/>
      <c r="EC42" s="448"/>
      <c r="ED42" s="448"/>
      <c r="EE42" s="448"/>
      <c r="EF42" s="448"/>
      <c r="EG42" s="448"/>
      <c r="EH42" s="448"/>
      <c r="EI42" s="448"/>
      <c r="EJ42" s="448"/>
      <c r="EK42" s="448"/>
      <c r="EL42" s="448"/>
      <c r="EM42" s="448"/>
      <c r="EN42" s="448"/>
      <c r="EO42" s="448"/>
      <c r="EP42" s="448"/>
      <c r="EQ42" s="448"/>
      <c r="ER42" s="448"/>
      <c r="ES42" s="448"/>
      <c r="ET42" s="448"/>
      <c r="EU42" s="448"/>
      <c r="EV42" s="448"/>
      <c r="EW42" s="448"/>
      <c r="EX42" s="448"/>
      <c r="EY42" s="448"/>
      <c r="EZ42" s="448"/>
      <c r="FA42" s="448"/>
      <c r="FB42" s="448"/>
      <c r="FC42" s="448"/>
      <c r="FD42" s="448"/>
      <c r="FE42" s="448"/>
      <c r="FF42" s="448"/>
      <c r="FG42" s="448"/>
      <c r="FH42" s="448"/>
      <c r="FI42" s="448"/>
      <c r="FJ42" s="448"/>
      <c r="FK42" s="448"/>
      <c r="FL42" s="448"/>
      <c r="FM42" s="448"/>
      <c r="FN42" s="448"/>
      <c r="FO42" s="448"/>
      <c r="FP42" s="448"/>
      <c r="FQ42" s="448"/>
      <c r="FR42" s="448"/>
      <c r="FS42" s="448"/>
      <c r="FT42" s="448"/>
      <c r="FU42" s="448"/>
      <c r="FV42" s="448"/>
      <c r="FW42" s="448"/>
      <c r="FX42" s="448"/>
      <c r="FY42" s="448"/>
      <c r="FZ42" s="448"/>
      <c r="GA42" s="448"/>
      <c r="GB42" s="448"/>
      <c r="GC42" s="448"/>
      <c r="GD42" s="448"/>
      <c r="GE42" s="448"/>
      <c r="GF42" s="448"/>
      <c r="GG42" s="448"/>
      <c r="GH42" s="448"/>
      <c r="GI42" s="448"/>
      <c r="GJ42" s="448"/>
      <c r="GK42" s="448"/>
      <c r="GL42" s="448"/>
      <c r="GM42" s="448"/>
      <c r="GN42" s="448"/>
      <c r="GO42" s="448"/>
      <c r="GP42" s="448"/>
      <c r="GQ42" s="448"/>
      <c r="GR42" s="448"/>
      <c r="GS42" s="448"/>
      <c r="GT42" s="448"/>
      <c r="GU42" s="448"/>
      <c r="GV42" s="448"/>
      <c r="GW42" s="448"/>
      <c r="GX42" s="448"/>
      <c r="GY42" s="448"/>
      <c r="GZ42" s="448"/>
      <c r="HA42" s="448"/>
      <c r="HB42" s="448"/>
      <c r="HC42" s="448"/>
      <c r="HD42" s="448"/>
      <c r="HE42" s="448"/>
      <c r="HF42" s="448"/>
      <c r="HG42" s="448"/>
      <c r="HH42" s="448"/>
      <c r="HI42" s="448"/>
      <c r="HJ42" s="448"/>
      <c r="HK42" s="448"/>
      <c r="HL42" s="448"/>
      <c r="HM42" s="448"/>
      <c r="HN42" s="448"/>
      <c r="HO42" s="448"/>
      <c r="HP42" s="448"/>
      <c r="HQ42" s="448"/>
      <c r="HR42" s="448"/>
      <c r="HS42" s="448"/>
      <c r="HT42" s="448"/>
      <c r="HU42" s="448"/>
      <c r="HV42" s="448"/>
      <c r="HW42" s="448"/>
      <c r="HX42" s="448"/>
      <c r="HY42" s="448"/>
      <c r="HZ42" s="448"/>
      <c r="IA42" s="448"/>
      <c r="IB42" s="448"/>
      <c r="IC42" s="448"/>
      <c r="ID42" s="448"/>
      <c r="IE42" s="448"/>
      <c r="IF42" s="448"/>
      <c r="IG42" s="448"/>
      <c r="IH42" s="448"/>
      <c r="II42" s="448"/>
      <c r="IJ42" s="448"/>
      <c r="IK42" s="448"/>
      <c r="IL42" s="448"/>
      <c r="IM42" s="448"/>
      <c r="IN42" s="448"/>
      <c r="IO42" s="448"/>
      <c r="IP42" s="448"/>
      <c r="IQ42" s="448"/>
      <c r="IR42" s="448"/>
      <c r="IS42" s="448"/>
      <c r="IT42" s="448"/>
      <c r="IU42" s="448"/>
      <c r="IV42" s="448"/>
      <c r="IW42" s="448"/>
    </row>
    <row r="43" customFormat="false" ht="12.75" hidden="false" customHeight="false" outlineLevel="0" collapsed="false">
      <c r="A43" s="454" t="s">
        <v>504</v>
      </c>
      <c r="B43" s="458" t="n">
        <f aca="false">Assumptions!$N$46</f>
        <v>20</v>
      </c>
      <c r="D43" s="294" t="n">
        <f aca="false">1/Assumptions!$N$46*D6</f>
        <v>0.0333333333333333</v>
      </c>
      <c r="E43" s="294" t="n">
        <f aca="false">IF(AND(E6&gt;=Assumptions!$N$46,D6&lt;Assumptions!$N$46),1/Assumptions!$N$46-Depreciation!$D$43,IF(E6&lt;Assumptions!$N$46,1/Assumptions!$N$46,0))</f>
        <v>0.05</v>
      </c>
      <c r="F43" s="294" t="n">
        <f aca="false">IF(AND(F6&gt;=Assumptions!$N$46,E6&lt;Assumptions!$N$46),1/Assumptions!$N$46-Depreciation!$D$43,IF(F6&lt;Assumptions!$N$46,1/Assumptions!$N$46,0))</f>
        <v>0.05</v>
      </c>
      <c r="G43" s="294" t="n">
        <f aca="false">IF(AND(G6&gt;=Assumptions!$N$46,F6&lt;Assumptions!$N$46),1/Assumptions!$N$46-Depreciation!$D$43,IF(G6&lt;Assumptions!$N$46,1/Assumptions!$N$46,0))</f>
        <v>0.05</v>
      </c>
      <c r="H43" s="294" t="n">
        <f aca="false">IF(AND(H6&gt;=Assumptions!$N$46,G6&lt;Assumptions!$N$46),1/Assumptions!$N$46-Depreciation!$D$43,IF(H6&lt;Assumptions!$N$46,1/Assumptions!$N$46,0))</f>
        <v>0.05</v>
      </c>
      <c r="I43" s="294" t="n">
        <f aca="false">IF(AND(I6&gt;=Assumptions!$N$46,H6&lt;Assumptions!$N$46),1/Assumptions!$N$46-Depreciation!$D$43,IF(I6&lt;Assumptions!$N$46,1/Assumptions!$N$46,0))</f>
        <v>0.05</v>
      </c>
      <c r="J43" s="294" t="n">
        <f aca="false">IF(AND(J6&gt;=Assumptions!$N$46,I6&lt;Assumptions!$N$46),1/Assumptions!$N$46-Depreciation!$D$43,IF(J6&lt;Assumptions!$N$46,1/Assumptions!$N$46,0))</f>
        <v>0.05</v>
      </c>
      <c r="K43" s="294" t="n">
        <f aca="false">IF(AND(K6&gt;=Assumptions!$N$46,J6&lt;Assumptions!$N$46),1/Assumptions!$N$46-Depreciation!$D$43,IF(K6&lt;Assumptions!$N$46,1/Assumptions!$N$46,0))</f>
        <v>0.05</v>
      </c>
      <c r="L43" s="294" t="n">
        <f aca="false">IF(AND(L6&gt;=Assumptions!$N$46,K6&lt;Assumptions!$N$46),1/Assumptions!$N$46-Depreciation!$D$43,IF(L6&lt;Assumptions!$N$46,1/Assumptions!$N$46,0))</f>
        <v>0.05</v>
      </c>
      <c r="M43" s="294" t="n">
        <f aca="false">IF(AND(M6&gt;=Assumptions!$N$46,L6&lt;Assumptions!$N$46),1/Assumptions!$N$46-Depreciation!$D$43,IF(M6&lt;Assumptions!$N$46,1/Assumptions!$N$46,0))</f>
        <v>0.05</v>
      </c>
      <c r="N43" s="294" t="n">
        <f aca="false">IF(AND(N6&gt;=Assumptions!$N$46,M6&lt;Assumptions!$N$46),1/Assumptions!$N$46-Depreciation!$D$43,IF(N6&lt;Assumptions!$N$46,1/Assumptions!$N$46,0))</f>
        <v>0.05</v>
      </c>
      <c r="O43" s="294" t="n">
        <f aca="false">IF(AND(O6&gt;=Assumptions!$N$46,N6&lt;Assumptions!$N$46),1/Assumptions!$N$46-Depreciation!$D$43,IF(O6&lt;Assumptions!$N$46,1/Assumptions!$N$46,0))</f>
        <v>0.05</v>
      </c>
      <c r="P43" s="294" t="n">
        <f aca="false">IF(AND(P6&gt;=Assumptions!$N$46,O6&lt;Assumptions!$N$46),1/Assumptions!$N$46-Depreciation!$D$43,IF(P6&lt;Assumptions!$N$46,1/Assumptions!$N$46,0))</f>
        <v>0.05</v>
      </c>
      <c r="Q43" s="294" t="n">
        <f aca="false">IF(AND(Q6&gt;=Assumptions!$N$46,P6&lt;Assumptions!$N$46),1/Assumptions!$N$46-Depreciation!$D$43,IF(Q6&lt;Assumptions!$N$46,1/Assumptions!$N$46,0))</f>
        <v>0.05</v>
      </c>
      <c r="R43" s="294" t="n">
        <f aca="false">IF(AND(R6&gt;=Assumptions!$N$46,Q6&lt;Assumptions!$N$46),1/Assumptions!$N$46-Depreciation!$D$43,IF(R6&lt;Assumptions!$N$46,1/Assumptions!$N$46,0))</f>
        <v>0.05</v>
      </c>
      <c r="S43" s="294" t="n">
        <f aca="false">IF(AND(S6&gt;=Assumptions!$N$46,R6&lt;Assumptions!$N$46),1/Assumptions!$N$46-Depreciation!$D$43,IF(S6&lt;Assumptions!$N$46,1/Assumptions!$N$46,0))</f>
        <v>0.05</v>
      </c>
      <c r="T43" s="294" t="n">
        <f aca="false">IF(AND(T6&gt;=Assumptions!$N$46,S6&lt;Assumptions!$N$46),1/Assumptions!$N$46-Depreciation!$D$43,IF(T6&lt;Assumptions!$N$46,1/Assumptions!$N$46,0))</f>
        <v>0.05</v>
      </c>
      <c r="U43" s="294" t="n">
        <f aca="false">IF(AND(U6&gt;=Assumptions!$N$46,T6&lt;Assumptions!$N$46),1/Assumptions!$N$46-Depreciation!$D$43,IF(U6&lt;Assumptions!$N$46,1/Assumptions!$N$46,0))</f>
        <v>0.05</v>
      </c>
      <c r="V43" s="294" t="n">
        <f aca="false">IF(AND(V6&gt;=Assumptions!$N$46,U6&lt;Assumptions!$N$46),1/Assumptions!$N$46-Depreciation!$D$43,IF(V6&lt;Assumptions!$N$46,1/Assumptions!$N$46,0))</f>
        <v>0.05</v>
      </c>
      <c r="W43" s="294" t="n">
        <f aca="false">IF(AND(W6&gt;=Assumptions!$N$46,V6&lt;Assumptions!$N$46),1/Assumptions!$N$46-Depreciation!$D$43,IF(W6&lt;Assumptions!$N$46,1/Assumptions!$N$46,0))</f>
        <v>0.05</v>
      </c>
      <c r="X43" s="294" t="n">
        <f aca="false">IF(AND(X6&gt;=Assumptions!$N$46,W6&lt;Assumptions!$N$46),1/Assumptions!$N$46-Depreciation!$D$43,IF(X6&lt;Assumptions!$N$46,1/Assumptions!$N$46,0))</f>
        <v>0.0166666666666667</v>
      </c>
      <c r="Y43" s="294" t="n">
        <f aca="false">IF(AND(Y6&gt;=Assumptions!$N$46,X6&lt;Assumptions!$N$46),1/Assumptions!$N$46-Depreciation!$D$43,IF(Y6&lt;Assumptions!$N$46,1/Assumptions!$N$46,0))</f>
        <v>0</v>
      </c>
      <c r="Z43" s="294" t="n">
        <f aca="false">IF(AND(Z6&gt;=Assumptions!$N$46,Y6&lt;Assumptions!$N$46),1/Assumptions!$N$46-Depreciation!$D$43,IF(Z6&lt;Assumptions!$N$46,1/Assumptions!$N$46,0))</f>
        <v>0</v>
      </c>
      <c r="AA43" s="294" t="n">
        <f aca="false">IF(AND(AA6&gt;=Assumptions!$N$46,Z6&lt;Assumptions!$N$46),1/Assumptions!$N$46-Depreciation!$D$43,IF(AA6&lt;Assumptions!$N$46,1/Assumptions!$N$46,0))</f>
        <v>0</v>
      </c>
      <c r="AB43" s="294" t="n">
        <f aca="false">IF(AND(AB6&gt;=Assumptions!$N$46,AA6&lt;Assumptions!$N$46),1/Assumptions!$N$46-Depreciation!$D$43,IF(AB6&lt;Assumptions!$N$46,1/Assumptions!$N$46,0))</f>
        <v>0</v>
      </c>
      <c r="AC43" s="294" t="n">
        <f aca="false">IF(AND(AC6&gt;=Assumptions!$N$46,AB6&lt;Assumptions!$N$46),1/Assumptions!$N$46-Depreciation!$D$43,IF(AC6&lt;Assumptions!$N$46,1/Assumptions!$N$46,0))</f>
        <v>0</v>
      </c>
      <c r="AD43" s="294" t="n">
        <f aca="false">IF(AND(AD6&gt;=Assumptions!$N$46,AC6&lt;Assumptions!$N$46),1/Assumptions!$N$46-Depreciation!$D$43,IF(AD6&lt;Assumptions!$N$46,1/Assumptions!$N$46,0))</f>
        <v>0</v>
      </c>
      <c r="AE43" s="294" t="n">
        <f aca="false">IF(AND(AE6&gt;=Assumptions!$N$46,AD6&lt;Assumptions!$N$46),1/Assumptions!$N$46-Depreciation!$D$43,IF(AE6&lt;Assumptions!$N$46,1/Assumptions!$N$46,0))</f>
        <v>0</v>
      </c>
      <c r="AF43" s="294" t="n">
        <f aca="false">IF(AND(AF6&gt;=Assumptions!$N$46,AE6&lt;Assumptions!$N$46),1/Assumptions!$N$46-Depreciation!$D$43,IF(AF6&lt;Assumptions!$N$46,1/Assumptions!$N$46,0))</f>
        <v>0</v>
      </c>
      <c r="AG43" s="294" t="n">
        <f aca="false">IF(AND(AG6&gt;=Assumptions!$N$46,AF6&lt;Assumptions!$N$46),1/Assumptions!$N$46-Depreciation!$D$43,IF(AG6&lt;Assumptions!$N$46,1/Assumptions!$N$46,0))</f>
        <v>0</v>
      </c>
      <c r="AH43" s="294" t="n">
        <f aca="false">IF(AND(AH6&gt;=Assumptions!$N$46,AG6&lt;Assumptions!$N$46),1/Assumptions!$N$46-Depreciation!$D$43,IF(AH6&lt;Assumptions!$N$46,1/Assumptions!$N$46,0))</f>
        <v>0</v>
      </c>
      <c r="AI43" s="448"/>
      <c r="AJ43" s="448"/>
      <c r="AK43" s="448"/>
      <c r="AL43" s="448"/>
      <c r="AM43" s="448"/>
      <c r="AN43" s="448"/>
      <c r="AO43" s="448"/>
      <c r="AP43" s="448"/>
      <c r="AQ43" s="448"/>
      <c r="AR43" s="448"/>
      <c r="AS43" s="448"/>
      <c r="AT43" s="448"/>
      <c r="AU43" s="448"/>
      <c r="AV43" s="448"/>
      <c r="AW43" s="448"/>
      <c r="AX43" s="448"/>
      <c r="AY43" s="448"/>
      <c r="AZ43" s="448"/>
      <c r="BA43" s="448"/>
      <c r="BB43" s="448"/>
      <c r="BC43" s="448"/>
      <c r="BD43" s="448"/>
      <c r="BE43" s="448"/>
      <c r="BF43" s="448"/>
      <c r="BG43" s="448"/>
      <c r="BH43" s="448"/>
      <c r="BI43" s="448"/>
      <c r="BJ43" s="448"/>
      <c r="BK43" s="448"/>
      <c r="BL43" s="448"/>
      <c r="BM43" s="448"/>
      <c r="BN43" s="448"/>
      <c r="BO43" s="448"/>
      <c r="BP43" s="448"/>
      <c r="BQ43" s="448"/>
      <c r="BR43" s="448"/>
      <c r="BS43" s="448"/>
      <c r="BT43" s="448"/>
      <c r="BU43" s="448"/>
      <c r="BV43" s="448"/>
      <c r="BW43" s="448"/>
      <c r="BX43" s="448"/>
      <c r="BY43" s="448"/>
      <c r="BZ43" s="448"/>
      <c r="CA43" s="448"/>
      <c r="CB43" s="448"/>
      <c r="CC43" s="448"/>
      <c r="CD43" s="448"/>
      <c r="CE43" s="448"/>
      <c r="CF43" s="448"/>
      <c r="CG43" s="448"/>
      <c r="CH43" s="448"/>
      <c r="CI43" s="448"/>
      <c r="CJ43" s="448"/>
      <c r="CK43" s="448"/>
      <c r="CL43" s="448"/>
      <c r="CM43" s="448"/>
      <c r="CN43" s="448"/>
      <c r="CO43" s="448"/>
      <c r="CP43" s="448"/>
      <c r="CQ43" s="448"/>
      <c r="CR43" s="448"/>
      <c r="CS43" s="448"/>
      <c r="CT43" s="448"/>
      <c r="CU43" s="448"/>
      <c r="CV43" s="448"/>
      <c r="CW43" s="448"/>
      <c r="CX43" s="448"/>
      <c r="CY43" s="448"/>
      <c r="CZ43" s="448"/>
      <c r="DA43" s="448"/>
      <c r="DB43" s="448"/>
      <c r="DC43" s="448"/>
      <c r="DD43" s="448"/>
      <c r="DE43" s="448"/>
      <c r="DF43" s="448"/>
      <c r="DG43" s="448"/>
      <c r="DH43" s="448"/>
      <c r="DI43" s="448"/>
      <c r="DJ43" s="448"/>
      <c r="DK43" s="448"/>
      <c r="DL43" s="448"/>
      <c r="DM43" s="448"/>
      <c r="DN43" s="448"/>
      <c r="DO43" s="448"/>
      <c r="DP43" s="448"/>
      <c r="DQ43" s="448"/>
      <c r="DR43" s="448"/>
      <c r="DS43" s="448"/>
      <c r="DT43" s="448"/>
      <c r="DU43" s="448"/>
      <c r="DV43" s="448"/>
      <c r="DW43" s="448"/>
      <c r="DX43" s="448"/>
      <c r="DY43" s="448"/>
      <c r="DZ43" s="448"/>
      <c r="EA43" s="448"/>
      <c r="EB43" s="448"/>
      <c r="EC43" s="448"/>
      <c r="ED43" s="448"/>
      <c r="EE43" s="448"/>
      <c r="EF43" s="448"/>
      <c r="EG43" s="448"/>
      <c r="EH43" s="448"/>
      <c r="EI43" s="448"/>
      <c r="EJ43" s="448"/>
      <c r="EK43" s="448"/>
      <c r="EL43" s="448"/>
      <c r="EM43" s="448"/>
      <c r="EN43" s="448"/>
      <c r="EO43" s="448"/>
      <c r="EP43" s="448"/>
      <c r="EQ43" s="448"/>
      <c r="ER43" s="448"/>
      <c r="ES43" s="448"/>
      <c r="ET43" s="448"/>
      <c r="EU43" s="448"/>
      <c r="EV43" s="448"/>
      <c r="EW43" s="448"/>
      <c r="EX43" s="448"/>
      <c r="EY43" s="448"/>
      <c r="EZ43" s="448"/>
      <c r="FA43" s="448"/>
      <c r="FB43" s="448"/>
      <c r="FC43" s="448"/>
      <c r="FD43" s="448"/>
      <c r="FE43" s="448"/>
      <c r="FF43" s="448"/>
      <c r="FG43" s="448"/>
      <c r="FH43" s="448"/>
      <c r="FI43" s="448"/>
      <c r="FJ43" s="448"/>
      <c r="FK43" s="448"/>
      <c r="FL43" s="448"/>
      <c r="FM43" s="448"/>
      <c r="FN43" s="448"/>
      <c r="FO43" s="448"/>
      <c r="FP43" s="448"/>
      <c r="FQ43" s="448"/>
      <c r="FR43" s="448"/>
      <c r="FS43" s="448"/>
      <c r="FT43" s="448"/>
      <c r="FU43" s="448"/>
      <c r="FV43" s="448"/>
      <c r="FW43" s="448"/>
      <c r="FX43" s="448"/>
      <c r="FY43" s="448"/>
      <c r="FZ43" s="448"/>
      <c r="GA43" s="448"/>
      <c r="GB43" s="448"/>
      <c r="GC43" s="448"/>
      <c r="GD43" s="448"/>
      <c r="GE43" s="448"/>
      <c r="GF43" s="448"/>
      <c r="GG43" s="448"/>
      <c r="GH43" s="448"/>
      <c r="GI43" s="448"/>
      <c r="GJ43" s="448"/>
      <c r="GK43" s="448"/>
      <c r="GL43" s="448"/>
      <c r="GM43" s="448"/>
      <c r="GN43" s="448"/>
      <c r="GO43" s="448"/>
      <c r="GP43" s="448"/>
      <c r="GQ43" s="448"/>
      <c r="GR43" s="448"/>
      <c r="GS43" s="448"/>
      <c r="GT43" s="448"/>
      <c r="GU43" s="448"/>
      <c r="GV43" s="448"/>
      <c r="GW43" s="448"/>
      <c r="GX43" s="448"/>
      <c r="GY43" s="448"/>
      <c r="GZ43" s="448"/>
      <c r="HA43" s="448"/>
      <c r="HB43" s="448"/>
      <c r="HC43" s="448"/>
      <c r="HD43" s="448"/>
      <c r="HE43" s="448"/>
      <c r="HF43" s="448"/>
      <c r="HG43" s="448"/>
      <c r="HH43" s="448"/>
      <c r="HI43" s="448"/>
      <c r="HJ43" s="448"/>
      <c r="HK43" s="448"/>
      <c r="HL43" s="448"/>
      <c r="HM43" s="448"/>
      <c r="HN43" s="448"/>
      <c r="HO43" s="448"/>
      <c r="HP43" s="448"/>
      <c r="HQ43" s="448"/>
      <c r="HR43" s="448"/>
      <c r="HS43" s="448"/>
      <c r="HT43" s="448"/>
      <c r="HU43" s="448"/>
      <c r="HV43" s="448"/>
      <c r="HW43" s="448"/>
      <c r="HX43" s="448"/>
      <c r="HY43" s="448"/>
      <c r="HZ43" s="448"/>
      <c r="IA43" s="448"/>
      <c r="IB43" s="448"/>
      <c r="IC43" s="448"/>
      <c r="ID43" s="448"/>
      <c r="IE43" s="448"/>
      <c r="IF43" s="448"/>
      <c r="IG43" s="448"/>
      <c r="IH43" s="448"/>
      <c r="II43" s="448"/>
      <c r="IJ43" s="448"/>
      <c r="IK43" s="448"/>
      <c r="IL43" s="448"/>
      <c r="IM43" s="448"/>
      <c r="IN43" s="448"/>
      <c r="IO43" s="448"/>
      <c r="IP43" s="448"/>
      <c r="IQ43" s="448"/>
      <c r="IR43" s="448"/>
      <c r="IS43" s="448"/>
      <c r="IT43" s="448"/>
      <c r="IU43" s="448"/>
      <c r="IV43" s="448"/>
      <c r="IW43" s="448"/>
    </row>
    <row r="44" customFormat="false" ht="12.75" hidden="false" customHeight="false" outlineLevel="0" collapsed="false">
      <c r="B44" s="449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  <c r="AL44" s="448"/>
      <c r="AM44" s="448"/>
      <c r="AN44" s="448"/>
      <c r="AO44" s="448"/>
      <c r="AP44" s="448"/>
      <c r="AQ44" s="448"/>
      <c r="AR44" s="448"/>
      <c r="AS44" s="448"/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8"/>
      <c r="BK44" s="448"/>
      <c r="BL44" s="448"/>
      <c r="BM44" s="448"/>
      <c r="BN44" s="448"/>
      <c r="BO44" s="448"/>
      <c r="BP44" s="448"/>
      <c r="BQ44" s="448"/>
      <c r="BR44" s="448"/>
      <c r="BS44" s="448"/>
      <c r="BT44" s="448"/>
      <c r="BU44" s="448"/>
      <c r="BV44" s="448"/>
      <c r="BW44" s="448"/>
      <c r="BX44" s="448"/>
      <c r="BY44" s="448"/>
      <c r="BZ44" s="448"/>
      <c r="CA44" s="448"/>
      <c r="CB44" s="448"/>
      <c r="CC44" s="448"/>
      <c r="CD44" s="448"/>
      <c r="CE44" s="448"/>
      <c r="CF44" s="448"/>
      <c r="CG44" s="448"/>
      <c r="CH44" s="448"/>
      <c r="CI44" s="448"/>
      <c r="CJ44" s="448"/>
      <c r="CK44" s="448"/>
      <c r="CL44" s="448"/>
      <c r="CM44" s="448"/>
      <c r="CN44" s="448"/>
      <c r="CO44" s="448"/>
      <c r="CP44" s="448"/>
      <c r="CQ44" s="448"/>
      <c r="CR44" s="448"/>
      <c r="CS44" s="448"/>
      <c r="CT44" s="448"/>
      <c r="CU44" s="448"/>
      <c r="CV44" s="448"/>
      <c r="CW44" s="448"/>
      <c r="CX44" s="448"/>
      <c r="CY44" s="448"/>
      <c r="CZ44" s="448"/>
      <c r="DA44" s="448"/>
      <c r="DB44" s="448"/>
      <c r="DC44" s="448"/>
      <c r="DD44" s="448"/>
      <c r="DE44" s="448"/>
      <c r="DF44" s="448"/>
      <c r="DG44" s="448"/>
      <c r="DH44" s="448"/>
      <c r="DI44" s="448"/>
      <c r="DJ44" s="448"/>
      <c r="DK44" s="448"/>
      <c r="DL44" s="448"/>
      <c r="DM44" s="448"/>
      <c r="DN44" s="448"/>
      <c r="DO44" s="448"/>
      <c r="DP44" s="448"/>
      <c r="DQ44" s="448"/>
      <c r="DR44" s="448"/>
      <c r="DS44" s="448"/>
      <c r="DT44" s="448"/>
      <c r="DU44" s="448"/>
      <c r="DV44" s="448"/>
      <c r="DW44" s="448"/>
      <c r="DX44" s="448"/>
      <c r="DY44" s="448"/>
      <c r="DZ44" s="448"/>
      <c r="EA44" s="448"/>
      <c r="EB44" s="448"/>
      <c r="EC44" s="448"/>
      <c r="ED44" s="448"/>
      <c r="EE44" s="448"/>
      <c r="EF44" s="448"/>
      <c r="EG44" s="448"/>
      <c r="EH44" s="448"/>
      <c r="EI44" s="448"/>
      <c r="EJ44" s="448"/>
      <c r="EK44" s="448"/>
      <c r="EL44" s="448"/>
      <c r="EM44" s="448"/>
      <c r="EN44" s="448"/>
      <c r="EO44" s="448"/>
      <c r="EP44" s="448"/>
      <c r="EQ44" s="448"/>
      <c r="ER44" s="448"/>
      <c r="ES44" s="448"/>
      <c r="ET44" s="448"/>
      <c r="EU44" s="448"/>
      <c r="EV44" s="448"/>
      <c r="EW44" s="448"/>
      <c r="EX44" s="448"/>
      <c r="EY44" s="448"/>
      <c r="EZ44" s="448"/>
      <c r="FA44" s="448"/>
      <c r="FB44" s="448"/>
      <c r="FC44" s="448"/>
      <c r="FD44" s="448"/>
      <c r="FE44" s="448"/>
      <c r="FF44" s="448"/>
      <c r="FG44" s="448"/>
      <c r="FH44" s="448"/>
      <c r="FI44" s="448"/>
      <c r="FJ44" s="448"/>
      <c r="FK44" s="448"/>
      <c r="FL44" s="448"/>
      <c r="FM44" s="448"/>
      <c r="FN44" s="448"/>
      <c r="FO44" s="448"/>
      <c r="FP44" s="448"/>
      <c r="FQ44" s="448"/>
      <c r="FR44" s="448"/>
      <c r="FS44" s="448"/>
      <c r="FT44" s="448"/>
      <c r="FU44" s="448"/>
      <c r="FV44" s="448"/>
      <c r="FW44" s="448"/>
      <c r="FX44" s="448"/>
      <c r="FY44" s="448"/>
      <c r="FZ44" s="448"/>
      <c r="GA44" s="448"/>
      <c r="GB44" s="448"/>
      <c r="GC44" s="448"/>
      <c r="GD44" s="448"/>
      <c r="GE44" s="448"/>
      <c r="GF44" s="448"/>
      <c r="GG44" s="448"/>
      <c r="GH44" s="448"/>
      <c r="GI44" s="448"/>
      <c r="GJ44" s="448"/>
      <c r="GK44" s="448"/>
      <c r="GL44" s="448"/>
      <c r="GM44" s="448"/>
      <c r="GN44" s="448"/>
      <c r="GO44" s="448"/>
      <c r="GP44" s="448"/>
      <c r="GQ44" s="448"/>
      <c r="GR44" s="448"/>
      <c r="GS44" s="448"/>
      <c r="GT44" s="448"/>
      <c r="GU44" s="448"/>
      <c r="GV44" s="448"/>
      <c r="GW44" s="448"/>
      <c r="GX44" s="448"/>
      <c r="GY44" s="448"/>
      <c r="GZ44" s="448"/>
      <c r="HA44" s="448"/>
      <c r="HB44" s="448"/>
      <c r="HC44" s="448"/>
      <c r="HD44" s="448"/>
      <c r="HE44" s="448"/>
      <c r="HF44" s="448"/>
      <c r="HG44" s="448"/>
      <c r="HH44" s="448"/>
      <c r="HI44" s="448"/>
      <c r="HJ44" s="448"/>
      <c r="HK44" s="448"/>
      <c r="HL44" s="448"/>
      <c r="HM44" s="448"/>
      <c r="HN44" s="448"/>
      <c r="HO44" s="448"/>
      <c r="HP44" s="448"/>
      <c r="HQ44" s="448"/>
      <c r="HR44" s="448"/>
      <c r="HS44" s="448"/>
      <c r="HT44" s="448"/>
      <c r="HU44" s="448"/>
      <c r="HV44" s="448"/>
      <c r="HW44" s="448"/>
      <c r="HX44" s="448"/>
      <c r="HY44" s="448"/>
      <c r="HZ44" s="448"/>
      <c r="IA44" s="448"/>
      <c r="IB44" s="448"/>
      <c r="IC44" s="448"/>
      <c r="ID44" s="448"/>
      <c r="IE44" s="448"/>
      <c r="IF44" s="448"/>
      <c r="IG44" s="448"/>
      <c r="IH44" s="448"/>
      <c r="II44" s="448"/>
      <c r="IJ44" s="448"/>
      <c r="IK44" s="448"/>
      <c r="IL44" s="448"/>
      <c r="IM44" s="448"/>
      <c r="IN44" s="448"/>
      <c r="IO44" s="448"/>
      <c r="IP44" s="448"/>
      <c r="IQ44" s="448"/>
      <c r="IR44" s="448"/>
      <c r="IS44" s="448"/>
      <c r="IT44" s="448"/>
      <c r="IU44" s="448"/>
      <c r="IV44" s="448"/>
      <c r="IW44" s="448"/>
    </row>
    <row r="45" customFormat="false" ht="12.75" hidden="false" customHeight="false" outlineLevel="0" collapsed="false">
      <c r="A45" s="451" t="s">
        <v>502</v>
      </c>
      <c r="B45" s="188" t="n">
        <f aca="false">B16</f>
        <v>196610.889268267</v>
      </c>
      <c r="C45" s="459"/>
      <c r="D45" s="188" t="n">
        <f aca="false">D41*$B$45</f>
        <v>3932.21778536534</v>
      </c>
      <c r="E45" s="188" t="n">
        <f aca="false">E41*$B$45</f>
        <v>5898.32667804801</v>
      </c>
      <c r="F45" s="188" t="n">
        <f aca="false">F41*$B$45</f>
        <v>5898.32667804801</v>
      </c>
      <c r="G45" s="188" t="n">
        <f aca="false">G41*$B$45</f>
        <v>5898.32667804801</v>
      </c>
      <c r="H45" s="188" t="n">
        <f aca="false">H41*$B$45</f>
        <v>5898.32667804801</v>
      </c>
      <c r="I45" s="188" t="n">
        <f aca="false">I41*$B$45</f>
        <v>5898.32667804801</v>
      </c>
      <c r="J45" s="188" t="n">
        <f aca="false">J41*$B$45</f>
        <v>5898.32667804801</v>
      </c>
      <c r="K45" s="188" t="n">
        <f aca="false">K41*$B$45</f>
        <v>5898.32667804801</v>
      </c>
      <c r="L45" s="188" t="n">
        <f aca="false">L41*$B$45</f>
        <v>5898.32667804801</v>
      </c>
      <c r="M45" s="188" t="n">
        <f aca="false">M41*$B$45</f>
        <v>5898.32667804801</v>
      </c>
      <c r="N45" s="188" t="n">
        <f aca="false">N41*$B$45</f>
        <v>5898.32667804801</v>
      </c>
      <c r="O45" s="188" t="n">
        <f aca="false">O41*$B$45</f>
        <v>5898.32667804801</v>
      </c>
      <c r="P45" s="188" t="n">
        <f aca="false">P41*$B$45</f>
        <v>5898.32667804801</v>
      </c>
      <c r="Q45" s="188" t="n">
        <f aca="false">Q41*$B$45</f>
        <v>5898.32667804801</v>
      </c>
      <c r="R45" s="188" t="n">
        <f aca="false">R41*$B$45</f>
        <v>5898.32667804801</v>
      </c>
      <c r="S45" s="188" t="n">
        <f aca="false">S41*$B$45</f>
        <v>5898.32667804801</v>
      </c>
      <c r="T45" s="188" t="n">
        <f aca="false">T41*$B$45</f>
        <v>5898.32667804801</v>
      </c>
      <c r="U45" s="188" t="n">
        <f aca="false">U41*$B$45</f>
        <v>5898.32667804801</v>
      </c>
      <c r="V45" s="188" t="n">
        <f aca="false">V41*$B$45</f>
        <v>5898.32667804801</v>
      </c>
      <c r="W45" s="188" t="n">
        <f aca="false">W41*$B$45</f>
        <v>5898.32667804801</v>
      </c>
      <c r="X45" s="188" t="n">
        <f aca="false">X41*$B$45</f>
        <v>5898.32667804801</v>
      </c>
      <c r="Y45" s="188" t="n">
        <f aca="false">Y41*$B$45</f>
        <v>5898.32667804801</v>
      </c>
      <c r="Z45" s="188" t="n">
        <f aca="false">Z41*$B$45</f>
        <v>5898.32667804801</v>
      </c>
      <c r="AA45" s="188" t="n">
        <f aca="false">AA41*$B$45</f>
        <v>5898.32667804801</v>
      </c>
      <c r="AB45" s="188" t="n">
        <f aca="false">AB41*$B$45</f>
        <v>5898.32667804801</v>
      </c>
      <c r="AC45" s="188" t="n">
        <f aca="false">AC41*$B$45</f>
        <v>5898.32667804801</v>
      </c>
      <c r="AD45" s="188" t="n">
        <f aca="false">AD41*$B$45</f>
        <v>5898.32667804801</v>
      </c>
      <c r="AE45" s="188" t="n">
        <f aca="false">AE41*$B$45</f>
        <v>5898.32667804801</v>
      </c>
      <c r="AF45" s="188" t="n">
        <f aca="false">AF41*$B$45</f>
        <v>5898.32667804801</v>
      </c>
      <c r="AG45" s="188" t="n">
        <f aca="false">AG41*$B$45</f>
        <v>5898.32667804801</v>
      </c>
      <c r="AH45" s="188" t="n">
        <f aca="false">AH41*$B$45</f>
        <v>1966.10889268267</v>
      </c>
      <c r="AI45" s="467"/>
      <c r="AJ45" s="467"/>
      <c r="AK45" s="467"/>
      <c r="AL45" s="467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8"/>
      <c r="BV45" s="448"/>
      <c r="BW45" s="448"/>
      <c r="BX45" s="448"/>
      <c r="BY45" s="448"/>
      <c r="BZ45" s="448"/>
      <c r="CA45" s="448"/>
      <c r="CB45" s="448"/>
      <c r="CC45" s="448"/>
      <c r="CD45" s="448"/>
      <c r="CE45" s="448"/>
      <c r="CF45" s="448"/>
      <c r="CG45" s="448"/>
      <c r="CH45" s="448"/>
      <c r="CI45" s="448"/>
      <c r="CJ45" s="448"/>
      <c r="CK45" s="448"/>
      <c r="CL45" s="448"/>
      <c r="CM45" s="448"/>
      <c r="CN45" s="448"/>
      <c r="CO45" s="448"/>
      <c r="CP45" s="448"/>
      <c r="CQ45" s="448"/>
      <c r="CR45" s="448"/>
      <c r="CS45" s="448"/>
      <c r="CT45" s="448"/>
      <c r="CU45" s="448"/>
      <c r="CV45" s="448"/>
      <c r="CW45" s="448"/>
      <c r="CX45" s="448"/>
      <c r="CY45" s="448"/>
      <c r="CZ45" s="448"/>
      <c r="DA45" s="448"/>
      <c r="DB45" s="448"/>
      <c r="DC45" s="448"/>
      <c r="DD45" s="448"/>
      <c r="DE45" s="448"/>
      <c r="DF45" s="448"/>
      <c r="DG45" s="448"/>
      <c r="DH45" s="448"/>
      <c r="DI45" s="448"/>
      <c r="DJ45" s="448"/>
      <c r="DK45" s="448"/>
      <c r="DL45" s="448"/>
      <c r="DM45" s="448"/>
      <c r="DN45" s="448"/>
      <c r="DO45" s="448"/>
      <c r="DP45" s="448"/>
      <c r="DQ45" s="448"/>
      <c r="DR45" s="448"/>
      <c r="DS45" s="448"/>
      <c r="DT45" s="448"/>
      <c r="DU45" s="448"/>
      <c r="DV45" s="448"/>
      <c r="DW45" s="448"/>
      <c r="DX45" s="448"/>
      <c r="DY45" s="448"/>
      <c r="DZ45" s="448"/>
      <c r="EA45" s="448"/>
      <c r="EB45" s="448"/>
      <c r="EC45" s="448"/>
      <c r="ED45" s="448"/>
      <c r="EE45" s="448"/>
      <c r="EF45" s="448"/>
      <c r="EG45" s="448"/>
      <c r="EH45" s="448"/>
      <c r="EI45" s="448"/>
      <c r="EJ45" s="448"/>
      <c r="EK45" s="448"/>
      <c r="EL45" s="448"/>
      <c r="EM45" s="448"/>
      <c r="EN45" s="448"/>
      <c r="EO45" s="448"/>
      <c r="EP45" s="448"/>
      <c r="EQ45" s="448"/>
      <c r="ER45" s="448"/>
      <c r="ES45" s="448"/>
      <c r="ET45" s="448"/>
      <c r="EU45" s="448"/>
      <c r="EV45" s="448"/>
      <c r="EW45" s="448"/>
      <c r="EX45" s="448"/>
      <c r="EY45" s="448"/>
      <c r="EZ45" s="448"/>
      <c r="FA45" s="448"/>
      <c r="FB45" s="448"/>
      <c r="FC45" s="448"/>
      <c r="FD45" s="448"/>
      <c r="FE45" s="448"/>
      <c r="FF45" s="448"/>
      <c r="FG45" s="448"/>
      <c r="FH45" s="448"/>
      <c r="FI45" s="448"/>
      <c r="FJ45" s="448"/>
      <c r="FK45" s="448"/>
      <c r="FL45" s="448"/>
      <c r="FM45" s="448"/>
      <c r="FN45" s="448"/>
      <c r="FO45" s="448"/>
      <c r="FP45" s="448"/>
      <c r="FQ45" s="448"/>
      <c r="FR45" s="448"/>
      <c r="FS45" s="448"/>
      <c r="FT45" s="448"/>
      <c r="FU45" s="448"/>
      <c r="FV45" s="448"/>
      <c r="FW45" s="448"/>
      <c r="FX45" s="448"/>
      <c r="FY45" s="448"/>
      <c r="FZ45" s="448"/>
      <c r="GA45" s="448"/>
      <c r="GB45" s="448"/>
      <c r="GC45" s="448"/>
      <c r="GD45" s="448"/>
      <c r="GE45" s="448"/>
      <c r="GF45" s="448"/>
      <c r="GG45" s="448"/>
      <c r="GH45" s="448"/>
      <c r="GI45" s="448"/>
      <c r="GJ45" s="448"/>
      <c r="GK45" s="448"/>
      <c r="GL45" s="448"/>
      <c r="GM45" s="448"/>
      <c r="GN45" s="448"/>
      <c r="GO45" s="448"/>
      <c r="GP45" s="448"/>
      <c r="GQ45" s="448"/>
      <c r="GR45" s="448"/>
      <c r="GS45" s="448"/>
      <c r="GT45" s="448"/>
      <c r="GU45" s="448"/>
      <c r="GV45" s="448"/>
      <c r="GW45" s="448"/>
      <c r="GX45" s="448"/>
      <c r="GY45" s="448"/>
      <c r="GZ45" s="448"/>
      <c r="HA45" s="448"/>
      <c r="HB45" s="448"/>
      <c r="HC45" s="448"/>
      <c r="HD45" s="448"/>
      <c r="HE45" s="448"/>
      <c r="HF45" s="448"/>
      <c r="HG45" s="448"/>
      <c r="HH45" s="448"/>
      <c r="HI45" s="448"/>
      <c r="HJ45" s="448"/>
      <c r="HK45" s="448"/>
      <c r="HL45" s="448"/>
      <c r="HM45" s="448"/>
      <c r="HN45" s="448"/>
      <c r="HO45" s="448"/>
      <c r="HP45" s="448"/>
      <c r="HQ45" s="448"/>
      <c r="HR45" s="448"/>
      <c r="HS45" s="448"/>
      <c r="HT45" s="448"/>
      <c r="HU45" s="448"/>
      <c r="HV45" s="448"/>
      <c r="HW45" s="448"/>
      <c r="HX45" s="448"/>
      <c r="HY45" s="448"/>
      <c r="HZ45" s="448"/>
      <c r="IA45" s="448"/>
      <c r="IB45" s="448"/>
      <c r="IC45" s="448"/>
      <c r="ID45" s="448"/>
      <c r="IE45" s="448"/>
      <c r="IF45" s="448"/>
      <c r="IG45" s="448"/>
      <c r="IH45" s="448"/>
      <c r="II45" s="448"/>
      <c r="IJ45" s="448"/>
      <c r="IK45" s="448"/>
      <c r="IL45" s="448"/>
      <c r="IM45" s="448"/>
      <c r="IN45" s="448"/>
      <c r="IO45" s="448"/>
      <c r="IP45" s="448"/>
      <c r="IQ45" s="448"/>
      <c r="IR45" s="448"/>
      <c r="IS45" s="448"/>
      <c r="IT45" s="448"/>
      <c r="IU45" s="448"/>
      <c r="IV45" s="448"/>
      <c r="IW45" s="448"/>
    </row>
    <row r="46" customFormat="false" ht="12.75" hidden="false" customHeight="false" outlineLevel="0" collapsed="false">
      <c r="A46" s="451" t="s">
        <v>503</v>
      </c>
      <c r="B46" s="460" t="n">
        <f aca="false">B17</f>
        <v>13509.09395</v>
      </c>
      <c r="C46" s="459"/>
      <c r="D46" s="188" t="n">
        <f aca="false">D42*$B$46</f>
        <v>1801.21252666667</v>
      </c>
      <c r="E46" s="188" t="n">
        <f aca="false">E42*$B$46</f>
        <v>2701.81879</v>
      </c>
      <c r="F46" s="188" t="n">
        <f aca="false">F42*$B$46</f>
        <v>2701.81879</v>
      </c>
      <c r="G46" s="188" t="n">
        <f aca="false">G42*$B$46</f>
        <v>2701.81879</v>
      </c>
      <c r="H46" s="188" t="n">
        <f aca="false">H42*$B$46</f>
        <v>2701.81879</v>
      </c>
      <c r="I46" s="188" t="n">
        <f aca="false">I42*$B$46</f>
        <v>900.606263333334</v>
      </c>
      <c r="J46" s="188" t="n">
        <f aca="false">J42*$B$46</f>
        <v>0</v>
      </c>
      <c r="K46" s="188" t="n">
        <f aca="false">K42*$B$46</f>
        <v>0</v>
      </c>
      <c r="L46" s="188" t="n">
        <f aca="false">L42*$B$46</f>
        <v>0</v>
      </c>
      <c r="M46" s="188" t="n">
        <f aca="false">M42*$B$46</f>
        <v>0</v>
      </c>
      <c r="N46" s="188" t="n">
        <f aca="false">N42*$B$46</f>
        <v>0</v>
      </c>
      <c r="O46" s="188" t="n">
        <f aca="false">O42*$B$46</f>
        <v>0</v>
      </c>
      <c r="P46" s="188" t="n">
        <f aca="false">P42*$B$46</f>
        <v>0</v>
      </c>
      <c r="Q46" s="188" t="n">
        <f aca="false">Q42*$B$46</f>
        <v>0</v>
      </c>
      <c r="R46" s="188" t="n">
        <f aca="false">R42*$B$46</f>
        <v>0</v>
      </c>
      <c r="S46" s="188" t="n">
        <f aca="false">S42*$B$46</f>
        <v>0</v>
      </c>
      <c r="T46" s="188" t="n">
        <f aca="false">T42*$B$46</f>
        <v>0</v>
      </c>
      <c r="U46" s="188" t="n">
        <f aca="false">U42*$B$46</f>
        <v>0</v>
      </c>
      <c r="V46" s="188" t="n">
        <f aca="false">V42*$B$46</f>
        <v>0</v>
      </c>
      <c r="W46" s="188" t="n">
        <f aca="false">W42*$B$46</f>
        <v>0</v>
      </c>
      <c r="X46" s="188" t="n">
        <f aca="false">X42*$B$46</f>
        <v>0</v>
      </c>
      <c r="Y46" s="188" t="n">
        <f aca="false">Y42*$B$46</f>
        <v>0</v>
      </c>
      <c r="Z46" s="188" t="n">
        <f aca="false">Z42*$B$46</f>
        <v>0</v>
      </c>
      <c r="AA46" s="188" t="n">
        <f aca="false">AA42*$B$46</f>
        <v>0</v>
      </c>
      <c r="AB46" s="188" t="n">
        <f aca="false">AB42*$B$46</f>
        <v>0</v>
      </c>
      <c r="AC46" s="188" t="n">
        <f aca="false">AC42*$B$46</f>
        <v>0</v>
      </c>
      <c r="AD46" s="188" t="n">
        <f aca="false">AD42*$B$46</f>
        <v>0</v>
      </c>
      <c r="AE46" s="188" t="n">
        <f aca="false">AE42*$B$46</f>
        <v>0</v>
      </c>
      <c r="AF46" s="188" t="n">
        <f aca="false">AF42*$B$46</f>
        <v>0</v>
      </c>
      <c r="AG46" s="188" t="n">
        <f aca="false">AG42*$B$46</f>
        <v>0</v>
      </c>
      <c r="AH46" s="188" t="n">
        <f aca="false">AH42*$B$46</f>
        <v>0</v>
      </c>
      <c r="AI46" s="467"/>
      <c r="AJ46" s="467"/>
      <c r="AK46" s="467"/>
      <c r="AL46" s="467"/>
      <c r="AM46" s="448"/>
      <c r="AN46" s="448"/>
      <c r="AO46" s="448"/>
      <c r="AP46" s="448"/>
      <c r="AQ46" s="448"/>
      <c r="AR46" s="448"/>
      <c r="AS46" s="448"/>
      <c r="AT46" s="448"/>
      <c r="AU46" s="448"/>
      <c r="AV46" s="448"/>
      <c r="AW46" s="448"/>
      <c r="AX46" s="448"/>
      <c r="AY46" s="448"/>
      <c r="AZ46" s="448"/>
      <c r="BA46" s="448"/>
      <c r="BB46" s="448"/>
      <c r="BC46" s="448"/>
      <c r="BD46" s="448"/>
      <c r="BE46" s="448"/>
      <c r="BF46" s="448"/>
      <c r="BG46" s="448"/>
      <c r="BH46" s="448"/>
      <c r="BI46" s="448"/>
      <c r="BJ46" s="448"/>
      <c r="BK46" s="448"/>
      <c r="BL46" s="448"/>
      <c r="BM46" s="448"/>
      <c r="BN46" s="448"/>
      <c r="BO46" s="448"/>
      <c r="BP46" s="448"/>
      <c r="BQ46" s="448"/>
      <c r="BR46" s="448"/>
      <c r="BS46" s="448"/>
      <c r="BT46" s="448"/>
      <c r="BU46" s="448"/>
      <c r="BV46" s="448"/>
      <c r="BW46" s="448"/>
      <c r="BX46" s="448"/>
      <c r="BY46" s="448"/>
      <c r="BZ46" s="448"/>
      <c r="CA46" s="448"/>
      <c r="CB46" s="448"/>
      <c r="CC46" s="448"/>
      <c r="CD46" s="448"/>
      <c r="CE46" s="448"/>
      <c r="CF46" s="448"/>
      <c r="CG46" s="448"/>
      <c r="CH46" s="448"/>
      <c r="CI46" s="448"/>
      <c r="CJ46" s="448"/>
      <c r="CK46" s="448"/>
      <c r="CL46" s="448"/>
      <c r="CM46" s="448"/>
      <c r="CN46" s="448"/>
      <c r="CO46" s="448"/>
      <c r="CP46" s="448"/>
      <c r="CQ46" s="448"/>
      <c r="CR46" s="448"/>
      <c r="CS46" s="448"/>
      <c r="CT46" s="448"/>
      <c r="CU46" s="448"/>
      <c r="CV46" s="448"/>
      <c r="CW46" s="448"/>
      <c r="CX46" s="448"/>
      <c r="CY46" s="448"/>
      <c r="CZ46" s="448"/>
      <c r="DA46" s="448"/>
      <c r="DB46" s="448"/>
      <c r="DC46" s="448"/>
      <c r="DD46" s="448"/>
      <c r="DE46" s="448"/>
      <c r="DF46" s="448"/>
      <c r="DG46" s="448"/>
      <c r="DH46" s="448"/>
      <c r="DI46" s="448"/>
      <c r="DJ46" s="448"/>
      <c r="DK46" s="448"/>
      <c r="DL46" s="448"/>
      <c r="DM46" s="448"/>
      <c r="DN46" s="448"/>
      <c r="DO46" s="448"/>
      <c r="DP46" s="448"/>
      <c r="DQ46" s="448"/>
      <c r="DR46" s="448"/>
      <c r="DS46" s="448"/>
      <c r="DT46" s="448"/>
      <c r="DU46" s="448"/>
      <c r="DV46" s="448"/>
      <c r="DW46" s="448"/>
      <c r="DX46" s="448"/>
      <c r="DY46" s="448"/>
      <c r="DZ46" s="448"/>
      <c r="EA46" s="448"/>
      <c r="EB46" s="448"/>
      <c r="EC46" s="448"/>
      <c r="ED46" s="448"/>
      <c r="EE46" s="448"/>
      <c r="EF46" s="448"/>
      <c r="EG46" s="448"/>
      <c r="EH46" s="448"/>
      <c r="EI46" s="448"/>
      <c r="EJ46" s="448"/>
      <c r="EK46" s="448"/>
      <c r="EL46" s="448"/>
      <c r="EM46" s="448"/>
      <c r="EN46" s="448"/>
      <c r="EO46" s="448"/>
      <c r="EP46" s="448"/>
      <c r="EQ46" s="448"/>
      <c r="ER46" s="448"/>
      <c r="ES46" s="448"/>
      <c r="ET46" s="448"/>
      <c r="EU46" s="448"/>
      <c r="EV46" s="448"/>
      <c r="EW46" s="448"/>
      <c r="EX46" s="448"/>
      <c r="EY46" s="448"/>
      <c r="EZ46" s="448"/>
      <c r="FA46" s="448"/>
      <c r="FB46" s="448"/>
      <c r="FC46" s="448"/>
      <c r="FD46" s="448"/>
      <c r="FE46" s="448"/>
      <c r="FF46" s="448"/>
      <c r="FG46" s="448"/>
      <c r="FH46" s="448"/>
      <c r="FI46" s="448"/>
      <c r="FJ46" s="448"/>
      <c r="FK46" s="448"/>
      <c r="FL46" s="448"/>
      <c r="FM46" s="448"/>
      <c r="FN46" s="448"/>
      <c r="FO46" s="448"/>
      <c r="FP46" s="448"/>
      <c r="FQ46" s="448"/>
      <c r="FR46" s="448"/>
      <c r="FS46" s="448"/>
      <c r="FT46" s="448"/>
      <c r="FU46" s="448"/>
      <c r="FV46" s="448"/>
      <c r="FW46" s="448"/>
      <c r="FX46" s="448"/>
      <c r="FY46" s="448"/>
      <c r="FZ46" s="448"/>
      <c r="GA46" s="448"/>
      <c r="GB46" s="448"/>
      <c r="GC46" s="448"/>
      <c r="GD46" s="448"/>
      <c r="GE46" s="448"/>
      <c r="GF46" s="448"/>
      <c r="GG46" s="448"/>
      <c r="GH46" s="448"/>
      <c r="GI46" s="448"/>
      <c r="GJ46" s="448"/>
      <c r="GK46" s="448"/>
      <c r="GL46" s="448"/>
      <c r="GM46" s="448"/>
      <c r="GN46" s="448"/>
      <c r="GO46" s="448"/>
      <c r="GP46" s="448"/>
      <c r="GQ46" s="448"/>
      <c r="GR46" s="448"/>
      <c r="GS46" s="448"/>
      <c r="GT46" s="448"/>
      <c r="GU46" s="448"/>
      <c r="GV46" s="448"/>
      <c r="GW46" s="448"/>
      <c r="GX46" s="448"/>
      <c r="GY46" s="448"/>
      <c r="GZ46" s="448"/>
      <c r="HA46" s="448"/>
      <c r="HB46" s="448"/>
      <c r="HC46" s="448"/>
      <c r="HD46" s="448"/>
      <c r="HE46" s="448"/>
      <c r="HF46" s="448"/>
      <c r="HG46" s="448"/>
      <c r="HH46" s="448"/>
      <c r="HI46" s="448"/>
      <c r="HJ46" s="448"/>
      <c r="HK46" s="448"/>
      <c r="HL46" s="448"/>
      <c r="HM46" s="448"/>
      <c r="HN46" s="448"/>
      <c r="HO46" s="448"/>
      <c r="HP46" s="448"/>
      <c r="HQ46" s="448"/>
      <c r="HR46" s="448"/>
      <c r="HS46" s="448"/>
      <c r="HT46" s="448"/>
      <c r="HU46" s="448"/>
      <c r="HV46" s="448"/>
      <c r="HW46" s="448"/>
      <c r="HX46" s="448"/>
      <c r="HY46" s="448"/>
      <c r="HZ46" s="448"/>
      <c r="IA46" s="448"/>
      <c r="IB46" s="448"/>
      <c r="IC46" s="448"/>
      <c r="ID46" s="448"/>
      <c r="IE46" s="448"/>
      <c r="IF46" s="448"/>
      <c r="IG46" s="448"/>
      <c r="IH46" s="448"/>
      <c r="II46" s="448"/>
      <c r="IJ46" s="448"/>
      <c r="IK46" s="448"/>
      <c r="IL46" s="448"/>
      <c r="IM46" s="448"/>
      <c r="IN46" s="448"/>
      <c r="IO46" s="448"/>
      <c r="IP46" s="448"/>
      <c r="IQ46" s="448"/>
      <c r="IR46" s="448"/>
      <c r="IS46" s="448"/>
      <c r="IT46" s="448"/>
      <c r="IU46" s="448"/>
      <c r="IV46" s="448"/>
      <c r="IW46" s="448"/>
    </row>
    <row r="47" customFormat="false" ht="15" hidden="false" customHeight="false" outlineLevel="0" collapsed="false">
      <c r="A47" s="454" t="s">
        <v>504</v>
      </c>
      <c r="B47" s="355" t="n">
        <f aca="false">B18</f>
        <v>0</v>
      </c>
      <c r="C47" s="459"/>
      <c r="D47" s="355" t="n">
        <f aca="false">D43*$B$47</f>
        <v>0</v>
      </c>
      <c r="E47" s="355" t="n">
        <f aca="false">E43*$B$47</f>
        <v>0</v>
      </c>
      <c r="F47" s="355" t="n">
        <f aca="false">F43*$B$47</f>
        <v>0</v>
      </c>
      <c r="G47" s="355" t="n">
        <f aca="false">G43*$B$47</f>
        <v>0</v>
      </c>
      <c r="H47" s="355" t="n">
        <f aca="false">H43*$B$47</f>
        <v>0</v>
      </c>
      <c r="I47" s="355" t="n">
        <f aca="false">I43*$B$47</f>
        <v>0</v>
      </c>
      <c r="J47" s="355" t="n">
        <f aca="false">J43*$B$47</f>
        <v>0</v>
      </c>
      <c r="K47" s="355" t="n">
        <f aca="false">K43*$B$47</f>
        <v>0</v>
      </c>
      <c r="L47" s="355" t="n">
        <f aca="false">L43*$B$47</f>
        <v>0</v>
      </c>
      <c r="M47" s="355" t="n">
        <f aca="false">M43*$B$47</f>
        <v>0</v>
      </c>
      <c r="N47" s="355" t="n">
        <f aca="false">N43*$B$47</f>
        <v>0</v>
      </c>
      <c r="O47" s="355" t="n">
        <f aca="false">O43*$B$47</f>
        <v>0</v>
      </c>
      <c r="P47" s="355" t="n">
        <f aca="false">P43*$B$47</f>
        <v>0</v>
      </c>
      <c r="Q47" s="355" t="n">
        <f aca="false">Q43*$B$47</f>
        <v>0</v>
      </c>
      <c r="R47" s="355" t="n">
        <f aca="false">R43*$B$47</f>
        <v>0</v>
      </c>
      <c r="S47" s="355" t="n">
        <f aca="false">S43*$B$47</f>
        <v>0</v>
      </c>
      <c r="T47" s="355" t="n">
        <f aca="false">T43*$B$47</f>
        <v>0</v>
      </c>
      <c r="U47" s="355" t="n">
        <f aca="false">U43*$B$47</f>
        <v>0</v>
      </c>
      <c r="V47" s="355" t="n">
        <f aca="false">V43*$B$47</f>
        <v>0</v>
      </c>
      <c r="W47" s="355" t="n">
        <f aca="false">W43*$B$47</f>
        <v>0</v>
      </c>
      <c r="X47" s="355" t="n">
        <f aca="false">X43*$B$47</f>
        <v>0</v>
      </c>
      <c r="Y47" s="355" t="n">
        <f aca="false">Y43*$B$47</f>
        <v>0</v>
      </c>
      <c r="Z47" s="355" t="n">
        <f aca="false">Z43*$B$47</f>
        <v>0</v>
      </c>
      <c r="AA47" s="355" t="n">
        <f aca="false">AA43*$B$47</f>
        <v>0</v>
      </c>
      <c r="AB47" s="355" t="n">
        <f aca="false">AB43*$B$47</f>
        <v>0</v>
      </c>
      <c r="AC47" s="355" t="n">
        <f aca="false">AC43*$B$47</f>
        <v>0</v>
      </c>
      <c r="AD47" s="355" t="n">
        <f aca="false">AD43*$B$47</f>
        <v>0</v>
      </c>
      <c r="AE47" s="355" t="n">
        <f aca="false">AE43*$B$47</f>
        <v>0</v>
      </c>
      <c r="AF47" s="355" t="n">
        <f aca="false">AF43*$B$47</f>
        <v>0</v>
      </c>
      <c r="AG47" s="355" t="n">
        <f aca="false">AG43*$B$47</f>
        <v>0</v>
      </c>
      <c r="AH47" s="355" t="n">
        <f aca="false">AH43*$B$47</f>
        <v>0</v>
      </c>
      <c r="AI47" s="467"/>
      <c r="AJ47" s="467"/>
      <c r="AK47" s="467"/>
      <c r="AL47" s="467"/>
      <c r="AM47" s="448"/>
      <c r="AN47" s="448"/>
      <c r="AO47" s="448"/>
      <c r="AP47" s="448"/>
      <c r="AQ47" s="448"/>
      <c r="AR47" s="448"/>
      <c r="AS47" s="448"/>
      <c r="AT47" s="448"/>
      <c r="AU47" s="448"/>
      <c r="AV47" s="448"/>
      <c r="AW47" s="448"/>
      <c r="AX47" s="448"/>
      <c r="AY47" s="448"/>
      <c r="AZ47" s="448"/>
      <c r="BA47" s="448"/>
      <c r="BB47" s="448"/>
      <c r="BC47" s="448"/>
      <c r="BD47" s="448"/>
      <c r="BE47" s="448"/>
      <c r="BF47" s="448"/>
      <c r="BG47" s="448"/>
      <c r="BH47" s="448"/>
      <c r="BI47" s="448"/>
      <c r="BJ47" s="448"/>
      <c r="BK47" s="448"/>
      <c r="BL47" s="448"/>
      <c r="BM47" s="448"/>
      <c r="BN47" s="448"/>
      <c r="BO47" s="448"/>
      <c r="BP47" s="448"/>
      <c r="BQ47" s="448"/>
      <c r="BR47" s="448"/>
      <c r="BS47" s="448"/>
      <c r="BT47" s="448"/>
      <c r="BU47" s="448"/>
      <c r="BV47" s="448"/>
      <c r="BW47" s="448"/>
      <c r="BX47" s="448"/>
      <c r="BY47" s="448"/>
      <c r="BZ47" s="448"/>
      <c r="CA47" s="448"/>
      <c r="CB47" s="448"/>
      <c r="CC47" s="448"/>
      <c r="CD47" s="448"/>
      <c r="CE47" s="448"/>
      <c r="CF47" s="448"/>
      <c r="CG47" s="448"/>
      <c r="CH47" s="448"/>
      <c r="CI47" s="448"/>
      <c r="CJ47" s="448"/>
      <c r="CK47" s="448"/>
      <c r="CL47" s="448"/>
      <c r="CM47" s="448"/>
      <c r="CN47" s="448"/>
      <c r="CO47" s="448"/>
      <c r="CP47" s="448"/>
      <c r="CQ47" s="448"/>
      <c r="CR47" s="448"/>
      <c r="CS47" s="448"/>
      <c r="CT47" s="448"/>
      <c r="CU47" s="448"/>
      <c r="CV47" s="448"/>
      <c r="CW47" s="448"/>
      <c r="CX47" s="448"/>
      <c r="CY47" s="448"/>
      <c r="CZ47" s="448"/>
      <c r="DA47" s="448"/>
      <c r="DB47" s="448"/>
      <c r="DC47" s="448"/>
      <c r="DD47" s="448"/>
      <c r="DE47" s="448"/>
      <c r="DF47" s="448"/>
      <c r="DG47" s="448"/>
      <c r="DH47" s="448"/>
      <c r="DI47" s="448"/>
      <c r="DJ47" s="448"/>
      <c r="DK47" s="448"/>
      <c r="DL47" s="448"/>
      <c r="DM47" s="448"/>
      <c r="DN47" s="448"/>
      <c r="DO47" s="448"/>
      <c r="DP47" s="448"/>
      <c r="DQ47" s="448"/>
      <c r="DR47" s="448"/>
      <c r="DS47" s="448"/>
      <c r="DT47" s="448"/>
      <c r="DU47" s="448"/>
      <c r="DV47" s="448"/>
      <c r="DW47" s="448"/>
      <c r="DX47" s="448"/>
      <c r="DY47" s="448"/>
      <c r="DZ47" s="448"/>
      <c r="EA47" s="448"/>
      <c r="EB47" s="448"/>
      <c r="EC47" s="448"/>
      <c r="ED47" s="448"/>
      <c r="EE47" s="448"/>
      <c r="EF47" s="448"/>
      <c r="EG47" s="448"/>
      <c r="EH47" s="448"/>
      <c r="EI47" s="448"/>
      <c r="EJ47" s="448"/>
      <c r="EK47" s="448"/>
      <c r="EL47" s="448"/>
      <c r="EM47" s="448"/>
      <c r="EN47" s="448"/>
      <c r="EO47" s="448"/>
      <c r="EP47" s="448"/>
      <c r="EQ47" s="448"/>
      <c r="ER47" s="448"/>
      <c r="ES47" s="448"/>
      <c r="ET47" s="448"/>
      <c r="EU47" s="448"/>
      <c r="EV47" s="448"/>
      <c r="EW47" s="448"/>
      <c r="EX47" s="448"/>
      <c r="EY47" s="448"/>
      <c r="EZ47" s="448"/>
      <c r="FA47" s="448"/>
      <c r="FB47" s="448"/>
      <c r="FC47" s="448"/>
      <c r="FD47" s="448"/>
      <c r="FE47" s="448"/>
      <c r="FF47" s="448"/>
      <c r="FG47" s="448"/>
      <c r="FH47" s="448"/>
      <c r="FI47" s="448"/>
      <c r="FJ47" s="448"/>
      <c r="FK47" s="448"/>
      <c r="FL47" s="448"/>
      <c r="FM47" s="448"/>
      <c r="FN47" s="448"/>
      <c r="FO47" s="448"/>
      <c r="FP47" s="448"/>
      <c r="FQ47" s="448"/>
      <c r="FR47" s="448"/>
      <c r="FS47" s="448"/>
      <c r="FT47" s="448"/>
      <c r="FU47" s="448"/>
      <c r="FV47" s="448"/>
      <c r="FW47" s="448"/>
      <c r="FX47" s="448"/>
      <c r="FY47" s="448"/>
      <c r="FZ47" s="448"/>
      <c r="GA47" s="448"/>
      <c r="GB47" s="448"/>
      <c r="GC47" s="448"/>
      <c r="GD47" s="448"/>
      <c r="GE47" s="448"/>
      <c r="GF47" s="448"/>
      <c r="GG47" s="448"/>
      <c r="GH47" s="448"/>
      <c r="GI47" s="448"/>
      <c r="GJ47" s="448"/>
      <c r="GK47" s="448"/>
      <c r="GL47" s="448"/>
      <c r="GM47" s="448"/>
      <c r="GN47" s="448"/>
      <c r="GO47" s="448"/>
      <c r="GP47" s="448"/>
      <c r="GQ47" s="448"/>
      <c r="GR47" s="448"/>
      <c r="GS47" s="448"/>
      <c r="GT47" s="448"/>
      <c r="GU47" s="448"/>
      <c r="GV47" s="448"/>
      <c r="GW47" s="448"/>
      <c r="GX47" s="448"/>
      <c r="GY47" s="448"/>
      <c r="GZ47" s="448"/>
      <c r="HA47" s="448"/>
      <c r="HB47" s="448"/>
      <c r="HC47" s="448"/>
      <c r="HD47" s="448"/>
      <c r="HE47" s="448"/>
      <c r="HF47" s="448"/>
      <c r="HG47" s="448"/>
      <c r="HH47" s="448"/>
      <c r="HI47" s="448"/>
      <c r="HJ47" s="448"/>
      <c r="HK47" s="448"/>
      <c r="HL47" s="448"/>
      <c r="HM47" s="448"/>
      <c r="HN47" s="448"/>
      <c r="HO47" s="448"/>
      <c r="HP47" s="448"/>
      <c r="HQ47" s="448"/>
      <c r="HR47" s="448"/>
      <c r="HS47" s="448"/>
      <c r="HT47" s="448"/>
      <c r="HU47" s="448"/>
      <c r="HV47" s="448"/>
      <c r="HW47" s="448"/>
      <c r="HX47" s="448"/>
      <c r="HY47" s="448"/>
      <c r="HZ47" s="448"/>
      <c r="IA47" s="448"/>
      <c r="IB47" s="448"/>
      <c r="IC47" s="448"/>
      <c r="ID47" s="448"/>
      <c r="IE47" s="448"/>
      <c r="IF47" s="448"/>
      <c r="IG47" s="448"/>
      <c r="IH47" s="448"/>
      <c r="II47" s="448"/>
      <c r="IJ47" s="448"/>
      <c r="IK47" s="448"/>
      <c r="IL47" s="448"/>
      <c r="IM47" s="448"/>
      <c r="IN47" s="448"/>
      <c r="IO47" s="448"/>
      <c r="IP47" s="448"/>
      <c r="IQ47" s="448"/>
      <c r="IR47" s="448"/>
      <c r="IS47" s="448"/>
      <c r="IT47" s="448"/>
      <c r="IU47" s="448"/>
      <c r="IV47" s="448"/>
      <c r="IW47" s="448"/>
    </row>
    <row r="48" customFormat="false" ht="12.75" hidden="false" customHeight="false" outlineLevel="0" collapsed="false">
      <c r="A48" s="465" t="s">
        <v>505</v>
      </c>
      <c r="B48" s="188" t="n">
        <f aca="false">SUM(B45:B47)</f>
        <v>210119.983218267</v>
      </c>
      <c r="C48" s="459"/>
      <c r="D48" s="188" t="n">
        <f aca="false">SUM(D45:D47)</f>
        <v>5733.43031203201</v>
      </c>
      <c r="E48" s="188" t="n">
        <f aca="false">SUM(E45:E47)</f>
        <v>8600.14546804802</v>
      </c>
      <c r="F48" s="188" t="n">
        <f aca="false">SUM(F45:F47)</f>
        <v>8600.14546804802</v>
      </c>
      <c r="G48" s="188" t="n">
        <f aca="false">SUM(G45:G47)</f>
        <v>8600.14546804802</v>
      </c>
      <c r="H48" s="188" t="n">
        <f aca="false">SUM(H45:H47)</f>
        <v>8600.14546804802</v>
      </c>
      <c r="I48" s="188" t="n">
        <f aca="false">SUM(I45:I47)</f>
        <v>6798.93294138135</v>
      </c>
      <c r="J48" s="188" t="n">
        <f aca="false">SUM(J45:J47)</f>
        <v>5898.32667804801</v>
      </c>
      <c r="K48" s="188" t="n">
        <f aca="false">SUM(K45:K47)</f>
        <v>5898.32667804801</v>
      </c>
      <c r="L48" s="188" t="n">
        <f aca="false">SUM(L45:L47)</f>
        <v>5898.32667804801</v>
      </c>
      <c r="M48" s="188" t="n">
        <f aca="false">SUM(M45:M47)</f>
        <v>5898.32667804801</v>
      </c>
      <c r="N48" s="188" t="n">
        <f aca="false">SUM(N45:N47)</f>
        <v>5898.32667804801</v>
      </c>
      <c r="O48" s="188" t="n">
        <f aca="false">SUM(O45:O47)</f>
        <v>5898.32667804801</v>
      </c>
      <c r="P48" s="188" t="n">
        <f aca="false">SUM(P45:P47)</f>
        <v>5898.32667804801</v>
      </c>
      <c r="Q48" s="188" t="n">
        <f aca="false">SUM(Q45:Q47)</f>
        <v>5898.32667804801</v>
      </c>
      <c r="R48" s="188" t="n">
        <f aca="false">SUM(R45:R47)</f>
        <v>5898.32667804801</v>
      </c>
      <c r="S48" s="188" t="n">
        <f aca="false">SUM(S45:S47)</f>
        <v>5898.32667804801</v>
      </c>
      <c r="T48" s="188" t="n">
        <f aca="false">SUM(T45:T47)</f>
        <v>5898.32667804801</v>
      </c>
      <c r="U48" s="188" t="n">
        <f aca="false">SUM(U45:U47)</f>
        <v>5898.32667804801</v>
      </c>
      <c r="V48" s="188" t="n">
        <f aca="false">SUM(V45:V47)</f>
        <v>5898.32667804801</v>
      </c>
      <c r="W48" s="188" t="n">
        <f aca="false">SUM(W45:W47)</f>
        <v>5898.32667804801</v>
      </c>
      <c r="X48" s="188" t="n">
        <f aca="false">SUM(X45:X47)</f>
        <v>5898.32667804801</v>
      </c>
      <c r="Y48" s="188" t="n">
        <f aca="false">SUM(Y45:Y47)</f>
        <v>5898.32667804801</v>
      </c>
      <c r="Z48" s="188" t="n">
        <f aca="false">SUM(Z45:Z47)</f>
        <v>5898.32667804801</v>
      </c>
      <c r="AA48" s="188" t="n">
        <f aca="false">SUM(AA45:AA47)</f>
        <v>5898.32667804801</v>
      </c>
      <c r="AB48" s="188" t="n">
        <f aca="false">SUM(AB45:AB47)</f>
        <v>5898.32667804801</v>
      </c>
      <c r="AC48" s="188" t="n">
        <f aca="false">SUM(AC45:AC47)</f>
        <v>5898.32667804801</v>
      </c>
      <c r="AD48" s="188" t="n">
        <f aca="false">SUM(AD45:AD47)</f>
        <v>5898.32667804801</v>
      </c>
      <c r="AE48" s="188" t="n">
        <f aca="false">SUM(AE45:AE47)</f>
        <v>5898.32667804801</v>
      </c>
      <c r="AF48" s="188" t="n">
        <f aca="false">SUM(AF45:AF47)</f>
        <v>5898.32667804801</v>
      </c>
      <c r="AG48" s="188" t="n">
        <f aca="false">SUM(AG45:AG47)</f>
        <v>5898.32667804801</v>
      </c>
      <c r="AH48" s="188" t="n">
        <f aca="false">SUM(AH45:AH47)</f>
        <v>1966.10889268267</v>
      </c>
      <c r="AI48" s="467"/>
      <c r="AJ48" s="467"/>
      <c r="AK48" s="467"/>
      <c r="AL48" s="467"/>
      <c r="AM48" s="448"/>
      <c r="AN48" s="448"/>
      <c r="AO48" s="448"/>
      <c r="AP48" s="448"/>
      <c r="AQ48" s="448"/>
      <c r="AR48" s="448"/>
      <c r="AS48" s="448"/>
      <c r="AT48" s="448"/>
      <c r="AU48" s="448"/>
      <c r="AV48" s="448"/>
      <c r="AW48" s="448"/>
      <c r="AX48" s="448"/>
      <c r="AY48" s="448"/>
      <c r="AZ48" s="448"/>
      <c r="BA48" s="448"/>
      <c r="BB48" s="448"/>
      <c r="BC48" s="448"/>
      <c r="BD48" s="448"/>
      <c r="BE48" s="448"/>
      <c r="BF48" s="448"/>
      <c r="BG48" s="448"/>
      <c r="BH48" s="448"/>
      <c r="BI48" s="448"/>
      <c r="BJ48" s="448"/>
      <c r="BK48" s="448"/>
      <c r="BL48" s="448"/>
      <c r="BM48" s="448"/>
      <c r="BN48" s="448"/>
      <c r="BO48" s="448"/>
      <c r="BP48" s="448"/>
      <c r="BQ48" s="448"/>
      <c r="BR48" s="448"/>
      <c r="BS48" s="448"/>
      <c r="BT48" s="448"/>
      <c r="BU48" s="448"/>
      <c r="BV48" s="448"/>
      <c r="BW48" s="448"/>
      <c r="BX48" s="448"/>
      <c r="BY48" s="448"/>
      <c r="BZ48" s="448"/>
      <c r="CA48" s="448"/>
      <c r="CB48" s="448"/>
      <c r="CC48" s="448"/>
      <c r="CD48" s="448"/>
      <c r="CE48" s="448"/>
      <c r="CF48" s="448"/>
      <c r="CG48" s="448"/>
      <c r="CH48" s="448"/>
      <c r="CI48" s="448"/>
      <c r="CJ48" s="448"/>
      <c r="CK48" s="448"/>
      <c r="CL48" s="448"/>
      <c r="CM48" s="448"/>
      <c r="CN48" s="448"/>
      <c r="CO48" s="448"/>
      <c r="CP48" s="448"/>
      <c r="CQ48" s="448"/>
      <c r="CR48" s="448"/>
      <c r="CS48" s="448"/>
      <c r="CT48" s="448"/>
      <c r="CU48" s="448"/>
      <c r="CV48" s="448"/>
      <c r="CW48" s="448"/>
      <c r="CX48" s="448"/>
      <c r="CY48" s="448"/>
      <c r="CZ48" s="448"/>
      <c r="DA48" s="448"/>
      <c r="DB48" s="448"/>
      <c r="DC48" s="448"/>
      <c r="DD48" s="448"/>
      <c r="DE48" s="448"/>
      <c r="DF48" s="448"/>
      <c r="DG48" s="448"/>
      <c r="DH48" s="448"/>
      <c r="DI48" s="448"/>
      <c r="DJ48" s="448"/>
      <c r="DK48" s="448"/>
      <c r="DL48" s="448"/>
      <c r="DM48" s="448"/>
      <c r="DN48" s="448"/>
      <c r="DO48" s="448"/>
      <c r="DP48" s="448"/>
      <c r="DQ48" s="448"/>
      <c r="DR48" s="448"/>
      <c r="DS48" s="448"/>
      <c r="DT48" s="448"/>
      <c r="DU48" s="448"/>
      <c r="DV48" s="448"/>
      <c r="DW48" s="448"/>
      <c r="DX48" s="448"/>
      <c r="DY48" s="448"/>
      <c r="DZ48" s="448"/>
      <c r="EA48" s="448"/>
      <c r="EB48" s="448"/>
      <c r="EC48" s="448"/>
      <c r="ED48" s="448"/>
      <c r="EE48" s="448"/>
      <c r="EF48" s="448"/>
      <c r="EG48" s="448"/>
      <c r="EH48" s="448"/>
      <c r="EI48" s="448"/>
      <c r="EJ48" s="448"/>
      <c r="EK48" s="448"/>
      <c r="EL48" s="448"/>
      <c r="EM48" s="448"/>
      <c r="EN48" s="448"/>
      <c r="EO48" s="448"/>
      <c r="EP48" s="448"/>
      <c r="EQ48" s="448"/>
      <c r="ER48" s="448"/>
      <c r="ES48" s="448"/>
      <c r="ET48" s="448"/>
      <c r="EU48" s="448"/>
      <c r="EV48" s="448"/>
      <c r="EW48" s="448"/>
      <c r="EX48" s="448"/>
      <c r="EY48" s="448"/>
      <c r="EZ48" s="448"/>
      <c r="FA48" s="448"/>
      <c r="FB48" s="448"/>
      <c r="FC48" s="448"/>
      <c r="FD48" s="448"/>
      <c r="FE48" s="448"/>
      <c r="FF48" s="448"/>
      <c r="FG48" s="448"/>
      <c r="FH48" s="448"/>
      <c r="FI48" s="448"/>
      <c r="FJ48" s="448"/>
      <c r="FK48" s="448"/>
      <c r="FL48" s="448"/>
      <c r="FM48" s="448"/>
      <c r="FN48" s="448"/>
      <c r="FO48" s="448"/>
      <c r="FP48" s="448"/>
      <c r="FQ48" s="448"/>
      <c r="FR48" s="448"/>
      <c r="FS48" s="448"/>
      <c r="FT48" s="448"/>
      <c r="FU48" s="448"/>
      <c r="FV48" s="448"/>
      <c r="FW48" s="448"/>
      <c r="FX48" s="448"/>
      <c r="FY48" s="448"/>
      <c r="FZ48" s="448"/>
      <c r="GA48" s="448"/>
      <c r="GB48" s="448"/>
      <c r="GC48" s="448"/>
      <c r="GD48" s="448"/>
      <c r="GE48" s="448"/>
      <c r="GF48" s="448"/>
      <c r="GG48" s="448"/>
      <c r="GH48" s="448"/>
      <c r="GI48" s="448"/>
      <c r="GJ48" s="448"/>
      <c r="GK48" s="448"/>
      <c r="GL48" s="448"/>
      <c r="GM48" s="448"/>
      <c r="GN48" s="448"/>
      <c r="GO48" s="448"/>
      <c r="GP48" s="448"/>
      <c r="GQ48" s="448"/>
      <c r="GR48" s="448"/>
      <c r="GS48" s="448"/>
      <c r="GT48" s="448"/>
      <c r="GU48" s="448"/>
      <c r="GV48" s="448"/>
      <c r="GW48" s="448"/>
      <c r="GX48" s="448"/>
      <c r="GY48" s="448"/>
      <c r="GZ48" s="448"/>
      <c r="HA48" s="448"/>
      <c r="HB48" s="448"/>
      <c r="HC48" s="448"/>
      <c r="HD48" s="448"/>
      <c r="HE48" s="448"/>
      <c r="HF48" s="448"/>
      <c r="HG48" s="448"/>
      <c r="HH48" s="448"/>
      <c r="HI48" s="448"/>
      <c r="HJ48" s="448"/>
      <c r="HK48" s="448"/>
      <c r="HL48" s="448"/>
      <c r="HM48" s="448"/>
      <c r="HN48" s="448"/>
      <c r="HO48" s="448"/>
      <c r="HP48" s="448"/>
      <c r="HQ48" s="448"/>
      <c r="HR48" s="448"/>
      <c r="HS48" s="448"/>
      <c r="HT48" s="448"/>
      <c r="HU48" s="448"/>
      <c r="HV48" s="448"/>
      <c r="HW48" s="448"/>
      <c r="HX48" s="448"/>
      <c r="HY48" s="448"/>
      <c r="HZ48" s="448"/>
      <c r="IA48" s="448"/>
      <c r="IB48" s="448"/>
      <c r="IC48" s="448"/>
      <c r="ID48" s="448"/>
      <c r="IE48" s="448"/>
      <c r="IF48" s="448"/>
      <c r="IG48" s="448"/>
      <c r="IH48" s="448"/>
      <c r="II48" s="448"/>
      <c r="IJ48" s="448"/>
      <c r="IK48" s="448"/>
      <c r="IL48" s="448"/>
      <c r="IM48" s="448"/>
      <c r="IN48" s="448"/>
      <c r="IO48" s="448"/>
      <c r="IP48" s="448"/>
      <c r="IQ48" s="448"/>
      <c r="IR48" s="448"/>
      <c r="IS48" s="448"/>
      <c r="IT48" s="448"/>
      <c r="IU48" s="448"/>
      <c r="IV48" s="448"/>
      <c r="IW48" s="448"/>
    </row>
    <row r="49" customFormat="false" ht="12.75" hidden="false" customHeight="false" outlineLevel="0" collapsed="false">
      <c r="A49" s="454"/>
      <c r="B49" s="188"/>
      <c r="C49" s="459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</row>
    <row r="50" customFormat="false" ht="12.75" hidden="false" customHeight="false" outlineLevel="0" collapsed="false">
      <c r="A50" s="472" t="s">
        <v>511</v>
      </c>
      <c r="B50" s="473" t="n">
        <f aca="false">B48</f>
        <v>210119.983218267</v>
      </c>
      <c r="C50" s="461"/>
      <c r="D50" s="356" t="n">
        <f aca="false">B48-D48</f>
        <v>204386.552906235</v>
      </c>
      <c r="E50" s="356" t="n">
        <f aca="false">D50-E48</f>
        <v>195786.407438187</v>
      </c>
      <c r="F50" s="356" t="n">
        <f aca="false">E50-F48</f>
        <v>187186.261970139</v>
      </c>
      <c r="G50" s="356" t="n">
        <f aca="false">F50-G48</f>
        <v>178586.116502091</v>
      </c>
      <c r="H50" s="356" t="n">
        <f aca="false">G50-H48</f>
        <v>169985.971034043</v>
      </c>
      <c r="I50" s="356" t="n">
        <f aca="false">H50-I48</f>
        <v>163187.038092662</v>
      </c>
      <c r="J50" s="356" t="n">
        <f aca="false">I50-J48</f>
        <v>157288.711414614</v>
      </c>
      <c r="K50" s="356" t="n">
        <f aca="false">J50-K48</f>
        <v>151390.384736566</v>
      </c>
      <c r="L50" s="356" t="n">
        <f aca="false">K50-L48</f>
        <v>145492.058058518</v>
      </c>
      <c r="M50" s="356" t="n">
        <f aca="false">L50-M48</f>
        <v>139593.73138047</v>
      </c>
      <c r="N50" s="356" t="n">
        <f aca="false">M50-N48</f>
        <v>133695.404702422</v>
      </c>
      <c r="O50" s="356" t="n">
        <f aca="false">N50-O48</f>
        <v>127797.078024374</v>
      </c>
      <c r="P50" s="356" t="n">
        <f aca="false">O50-P48</f>
        <v>121898.751346326</v>
      </c>
      <c r="Q50" s="356" t="n">
        <f aca="false">P50-Q48</f>
        <v>116000.424668278</v>
      </c>
      <c r="R50" s="356" t="n">
        <f aca="false">Q50-R48</f>
        <v>110102.09799023</v>
      </c>
      <c r="S50" s="356" t="n">
        <f aca="false">R50-S48</f>
        <v>104203.771312182</v>
      </c>
      <c r="T50" s="356" t="n">
        <f aca="false">S50-T48</f>
        <v>98305.4446341336</v>
      </c>
      <c r="U50" s="356" t="n">
        <f aca="false">T50-U48</f>
        <v>92407.1179560856</v>
      </c>
      <c r="V50" s="356" t="n">
        <f aca="false">U50-V48</f>
        <v>86508.7912780375</v>
      </c>
      <c r="W50" s="356" t="n">
        <f aca="false">V50-W48</f>
        <v>80610.4645999895</v>
      </c>
      <c r="X50" s="356" t="n">
        <f aca="false">W50-X48</f>
        <v>74712.1379219415</v>
      </c>
      <c r="Y50" s="356" t="n">
        <f aca="false">X50-Y48</f>
        <v>68813.8112438935</v>
      </c>
      <c r="Z50" s="356" t="n">
        <f aca="false">Y50-Z48</f>
        <v>62915.4845658455</v>
      </c>
      <c r="AA50" s="356" t="n">
        <f aca="false">Z50-AA48</f>
        <v>57017.1578877975</v>
      </c>
      <c r="AB50" s="356" t="n">
        <f aca="false">AA50-AB48</f>
        <v>51118.8312097494</v>
      </c>
      <c r="AC50" s="356" t="n">
        <f aca="false">AB50-AC48</f>
        <v>45220.5045317014</v>
      </c>
      <c r="AD50" s="356" t="n">
        <f aca="false">AC50-AD48</f>
        <v>39322.1778536534</v>
      </c>
      <c r="AE50" s="356" t="n">
        <f aca="false">AD50-AE48</f>
        <v>33423.8511756054</v>
      </c>
      <c r="AF50" s="356" t="n">
        <f aca="false">AE50-AF48</f>
        <v>27525.5244975574</v>
      </c>
      <c r="AG50" s="356" t="n">
        <f aca="false">AF50-AG48</f>
        <v>21627.1978195094</v>
      </c>
      <c r="AH50" s="356" t="n">
        <f aca="false">AG50-AH48</f>
        <v>19661.0889268267</v>
      </c>
      <c r="AI50" s="474"/>
      <c r="AJ50" s="474"/>
      <c r="AK50" s="474"/>
      <c r="AL50" s="474"/>
      <c r="AM50" s="442"/>
      <c r="AN50" s="442"/>
      <c r="AO50" s="442"/>
      <c r="AP50" s="442"/>
      <c r="AQ50" s="442"/>
      <c r="AR50" s="442"/>
      <c r="AS50" s="442"/>
      <c r="AT50" s="442"/>
      <c r="AU50" s="442"/>
      <c r="AV50" s="442"/>
      <c r="AW50" s="442"/>
      <c r="AX50" s="442"/>
      <c r="AY50" s="442"/>
      <c r="AZ50" s="442"/>
      <c r="BA50" s="442"/>
      <c r="BB50" s="442"/>
      <c r="BC50" s="442"/>
      <c r="BD50" s="442"/>
      <c r="BE50" s="442"/>
      <c r="BF50" s="442"/>
      <c r="BG50" s="442"/>
      <c r="BH50" s="442"/>
      <c r="BI50" s="442"/>
      <c r="BJ50" s="442"/>
      <c r="BK50" s="442"/>
      <c r="BL50" s="442"/>
      <c r="BM50" s="442"/>
      <c r="BN50" s="442"/>
      <c r="BO50" s="442"/>
      <c r="BP50" s="442"/>
      <c r="BQ50" s="442"/>
      <c r="BR50" s="442"/>
      <c r="BS50" s="442"/>
      <c r="BT50" s="442"/>
      <c r="BU50" s="442"/>
      <c r="BV50" s="442"/>
      <c r="BW50" s="442"/>
      <c r="BX50" s="442"/>
      <c r="BY50" s="442"/>
      <c r="BZ50" s="442"/>
      <c r="CA50" s="442"/>
      <c r="CB50" s="442"/>
      <c r="CC50" s="442"/>
      <c r="CD50" s="442"/>
      <c r="CE50" s="442"/>
      <c r="CF50" s="442"/>
      <c r="CG50" s="442"/>
      <c r="CH50" s="442"/>
      <c r="CI50" s="442"/>
      <c r="CJ50" s="442"/>
      <c r="CK50" s="442"/>
      <c r="CL50" s="442"/>
      <c r="CM50" s="442"/>
      <c r="CN50" s="442"/>
      <c r="CO50" s="442"/>
      <c r="CP50" s="442"/>
      <c r="CQ50" s="442"/>
      <c r="CR50" s="442"/>
      <c r="CS50" s="442"/>
      <c r="CT50" s="442"/>
      <c r="CU50" s="442"/>
      <c r="CV50" s="442"/>
      <c r="CW50" s="442"/>
      <c r="CX50" s="442"/>
      <c r="CY50" s="442"/>
      <c r="CZ50" s="442"/>
      <c r="DA50" s="442"/>
      <c r="DB50" s="442"/>
      <c r="DC50" s="442"/>
      <c r="DD50" s="442"/>
      <c r="DE50" s="442"/>
      <c r="DF50" s="442"/>
      <c r="DG50" s="442"/>
      <c r="DH50" s="442"/>
      <c r="DI50" s="442"/>
      <c r="DJ50" s="442"/>
      <c r="DK50" s="442"/>
      <c r="DL50" s="442"/>
      <c r="DM50" s="442"/>
      <c r="DN50" s="442"/>
      <c r="DO50" s="442"/>
      <c r="DP50" s="442"/>
      <c r="DQ50" s="442"/>
      <c r="DR50" s="442"/>
      <c r="DS50" s="442"/>
      <c r="DT50" s="442"/>
      <c r="DU50" s="442"/>
      <c r="DV50" s="442"/>
      <c r="DW50" s="442"/>
      <c r="DX50" s="442"/>
      <c r="DY50" s="442"/>
      <c r="DZ50" s="442"/>
      <c r="EA50" s="442"/>
      <c r="EB50" s="442"/>
      <c r="EC50" s="442"/>
      <c r="ED50" s="442"/>
      <c r="EE50" s="442"/>
      <c r="EF50" s="442"/>
      <c r="EG50" s="442"/>
      <c r="EH50" s="442"/>
      <c r="EI50" s="442"/>
      <c r="EJ50" s="442"/>
      <c r="EK50" s="442"/>
      <c r="EL50" s="442"/>
      <c r="EM50" s="442"/>
      <c r="EN50" s="442"/>
      <c r="EO50" s="442"/>
      <c r="EP50" s="442"/>
      <c r="EQ50" s="442"/>
      <c r="ER50" s="442"/>
      <c r="ES50" s="442"/>
      <c r="ET50" s="442"/>
      <c r="EU50" s="442"/>
      <c r="EV50" s="442"/>
      <c r="EW50" s="442"/>
      <c r="EX50" s="442"/>
      <c r="EY50" s="442"/>
      <c r="EZ50" s="442"/>
      <c r="FA50" s="442"/>
      <c r="FB50" s="442"/>
      <c r="FC50" s="442"/>
      <c r="FD50" s="442"/>
      <c r="FE50" s="442"/>
      <c r="FF50" s="442"/>
      <c r="FG50" s="442"/>
      <c r="FH50" s="442"/>
      <c r="FI50" s="442"/>
      <c r="FJ50" s="442"/>
      <c r="FK50" s="442"/>
      <c r="FL50" s="442"/>
      <c r="FM50" s="442"/>
      <c r="FN50" s="442"/>
      <c r="FO50" s="442"/>
      <c r="FP50" s="442"/>
      <c r="FQ50" s="442"/>
      <c r="FR50" s="442"/>
      <c r="FS50" s="442"/>
      <c r="FT50" s="442"/>
      <c r="FU50" s="442"/>
      <c r="FV50" s="442"/>
      <c r="FW50" s="442"/>
      <c r="FX50" s="442"/>
      <c r="FY50" s="442"/>
      <c r="FZ50" s="442"/>
      <c r="GA50" s="442"/>
      <c r="GB50" s="442"/>
      <c r="GC50" s="442"/>
      <c r="GD50" s="442"/>
      <c r="GE50" s="442"/>
      <c r="GF50" s="442"/>
      <c r="GG50" s="442"/>
      <c r="GH50" s="442"/>
      <c r="GI50" s="442"/>
      <c r="GJ50" s="442"/>
      <c r="GK50" s="442"/>
      <c r="GL50" s="442"/>
      <c r="GM50" s="442"/>
      <c r="GN50" s="442"/>
      <c r="GO50" s="442"/>
      <c r="GP50" s="442"/>
      <c r="GQ50" s="442"/>
      <c r="GR50" s="442"/>
      <c r="GS50" s="442"/>
      <c r="GT50" s="442"/>
      <c r="GU50" s="442"/>
      <c r="GV50" s="442"/>
      <c r="GW50" s="442"/>
      <c r="GX50" s="442"/>
      <c r="GY50" s="442"/>
      <c r="GZ50" s="442"/>
      <c r="HA50" s="442"/>
      <c r="HB50" s="442"/>
      <c r="HC50" s="442"/>
      <c r="HD50" s="442"/>
      <c r="HE50" s="442"/>
      <c r="HF50" s="442"/>
      <c r="HG50" s="442"/>
      <c r="HH50" s="442"/>
      <c r="HI50" s="442"/>
      <c r="HJ50" s="442"/>
      <c r="HK50" s="442"/>
      <c r="HL50" s="442"/>
      <c r="HM50" s="442"/>
      <c r="HN50" s="442"/>
      <c r="HO50" s="442"/>
      <c r="HP50" s="442"/>
      <c r="HQ50" s="442"/>
      <c r="HR50" s="442"/>
      <c r="HS50" s="442"/>
      <c r="HT50" s="442"/>
      <c r="HU50" s="442"/>
      <c r="HV50" s="442"/>
      <c r="HW50" s="442"/>
      <c r="HX50" s="442"/>
      <c r="HY50" s="442"/>
      <c r="HZ50" s="442"/>
      <c r="IA50" s="442"/>
      <c r="IB50" s="442"/>
      <c r="IC50" s="442"/>
      <c r="ID50" s="442"/>
      <c r="IE50" s="442"/>
      <c r="IF50" s="442"/>
      <c r="IG50" s="442"/>
      <c r="IH50" s="442"/>
      <c r="II50" s="442"/>
      <c r="IJ50" s="442"/>
      <c r="IK50" s="442"/>
      <c r="IL50" s="442"/>
      <c r="IM50" s="442"/>
      <c r="IN50" s="442"/>
      <c r="IO50" s="442"/>
      <c r="IP50" s="442"/>
      <c r="IQ50" s="442"/>
      <c r="IR50" s="442"/>
      <c r="IS50" s="442"/>
      <c r="IT50" s="442"/>
      <c r="IU50" s="442"/>
      <c r="IV50" s="442"/>
      <c r="IW50" s="442"/>
    </row>
    <row r="52" customFormat="false" ht="12.75" hidden="false" customHeight="false" outlineLevel="0" collapsed="false">
      <c r="B52" s="28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0" activeCellId="0" sqref="J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75" t="s">
        <v>512</v>
      </c>
      <c r="B4" s="476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358"/>
      <c r="B6" s="479" t="n">
        <f aca="false">'Price_Technical Assumption'!D7</f>
        <v>0.666666666666667</v>
      </c>
      <c r="C6" s="479" t="n">
        <f aca="false">'Price_Technical Assumption'!E7</f>
        <v>1.66666666666667</v>
      </c>
      <c r="D6" s="479" t="n">
        <f aca="false">'Price_Technical Assumption'!F7</f>
        <v>2.66666666666667</v>
      </c>
      <c r="E6" s="479" t="n">
        <f aca="false">'Price_Technical Assumption'!G7</f>
        <v>3.66666666666667</v>
      </c>
      <c r="F6" s="479" t="n">
        <f aca="false">'Price_Technical Assumption'!H7</f>
        <v>4.66666666666667</v>
      </c>
      <c r="G6" s="479" t="n">
        <f aca="false">'Price_Technical Assumption'!I7</f>
        <v>5.66666666666667</v>
      </c>
      <c r="H6" s="479" t="n">
        <f aca="false">'Price_Technical Assumption'!J7</f>
        <v>6.66666666666667</v>
      </c>
      <c r="I6" s="479" t="n">
        <f aca="false">'Price_Technical Assumption'!K7</f>
        <v>7.66666666666667</v>
      </c>
      <c r="J6" s="479" t="n">
        <f aca="false">'Price_Technical Assumption'!L7</f>
        <v>8.66666666666667</v>
      </c>
      <c r="K6" s="479" t="n">
        <f aca="false">'Price_Technical Assumption'!M7</f>
        <v>9.66666666666667</v>
      </c>
      <c r="L6" s="479" t="n">
        <f aca="false">'Price_Technical Assumption'!N7</f>
        <v>10.6666666666667</v>
      </c>
      <c r="M6" s="479" t="n">
        <f aca="false">'Price_Technical Assumption'!O7</f>
        <v>11.6666666666667</v>
      </c>
      <c r="N6" s="479" t="n">
        <f aca="false">'Price_Technical Assumption'!P7</f>
        <v>12.6666666666667</v>
      </c>
      <c r="O6" s="479" t="n">
        <f aca="false">'Price_Technical Assumption'!Q7</f>
        <v>13.6666666666667</v>
      </c>
      <c r="P6" s="479" t="n">
        <f aca="false">'Price_Technical Assumption'!R7</f>
        <v>14.6666666666667</v>
      </c>
      <c r="Q6" s="479" t="n">
        <f aca="false">'Price_Technical Assumption'!S7</f>
        <v>15.6666666666667</v>
      </c>
      <c r="R6" s="479" t="n">
        <f aca="false">'Price_Technical Assumption'!T7</f>
        <v>16.6666666666667</v>
      </c>
      <c r="S6" s="479" t="n">
        <f aca="false">'Price_Technical Assumption'!U7</f>
        <v>17.6666666666667</v>
      </c>
      <c r="T6" s="479" t="n">
        <f aca="false">'Price_Technical Assumption'!V7</f>
        <v>18.6666666666667</v>
      </c>
      <c r="U6" s="479" t="n">
        <f aca="false">'Price_Technical Assumption'!W7</f>
        <v>19.6666666666667</v>
      </c>
      <c r="V6" s="479" t="n">
        <f aca="false">'Price_Technical Assumption'!X7</f>
        <v>20.6666666666667</v>
      </c>
      <c r="W6" s="479" t="n">
        <f aca="false">'Price_Technical Assumption'!Y7</f>
        <v>21.6666666666667</v>
      </c>
      <c r="X6" s="479" t="n">
        <f aca="false">'Price_Technical Assumption'!Z7</f>
        <v>22.6666666666667</v>
      </c>
      <c r="Y6" s="479" t="n">
        <f aca="false">'Price_Technical Assumption'!AA7</f>
        <v>23.6666666666667</v>
      </c>
      <c r="Z6" s="479" t="n">
        <f aca="false">'Price_Technical Assumption'!AB7</f>
        <v>24.6666666666667</v>
      </c>
      <c r="AA6" s="479" t="n">
        <f aca="false">'Price_Technical Assumption'!AC7</f>
        <v>25.6666666666667</v>
      </c>
      <c r="AB6" s="479" t="n">
        <f aca="false">'Price_Technical Assumption'!AD7</f>
        <v>26.6666666666667</v>
      </c>
      <c r="AC6" s="479" t="n">
        <f aca="false">'Price_Technical Assumption'!AE7</f>
        <v>27.6666666666667</v>
      </c>
      <c r="AD6" s="479" t="n">
        <f aca="false">'Price_Technical Assumption'!AF7</f>
        <v>28.6666666666667</v>
      </c>
      <c r="AE6" s="479" t="n">
        <f aca="false">'Price_Technical Assumption'!AG7</f>
        <v>29.6666666666667</v>
      </c>
      <c r="AF6" s="479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382</v>
      </c>
      <c r="B7" s="303" t="n">
        <f aca="false">'Price_Technical Assumption'!D8</f>
        <v>2001</v>
      </c>
      <c r="C7" s="303" t="n">
        <f aca="false">'Price_Technical Assumption'!E8</f>
        <v>2002</v>
      </c>
      <c r="D7" s="303" t="n">
        <f aca="false">'Price_Technical Assumption'!F8</f>
        <v>2003</v>
      </c>
      <c r="E7" s="303" t="n">
        <f aca="false">'Price_Technical Assumption'!G8</f>
        <v>2004</v>
      </c>
      <c r="F7" s="303" t="n">
        <f aca="false">'Price_Technical Assumption'!H8</f>
        <v>2005</v>
      </c>
      <c r="G7" s="303" t="n">
        <f aca="false">'Price_Technical Assumption'!I8</f>
        <v>2006</v>
      </c>
      <c r="H7" s="303" t="n">
        <f aca="false">'Price_Technical Assumption'!J8</f>
        <v>2007</v>
      </c>
      <c r="I7" s="303" t="n">
        <f aca="false">'Price_Technical Assumption'!K8</f>
        <v>2008</v>
      </c>
      <c r="J7" s="303" t="n">
        <f aca="false">'Price_Technical Assumption'!L8</f>
        <v>2009</v>
      </c>
      <c r="K7" s="303" t="n">
        <f aca="false">'Price_Technical Assumption'!M8</f>
        <v>2010</v>
      </c>
      <c r="L7" s="303" t="n">
        <f aca="false">'Price_Technical Assumption'!N8</f>
        <v>2011</v>
      </c>
      <c r="M7" s="303" t="n">
        <f aca="false">'Price_Technical Assumption'!O8</f>
        <v>2012</v>
      </c>
      <c r="N7" s="303" t="n">
        <f aca="false">'Price_Technical Assumption'!P8</f>
        <v>2013</v>
      </c>
      <c r="O7" s="303" t="n">
        <f aca="false">'Price_Technical Assumption'!Q8</f>
        <v>2014</v>
      </c>
      <c r="P7" s="303" t="n">
        <f aca="false">'Price_Technical Assumption'!R8</f>
        <v>2015</v>
      </c>
      <c r="Q7" s="303" t="n">
        <f aca="false">'Price_Technical Assumption'!S8</f>
        <v>2016</v>
      </c>
      <c r="R7" s="303" t="n">
        <f aca="false">'Price_Technical Assumption'!T8</f>
        <v>2017</v>
      </c>
      <c r="S7" s="303" t="n">
        <f aca="false">'Price_Technical Assumption'!U8</f>
        <v>2018</v>
      </c>
      <c r="T7" s="303" t="n">
        <f aca="false">'Price_Technical Assumption'!V8</f>
        <v>2019</v>
      </c>
      <c r="U7" s="303" t="n">
        <f aca="false">'Price_Technical Assumption'!W8</f>
        <v>2020</v>
      </c>
      <c r="V7" s="303" t="n">
        <f aca="false">'Price_Technical Assumption'!X8</f>
        <v>2021</v>
      </c>
      <c r="W7" s="303" t="n">
        <f aca="false">'Price_Technical Assumption'!Y8</f>
        <v>2022</v>
      </c>
      <c r="X7" s="303" t="n">
        <f aca="false">'Price_Technical Assumption'!Z8</f>
        <v>2023</v>
      </c>
      <c r="Y7" s="303" t="n">
        <f aca="false">'Price_Technical Assumption'!AA8</f>
        <v>2024</v>
      </c>
      <c r="Z7" s="303" t="n">
        <f aca="false">'Price_Technical Assumption'!AB8</f>
        <v>2025</v>
      </c>
      <c r="AA7" s="303" t="n">
        <f aca="false">'Price_Technical Assumption'!AC8</f>
        <v>2026</v>
      </c>
      <c r="AB7" s="303" t="n">
        <f aca="false">'Price_Technical Assumption'!AD8</f>
        <v>2027</v>
      </c>
      <c r="AC7" s="303" t="n">
        <f aca="false">'Price_Technical Assumption'!AE8</f>
        <v>2028</v>
      </c>
      <c r="AD7" s="303" t="n">
        <f aca="false">'Price_Technical Assumption'!AF8</f>
        <v>2029</v>
      </c>
      <c r="AE7" s="303" t="n">
        <f aca="false">'Price_Technical Assumption'!AG8</f>
        <v>2030</v>
      </c>
      <c r="AF7" s="303" t="n">
        <f aca="false">'Price_Technical Assumption'!AH8</f>
        <v>2031</v>
      </c>
    </row>
    <row r="8" customFormat="false" ht="12.75" hidden="false" customHeight="false" outlineLevel="0" collapsed="false">
      <c r="A8" s="358"/>
      <c r="B8" s="444" t="n">
        <f aca="false">Depreciation!D8</f>
        <v>37256</v>
      </c>
      <c r="C8" s="444" t="n">
        <f aca="false">Depreciation!E8</f>
        <v>37621</v>
      </c>
      <c r="D8" s="444" t="n">
        <f aca="false">Depreciation!F8</f>
        <v>37986</v>
      </c>
      <c r="E8" s="444" t="n">
        <f aca="false">Depreciation!G8</f>
        <v>38352</v>
      </c>
      <c r="F8" s="444" t="n">
        <f aca="false">Depreciation!H8</f>
        <v>38717</v>
      </c>
      <c r="G8" s="444" t="n">
        <f aca="false">Depreciation!I8</f>
        <v>39082</v>
      </c>
      <c r="H8" s="444" t="n">
        <f aca="false">Depreciation!J8</f>
        <v>39447</v>
      </c>
      <c r="I8" s="444" t="n">
        <f aca="false">Depreciation!K8</f>
        <v>39813</v>
      </c>
      <c r="J8" s="444" t="n">
        <f aca="false">Depreciation!L8</f>
        <v>40178</v>
      </c>
      <c r="K8" s="444" t="n">
        <f aca="false">Depreciation!M8</f>
        <v>40543</v>
      </c>
      <c r="L8" s="444" t="n">
        <f aca="false">Depreciation!N8</f>
        <v>40908</v>
      </c>
      <c r="M8" s="444" t="n">
        <f aca="false">Depreciation!O8</f>
        <v>41274</v>
      </c>
      <c r="N8" s="444" t="n">
        <f aca="false">Depreciation!P8</f>
        <v>41639</v>
      </c>
      <c r="O8" s="444" t="n">
        <f aca="false">Depreciation!Q8</f>
        <v>42004</v>
      </c>
      <c r="P8" s="444" t="n">
        <f aca="false">Depreciation!R8</f>
        <v>42369</v>
      </c>
      <c r="Q8" s="444" t="n">
        <f aca="false">Depreciation!S8</f>
        <v>42735</v>
      </c>
      <c r="R8" s="444" t="n">
        <f aca="false">Depreciation!T8</f>
        <v>43100</v>
      </c>
      <c r="S8" s="444" t="n">
        <f aca="false">Depreciation!U8</f>
        <v>43465</v>
      </c>
      <c r="T8" s="444" t="n">
        <f aca="false">Depreciation!V8</f>
        <v>43830</v>
      </c>
      <c r="U8" s="444" t="n">
        <f aca="false">Depreciation!W8</f>
        <v>44196</v>
      </c>
      <c r="V8" s="444" t="n">
        <f aca="false">Depreciation!X8</f>
        <v>44561</v>
      </c>
      <c r="W8" s="444" t="n">
        <f aca="false">Depreciation!Y8</f>
        <v>44926</v>
      </c>
      <c r="X8" s="444" t="n">
        <f aca="false">Depreciation!Z8</f>
        <v>45291</v>
      </c>
      <c r="Y8" s="444" t="n">
        <f aca="false">Depreciation!AA8</f>
        <v>45657</v>
      </c>
      <c r="Z8" s="444" t="n">
        <f aca="false">Depreciation!AB8</f>
        <v>46022</v>
      </c>
      <c r="AA8" s="444" t="n">
        <f aca="false">Depreciation!AC8</f>
        <v>46387</v>
      </c>
      <c r="AB8" s="444" t="n">
        <f aca="false">Depreciation!AD8</f>
        <v>46752</v>
      </c>
      <c r="AC8" s="444" t="n">
        <f aca="false">Depreciation!AE8</f>
        <v>47118</v>
      </c>
      <c r="AD8" s="444" t="n">
        <f aca="false">Depreciation!AF8</f>
        <v>47483</v>
      </c>
      <c r="AE8" s="444" t="n">
        <f aca="false">Depreciation!AG8</f>
        <v>47848</v>
      </c>
      <c r="AF8" s="444" t="n">
        <f aca="false">Depreciation!AH8</f>
        <v>48213</v>
      </c>
    </row>
    <row r="9" customFormat="false" ht="12.75" hidden="false" customHeight="false" outlineLevel="0" collapsed="false">
      <c r="A9" s="480" t="s">
        <v>513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51" t="s">
        <v>514</v>
      </c>
      <c r="B10" s="188" t="n">
        <f aca="false">IS!C40</f>
        <v>723.837585939035</v>
      </c>
      <c r="C10" s="188" t="n">
        <f aca="false">IS!D40</f>
        <v>1496.02252660825</v>
      </c>
      <c r="D10" s="188" t="n">
        <f aca="false">IS!E40</f>
        <v>1572.77112339678</v>
      </c>
      <c r="E10" s="188" t="n">
        <f aca="false">IS!F40</f>
        <v>1656.98028942051</v>
      </c>
      <c r="F10" s="188" t="n">
        <f aca="false">IS!G40</f>
        <v>1749.2140278751</v>
      </c>
      <c r="G10" s="188" t="n">
        <f aca="false">IS!H40</f>
        <v>3651.28918411356</v>
      </c>
      <c r="H10" s="188" t="n">
        <f aca="false">IS!I40</f>
        <v>4662.03444110261</v>
      </c>
      <c r="I10" s="188" t="n">
        <f aca="false">IS!J40</f>
        <v>4782.14346392839</v>
      </c>
      <c r="J10" s="188" t="n">
        <f aca="false">IS!K40</f>
        <v>4912.96562395843</v>
      </c>
      <c r="K10" s="188" t="n">
        <f aca="false">IS!L40</f>
        <v>5055.29695090915</v>
      </c>
      <c r="L10" s="188" t="n">
        <f aca="false">IS!M40</f>
        <v>5209.99011877938</v>
      </c>
      <c r="M10" s="188" t="n">
        <f aca="false">IS!N40</f>
        <v>5377.95842939414</v>
      </c>
      <c r="N10" s="188" t="n">
        <f aca="false">IS!O40</f>
        <v>5560.18007516542</v>
      </c>
      <c r="O10" s="188" t="n">
        <f aca="false">IS!P40</f>
        <v>5757.70270062244</v>
      </c>
      <c r="P10" s="188" t="n">
        <f aca="false">IS!Q40</f>
        <v>5971.64828363284</v>
      </c>
      <c r="Q10" s="188" t="n">
        <f aca="false">IS!R40</f>
        <v>6203.21835870079</v>
      </c>
      <c r="R10" s="188" t="n">
        <f aca="false">IS!S40</f>
        <v>6453.69960629524</v>
      </c>
      <c r="S10" s="188" t="n">
        <f aca="false">IS!T40</f>
        <v>6724.4698338385</v>
      </c>
      <c r="T10" s="188" t="n">
        <f aca="false">IS!U40</f>
        <v>7017.00437577932</v>
      </c>
      <c r="U10" s="188" t="n">
        <f aca="false">IS!V40</f>
        <v>7332.88294209492</v>
      </c>
      <c r="V10" s="188" t="n">
        <f aca="false">IS!W40</f>
        <v>7673.79694662032</v>
      </c>
      <c r="W10" s="188" t="n">
        <f aca="false">IS!X40</f>
        <v>8041.55734880154</v>
      </c>
      <c r="X10" s="188" t="n">
        <f aca="false">IS!Y40</f>
        <v>8438.10304482129</v>
      </c>
      <c r="Y10" s="188" t="n">
        <f aca="false">IS!Z40</f>
        <v>8865.50984656197</v>
      </c>
      <c r="Z10" s="188" t="n">
        <f aca="false">IS!AA40</f>
        <v>9326.00008956406</v>
      </c>
      <c r="AA10" s="188" t="n">
        <f aca="false">IS!AB40</f>
        <v>9821.95291401862</v>
      </c>
      <c r="AB10" s="188" t="n">
        <f aca="false">IS!AC40</f>
        <v>10355.9152659162</v>
      </c>
      <c r="AC10" s="188" t="n">
        <f aca="false">IS!AD40</f>
        <v>10930.6136687724</v>
      </c>
      <c r="AD10" s="188" t="n">
        <f aca="false">IS!AE40</f>
        <v>11548.9668198808</v>
      </c>
      <c r="AE10" s="188" t="n">
        <f aca="false">IS!AF40</f>
        <v>12214.0990688202</v>
      </c>
      <c r="AF10" s="188" t="n">
        <f aca="false">IS!AG40</f>
        <v>231.031205324681</v>
      </c>
    </row>
    <row r="11" customFormat="false" ht="12.75" hidden="false" customHeight="false" outlineLevel="0" collapsed="false">
      <c r="A11" s="451" t="s">
        <v>515</v>
      </c>
      <c r="B11" s="188" t="n">
        <f aca="false">IS!C34</f>
        <v>5733.43031203201</v>
      </c>
      <c r="C11" s="188" t="n">
        <f aca="false">IS!D34</f>
        <v>8600.14546804802</v>
      </c>
      <c r="D11" s="188" t="n">
        <f aca="false">IS!E34</f>
        <v>8600.14546804802</v>
      </c>
      <c r="E11" s="188" t="n">
        <f aca="false">IS!F34</f>
        <v>8600.14546804802</v>
      </c>
      <c r="F11" s="188" t="n">
        <f aca="false">IS!G34</f>
        <v>8600.14546804802</v>
      </c>
      <c r="G11" s="188" t="n">
        <f aca="false">IS!H34</f>
        <v>6798.93294138135</v>
      </c>
      <c r="H11" s="188" t="n">
        <f aca="false">IS!I34</f>
        <v>5898.32667804801</v>
      </c>
      <c r="I11" s="188" t="n">
        <f aca="false">IS!J34</f>
        <v>5898.32667804801</v>
      </c>
      <c r="J11" s="188" t="n">
        <f aca="false">IS!K34</f>
        <v>5898.32667804801</v>
      </c>
      <c r="K11" s="188" t="n">
        <f aca="false">IS!L34</f>
        <v>5898.32667804801</v>
      </c>
      <c r="L11" s="188" t="n">
        <f aca="false">IS!M34</f>
        <v>5898.32667804801</v>
      </c>
      <c r="M11" s="188" t="n">
        <f aca="false">IS!N34</f>
        <v>5898.32667804801</v>
      </c>
      <c r="N11" s="188" t="n">
        <f aca="false">IS!O34</f>
        <v>5898.32667804801</v>
      </c>
      <c r="O11" s="188" t="n">
        <f aca="false">IS!P34</f>
        <v>5898.32667804801</v>
      </c>
      <c r="P11" s="188" t="n">
        <f aca="false">IS!Q34</f>
        <v>5898.32667804801</v>
      </c>
      <c r="Q11" s="188" t="n">
        <f aca="false">IS!R34</f>
        <v>5898.32667804801</v>
      </c>
      <c r="R11" s="188" t="n">
        <f aca="false">IS!S34</f>
        <v>5898.32667804801</v>
      </c>
      <c r="S11" s="188" t="n">
        <f aca="false">IS!T34</f>
        <v>5898.32667804801</v>
      </c>
      <c r="T11" s="188" t="n">
        <f aca="false">IS!U34</f>
        <v>5898.32667804801</v>
      </c>
      <c r="U11" s="188" t="n">
        <f aca="false">IS!V34</f>
        <v>5898.32667804801</v>
      </c>
      <c r="V11" s="188" t="n">
        <f aca="false">IS!W34</f>
        <v>5898.32667804801</v>
      </c>
      <c r="W11" s="188" t="n">
        <f aca="false">IS!X34</f>
        <v>5898.32667804801</v>
      </c>
      <c r="X11" s="188" t="n">
        <f aca="false">IS!Y34</f>
        <v>5898.32667804801</v>
      </c>
      <c r="Y11" s="188" t="n">
        <f aca="false">IS!Z34</f>
        <v>5898.32667804801</v>
      </c>
      <c r="Z11" s="188" t="n">
        <f aca="false">IS!AA34</f>
        <v>5898.32667804801</v>
      </c>
      <c r="AA11" s="188" t="n">
        <f aca="false">IS!AB34</f>
        <v>5898.32667804801</v>
      </c>
      <c r="AB11" s="188" t="n">
        <f aca="false">IS!AC34</f>
        <v>5898.32667804801</v>
      </c>
      <c r="AC11" s="188" t="n">
        <f aca="false">IS!AD34</f>
        <v>5898.32667804801</v>
      </c>
      <c r="AD11" s="188" t="n">
        <f aca="false">IS!AE34</f>
        <v>5898.32667804801</v>
      </c>
      <c r="AE11" s="188" t="n">
        <f aca="false">IS!AF34</f>
        <v>5898.32667804801</v>
      </c>
      <c r="AF11" s="188" t="n">
        <f aca="false">IS!AG34</f>
        <v>1966.10889268267</v>
      </c>
    </row>
    <row r="12" customFormat="false" ht="15" hidden="false" customHeight="false" outlineLevel="0" collapsed="false">
      <c r="A12" s="451" t="s">
        <v>516</v>
      </c>
      <c r="B12" s="355" t="n">
        <f aca="false">-Depreciation!D34</f>
        <v>-11631.75699008</v>
      </c>
      <c r="C12" s="355" t="n">
        <f aca="false">-Depreciation!E34</f>
        <v>-21379.8532704854</v>
      </c>
      <c r="D12" s="355" t="n">
        <f aca="false">-Depreciation!F34</f>
        <v>-19512.0498224368</v>
      </c>
      <c r="E12" s="355" t="n">
        <f aca="false">-Depreciation!G34</f>
        <v>-17840.8572636566</v>
      </c>
      <c r="F12" s="355" t="n">
        <f aca="false">-Depreciation!H34</f>
        <v>-16326.9534162909</v>
      </c>
      <c r="G12" s="355" t="n">
        <f aca="false">-Depreciation!I34</f>
        <v>-13149.4646647464</v>
      </c>
      <c r="H12" s="355" t="n">
        <f aca="false">-Depreciation!J34</f>
        <v>-11600.0424668278</v>
      </c>
      <c r="I12" s="355" t="n">
        <f aca="false">-Depreciation!K34</f>
        <v>-11619.7035557546</v>
      </c>
      <c r="J12" s="355" t="n">
        <f aca="false">-Depreciation!L34</f>
        <v>-11600.0424668278</v>
      </c>
      <c r="K12" s="355" t="n">
        <f aca="false">-Depreciation!M34</f>
        <v>-11619.7035557546</v>
      </c>
      <c r="L12" s="355" t="n">
        <f aca="false">-Depreciation!N34</f>
        <v>-11600.0424668278</v>
      </c>
      <c r="M12" s="355" t="n">
        <f aca="false">-Depreciation!O34</f>
        <v>-11619.7035557546</v>
      </c>
      <c r="N12" s="355" t="n">
        <f aca="false">-Depreciation!P34</f>
        <v>-11600.0424668278</v>
      </c>
      <c r="O12" s="355" t="n">
        <f aca="false">-Depreciation!Q34</f>
        <v>-11619.7035557546</v>
      </c>
      <c r="P12" s="355" t="n">
        <f aca="false">-Depreciation!R34</f>
        <v>-11600.0424668278</v>
      </c>
      <c r="Q12" s="355" t="n">
        <f aca="false">-Depreciation!S34</f>
        <v>-5800.02123341388</v>
      </c>
      <c r="R12" s="355" t="n">
        <f aca="false">-Depreciation!T34</f>
        <v>-0</v>
      </c>
      <c r="S12" s="355" t="n">
        <f aca="false">-Depreciation!U34</f>
        <v>-0</v>
      </c>
      <c r="T12" s="355" t="n">
        <f aca="false">-Depreciation!V34</f>
        <v>-0</v>
      </c>
      <c r="U12" s="355" t="n">
        <f aca="false">-Depreciation!W34</f>
        <v>-0</v>
      </c>
      <c r="V12" s="355" t="n">
        <f aca="false">-Depreciation!X34</f>
        <v>-0</v>
      </c>
      <c r="W12" s="355" t="n">
        <f aca="false">-Depreciation!Y34</f>
        <v>-0</v>
      </c>
      <c r="X12" s="355" t="n">
        <f aca="false">-Depreciation!Z34</f>
        <v>-0</v>
      </c>
      <c r="Y12" s="355" t="n">
        <f aca="false">-Depreciation!AA34</f>
        <v>-0</v>
      </c>
      <c r="Z12" s="355" t="n">
        <f aca="false">-Depreciation!AB34</f>
        <v>-0</v>
      </c>
      <c r="AA12" s="355" t="n">
        <f aca="false">-Depreciation!AC34</f>
        <v>-0</v>
      </c>
      <c r="AB12" s="355" t="n">
        <f aca="false">-Depreciation!AD34</f>
        <v>-0</v>
      </c>
      <c r="AC12" s="355" t="n">
        <f aca="false">-Depreciation!AE34</f>
        <v>-0</v>
      </c>
      <c r="AD12" s="355" t="n">
        <f aca="false">-Depreciation!AF34</f>
        <v>-0</v>
      </c>
      <c r="AE12" s="355" t="n">
        <f aca="false">-Depreciation!AG34</f>
        <v>-0</v>
      </c>
      <c r="AF12" s="355" t="n">
        <f aca="false">-Depreciation!AH34</f>
        <v>-0</v>
      </c>
    </row>
    <row r="13" customFormat="false" ht="12.75" hidden="false" customHeight="false" outlineLevel="0" collapsed="false">
      <c r="A13" s="481" t="s">
        <v>517</v>
      </c>
      <c r="B13" s="188" t="n">
        <f aca="false">SUM(B10:B12)</f>
        <v>-5174.48909210898</v>
      </c>
      <c r="C13" s="188" t="n">
        <f aca="false">SUM(C10:C12)</f>
        <v>-11283.6852758291</v>
      </c>
      <c r="D13" s="188" t="n">
        <f aca="false">SUM(D10:D12)</f>
        <v>-9339.13323099205</v>
      </c>
      <c r="E13" s="188" t="n">
        <f aca="false">SUM(E10:E12)</f>
        <v>-7583.73150618805</v>
      </c>
      <c r="F13" s="188" t="n">
        <f aca="false">SUM(F10:F12)</f>
        <v>-5977.5939203678</v>
      </c>
      <c r="G13" s="188" t="n">
        <f aca="false">SUM(G10:G12)</f>
        <v>-2699.24253925147</v>
      </c>
      <c r="H13" s="188" t="n">
        <f aca="false">SUM(H10:H12)</f>
        <v>-1039.68134767714</v>
      </c>
      <c r="I13" s="188" t="n">
        <f aca="false">SUM(I10:I12)</f>
        <v>-939.233413778185</v>
      </c>
      <c r="J13" s="188" t="n">
        <f aca="false">SUM(J10:J12)</f>
        <v>-788.750164821317</v>
      </c>
      <c r="K13" s="188" t="n">
        <f aca="false">SUM(K10:K12)</f>
        <v>-666.07992679742</v>
      </c>
      <c r="L13" s="188" t="n">
        <f aca="false">SUM(L10:L12)</f>
        <v>-491.725670000362</v>
      </c>
      <c r="M13" s="188" t="n">
        <f aca="false">SUM(M10:M12)</f>
        <v>-343.418448312428</v>
      </c>
      <c r="N13" s="188" t="n">
        <f aca="false">SUM(N10:N12)</f>
        <v>-141.53571361433</v>
      </c>
      <c r="O13" s="188" t="n">
        <f aca="false">SUM(O10:O12)</f>
        <v>36.3258229158655</v>
      </c>
      <c r="P13" s="188" t="n">
        <f aca="false">SUM(P10:P12)</f>
        <v>269.932494853094</v>
      </c>
      <c r="Q13" s="188" t="n">
        <f aca="false">SUM(Q10:Q12)</f>
        <v>6301.52380333492</v>
      </c>
      <c r="R13" s="188" t="n">
        <f aca="false">SUM(R10:R12)</f>
        <v>12352.0262843433</v>
      </c>
      <c r="S13" s="188" t="n">
        <f aca="false">SUM(S10:S12)</f>
        <v>12622.7965118865</v>
      </c>
      <c r="T13" s="188" t="n">
        <f aca="false">SUM(T10:T12)</f>
        <v>12915.3310538273</v>
      </c>
      <c r="U13" s="188" t="n">
        <f aca="false">SUM(U10:U12)</f>
        <v>13231.2096201429</v>
      </c>
      <c r="V13" s="188" t="n">
        <f aca="false">SUM(V10:V12)</f>
        <v>13572.1236246683</v>
      </c>
      <c r="W13" s="188" t="n">
        <f aca="false">SUM(W10:W12)</f>
        <v>13939.8840268496</v>
      </c>
      <c r="X13" s="188" t="n">
        <f aca="false">SUM(X10:X12)</f>
        <v>14336.4297228693</v>
      </c>
      <c r="Y13" s="188" t="n">
        <f aca="false">SUM(Y10:Y12)</f>
        <v>14763.83652461</v>
      </c>
      <c r="Z13" s="188" t="n">
        <f aca="false">SUM(Z10:Z12)</f>
        <v>15224.3267676121</v>
      </c>
      <c r="AA13" s="188" t="n">
        <f aca="false">SUM(AA10:AA12)</f>
        <v>15720.2795920666</v>
      </c>
      <c r="AB13" s="188" t="n">
        <f aca="false">SUM(AB10:AB12)</f>
        <v>16254.2419439642</v>
      </c>
      <c r="AC13" s="188" t="n">
        <f aca="false">SUM(AC10:AC12)</f>
        <v>16828.9403468204</v>
      </c>
      <c r="AD13" s="188" t="n">
        <f aca="false">SUM(AD10:AD12)</f>
        <v>17447.2934979288</v>
      </c>
      <c r="AE13" s="188" t="n">
        <f aca="false">SUM(AE10:AE12)</f>
        <v>18112.4257468683</v>
      </c>
      <c r="AF13" s="188" t="n">
        <f aca="false">SUM(AF10:AF12)</f>
        <v>2197.14009800735</v>
      </c>
    </row>
    <row r="14" customFormat="false" ht="12.75" hidden="false" customHeight="false" outlineLevel="0" collapsed="false">
      <c r="A14" s="451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customFormat="false" ht="12.75" hidden="false" customHeight="false" outlineLevel="0" collapsed="false">
      <c r="A15" s="451" t="s">
        <v>518</v>
      </c>
      <c r="B15" s="482" t="n">
        <f aca="false">Assumptions!$N$51</f>
        <v>0.07</v>
      </c>
      <c r="C15" s="482" t="n">
        <f aca="false">Assumptions!$N$51</f>
        <v>0.07</v>
      </c>
      <c r="D15" s="482" t="n">
        <f aca="false">Assumptions!$N$51</f>
        <v>0.07</v>
      </c>
      <c r="E15" s="482" t="n">
        <f aca="false">Assumptions!$N$51</f>
        <v>0.07</v>
      </c>
      <c r="F15" s="482" t="n">
        <f aca="false">Assumptions!$N$51</f>
        <v>0.07</v>
      </c>
      <c r="G15" s="482" t="n">
        <f aca="false">Assumptions!$N$51</f>
        <v>0.07</v>
      </c>
      <c r="H15" s="482" t="n">
        <f aca="false">Assumptions!$N$51</f>
        <v>0.07</v>
      </c>
      <c r="I15" s="482" t="n">
        <f aca="false">Assumptions!$N$51</f>
        <v>0.07</v>
      </c>
      <c r="J15" s="482" t="n">
        <f aca="false">Assumptions!$N$51</f>
        <v>0.07</v>
      </c>
      <c r="K15" s="482" t="n">
        <f aca="false">Assumptions!$N$51</f>
        <v>0.07</v>
      </c>
      <c r="L15" s="482" t="n">
        <f aca="false">Assumptions!$N$51</f>
        <v>0.07</v>
      </c>
      <c r="M15" s="482" t="n">
        <f aca="false">Assumptions!$N$51</f>
        <v>0.07</v>
      </c>
      <c r="N15" s="482" t="n">
        <f aca="false">Assumptions!$N$51</f>
        <v>0.07</v>
      </c>
      <c r="O15" s="482" t="n">
        <f aca="false">Assumptions!$N$51</f>
        <v>0.07</v>
      </c>
      <c r="P15" s="482" t="n">
        <f aca="false">Assumptions!$N$51</f>
        <v>0.07</v>
      </c>
      <c r="Q15" s="482" t="n">
        <f aca="false">Assumptions!$N$51</f>
        <v>0.07</v>
      </c>
      <c r="R15" s="482" t="n">
        <f aca="false">Assumptions!$N$51</f>
        <v>0.07</v>
      </c>
      <c r="S15" s="482" t="n">
        <f aca="false">Assumptions!$N$51</f>
        <v>0.07</v>
      </c>
      <c r="T15" s="482" t="n">
        <f aca="false">Assumptions!$N$51</f>
        <v>0.07</v>
      </c>
      <c r="U15" s="482" t="n">
        <f aca="false">Assumptions!$N$51</f>
        <v>0.07</v>
      </c>
      <c r="V15" s="482" t="n">
        <f aca="false">Assumptions!$N$51</f>
        <v>0.07</v>
      </c>
      <c r="W15" s="482" t="n">
        <f aca="false">Assumptions!$N$51</f>
        <v>0.07</v>
      </c>
      <c r="X15" s="482" t="n">
        <f aca="false">Assumptions!$N$51</f>
        <v>0.07</v>
      </c>
      <c r="Y15" s="482" t="n">
        <f aca="false">Assumptions!$N$51</f>
        <v>0.07</v>
      </c>
      <c r="Z15" s="482" t="n">
        <f aca="false">Assumptions!$N$51</f>
        <v>0.07</v>
      </c>
      <c r="AA15" s="482" t="n">
        <f aca="false">Assumptions!$N$51</f>
        <v>0.07</v>
      </c>
      <c r="AB15" s="482" t="n">
        <f aca="false">Assumptions!$N$51</f>
        <v>0.07</v>
      </c>
      <c r="AC15" s="482" t="n">
        <f aca="false">Assumptions!$N$51</f>
        <v>0.07</v>
      </c>
      <c r="AD15" s="482" t="n">
        <f aca="false">Assumptions!$N$51</f>
        <v>0.07</v>
      </c>
      <c r="AE15" s="482" t="n">
        <f aca="false">Assumptions!$N$51</f>
        <v>0.07</v>
      </c>
      <c r="AF15" s="482" t="n">
        <f aca="false">Assumptions!$N$51</f>
        <v>0.07</v>
      </c>
    </row>
    <row r="16" customFormat="false" ht="12.75" hidden="false" customHeight="false" outlineLevel="0" collapsed="false">
      <c r="A16" s="451" t="s">
        <v>519</v>
      </c>
      <c r="B16" s="188" t="n">
        <f aca="false">B13*B15</f>
        <v>-362.214236447629</v>
      </c>
      <c r="C16" s="188" t="n">
        <f aca="false">C13*C15</f>
        <v>-789.857969308038</v>
      </c>
      <c r="D16" s="188" t="n">
        <f aca="false">D13*D15</f>
        <v>-653.739326169444</v>
      </c>
      <c r="E16" s="188" t="n">
        <f aca="false">E13*E15</f>
        <v>-530.861205433163</v>
      </c>
      <c r="F16" s="188" t="n">
        <f aca="false">F13*F15</f>
        <v>-418.431574425746</v>
      </c>
      <c r="G16" s="188" t="n">
        <f aca="false">G13*G15</f>
        <v>-188.946977747603</v>
      </c>
      <c r="H16" s="188" t="n">
        <f aca="false">H13*H15</f>
        <v>-72.7776943373998</v>
      </c>
      <c r="I16" s="188" t="n">
        <f aca="false">I13*I15</f>
        <v>-65.746338964473</v>
      </c>
      <c r="J16" s="188" t="n">
        <f aca="false">J13*J15</f>
        <v>-55.2125115374922</v>
      </c>
      <c r="K16" s="188" t="n">
        <f aca="false">K13*K15</f>
        <v>-46.6255948758194</v>
      </c>
      <c r="L16" s="188" t="n">
        <f aca="false">L13*L15</f>
        <v>-34.4207969000253</v>
      </c>
      <c r="M16" s="188" t="n">
        <f aca="false">M13*M15</f>
        <v>-24.03929138187</v>
      </c>
      <c r="N16" s="188" t="n">
        <f aca="false">N13*N15</f>
        <v>-9.90749995300312</v>
      </c>
      <c r="O16" s="188" t="n">
        <f aca="false">O13*O15</f>
        <v>2.54280760411059</v>
      </c>
      <c r="P16" s="188" t="n">
        <f aca="false">P13*P15</f>
        <v>18.8952746397166</v>
      </c>
      <c r="Q16" s="188" t="n">
        <f aca="false">Q13*Q15</f>
        <v>441.106666233444</v>
      </c>
      <c r="R16" s="188" t="n">
        <f aca="false">R13*R15</f>
        <v>864.641839904028</v>
      </c>
      <c r="S16" s="188" t="n">
        <f aca="false">S13*S15</f>
        <v>883.595755832056</v>
      </c>
      <c r="T16" s="188" t="n">
        <f aca="false">T13*T15</f>
        <v>904.073173767914</v>
      </c>
      <c r="U16" s="188" t="n">
        <f aca="false">U13*U15</f>
        <v>926.184673410005</v>
      </c>
      <c r="V16" s="188" t="n">
        <f aca="false">V13*V15</f>
        <v>950.048653726783</v>
      </c>
      <c r="W16" s="188" t="n">
        <f aca="false">W13*W15</f>
        <v>975.791881879469</v>
      </c>
      <c r="X16" s="188" t="n">
        <f aca="false">X13*X15</f>
        <v>1003.55008060085</v>
      </c>
      <c r="Y16" s="188" t="n">
        <f aca="false">Y13*Y15</f>
        <v>1033.4685567227</v>
      </c>
      <c r="Z16" s="188" t="n">
        <f aca="false">Z13*Z15</f>
        <v>1065.70287373285</v>
      </c>
      <c r="AA16" s="188" t="n">
        <f aca="false">AA13*AA15</f>
        <v>1100.41957144466</v>
      </c>
      <c r="AB16" s="188" t="n">
        <f aca="false">AB13*AB15</f>
        <v>1137.79693607749</v>
      </c>
      <c r="AC16" s="188" t="n">
        <f aca="false">AC13*AC15</f>
        <v>1178.02582427743</v>
      </c>
      <c r="AD16" s="188" t="n">
        <f aca="false">AD13*AD15</f>
        <v>1221.31054485502</v>
      </c>
      <c r="AE16" s="188" t="n">
        <f aca="false">AE13*AE15</f>
        <v>1267.86980228078</v>
      </c>
      <c r="AF16" s="188" t="n">
        <f aca="false">AF13*AF15</f>
        <v>153.799806860515</v>
      </c>
    </row>
    <row r="17" customFormat="false" ht="12.75" hidden="false" customHeight="false" outlineLevel="0" collapsed="false">
      <c r="A17" s="451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</row>
    <row r="18" customFormat="false" ht="12.75" hidden="false" customHeight="false" outlineLevel="0" collapsed="false">
      <c r="A18" s="451" t="s">
        <v>520</v>
      </c>
      <c r="B18" s="188" t="n">
        <v>0</v>
      </c>
      <c r="C18" s="188" t="n">
        <f aca="false">B22</f>
        <v>362.214236447629</v>
      </c>
      <c r="D18" s="188" t="n">
        <f aca="false">C22</f>
        <v>1152.07220575567</v>
      </c>
      <c r="E18" s="188" t="n">
        <f aca="false">D22</f>
        <v>1805.81153192511</v>
      </c>
      <c r="F18" s="188" t="n">
        <f aca="false">E22</f>
        <v>2336.67273735827</v>
      </c>
      <c r="G18" s="188" t="n">
        <f aca="false">F22</f>
        <v>2755.10431178402</v>
      </c>
      <c r="H18" s="188" t="n">
        <f aca="false">G22</f>
        <v>2944.05128953162</v>
      </c>
      <c r="I18" s="188" t="n">
        <f aca="false">H22</f>
        <v>3016.82898386902</v>
      </c>
      <c r="J18" s="188" t="n">
        <f aca="false">I22</f>
        <v>3082.5753228335</v>
      </c>
      <c r="K18" s="188" t="n">
        <f aca="false">J22</f>
        <v>2775.57359792336</v>
      </c>
      <c r="L18" s="188" t="n">
        <f aca="false">K22</f>
        <v>2394.55545993877</v>
      </c>
      <c r="M18" s="188" t="n">
        <f aca="false">L22</f>
        <v>2428.97625683879</v>
      </c>
      <c r="N18" s="188" t="n">
        <f aca="false">M22</f>
        <v>2453.01554822066</v>
      </c>
      <c r="O18" s="188" t="n">
        <f aca="false">N22</f>
        <v>2462.92304817367</v>
      </c>
      <c r="P18" s="188" t="n">
        <f aca="false">O22</f>
        <v>2460.38024056956</v>
      </c>
      <c r="Q18" s="188" t="n">
        <f aca="false">P22</f>
        <v>2441.48496592984</v>
      </c>
      <c r="R18" s="188" t="n">
        <f aca="false">Q22</f>
        <v>2000.3782996964</v>
      </c>
      <c r="S18" s="188" t="n">
        <f aca="false">R22</f>
        <v>1135.73645979237</v>
      </c>
      <c r="T18" s="188" t="n">
        <v>0</v>
      </c>
      <c r="U18" s="188" t="n">
        <f aca="false">T22</f>
        <v>0</v>
      </c>
      <c r="V18" s="188" t="n">
        <f aca="false">U22</f>
        <v>0</v>
      </c>
      <c r="W18" s="188" t="n">
        <f aca="false">V22</f>
        <v>0</v>
      </c>
      <c r="X18" s="188" t="n">
        <f aca="false">W22</f>
        <v>0</v>
      </c>
      <c r="Y18" s="188" t="n">
        <f aca="false">X22</f>
        <v>0</v>
      </c>
      <c r="Z18" s="188" t="n">
        <f aca="false">Y22</f>
        <v>0</v>
      </c>
      <c r="AA18" s="188" t="n">
        <f aca="false">Z22</f>
        <v>0</v>
      </c>
      <c r="AB18" s="188" t="n">
        <f aca="false">AA22</f>
        <v>0</v>
      </c>
      <c r="AC18" s="188" t="n">
        <f aca="false">AB22</f>
        <v>0</v>
      </c>
      <c r="AD18" s="188" t="n">
        <f aca="false">AC22</f>
        <v>0</v>
      </c>
      <c r="AE18" s="188" t="n">
        <f aca="false">AD22</f>
        <v>0</v>
      </c>
      <c r="AF18" s="188" t="n">
        <f aca="false">AE22</f>
        <v>0</v>
      </c>
    </row>
    <row r="19" customFormat="false" ht="12.75" hidden="false" customHeight="false" outlineLevel="0" collapsed="false">
      <c r="A19" s="451" t="s">
        <v>521</v>
      </c>
      <c r="B19" s="188" t="n">
        <f aca="false">IF(B16&lt;0,-B16,0)</f>
        <v>362.214236447629</v>
      </c>
      <c r="C19" s="188" t="n">
        <f aca="false">IF(C16&lt;0,-C16,0)</f>
        <v>789.857969308038</v>
      </c>
      <c r="D19" s="188" t="n">
        <f aca="false">IF(D16&lt;0,-D16,0)</f>
        <v>653.739326169444</v>
      </c>
      <c r="E19" s="188" t="n">
        <f aca="false">IF(E16&lt;0,-E16,0)</f>
        <v>530.861205433163</v>
      </c>
      <c r="F19" s="188" t="n">
        <f aca="false">IF(F16&lt;0,-F16,0)</f>
        <v>418.431574425746</v>
      </c>
      <c r="G19" s="188" t="n">
        <f aca="false">IF(G16&lt;0,-G16,0)</f>
        <v>188.946977747603</v>
      </c>
      <c r="H19" s="188" t="n">
        <f aca="false">IF(H16&lt;0,-H16,0)</f>
        <v>72.7776943373998</v>
      </c>
      <c r="I19" s="188" t="n">
        <f aca="false">IF(I16&lt;0,-I16,0)</f>
        <v>65.746338964473</v>
      </c>
      <c r="J19" s="188" t="n">
        <f aca="false">IF(J16&lt;0,-J16,0)</f>
        <v>55.2125115374922</v>
      </c>
      <c r="K19" s="188" t="n">
        <f aca="false">IF(K16&lt;0,-K16,0)</f>
        <v>46.6255948758194</v>
      </c>
      <c r="L19" s="188" t="n">
        <f aca="false">IF(L16&lt;0,-L16,0)</f>
        <v>34.4207969000253</v>
      </c>
      <c r="M19" s="188" t="n">
        <f aca="false">IF(M16&lt;0,-M16,0)</f>
        <v>24.03929138187</v>
      </c>
      <c r="N19" s="188" t="n">
        <f aca="false">IF(N16&lt;0,-N16,0)</f>
        <v>9.90749995300312</v>
      </c>
      <c r="O19" s="188" t="n">
        <f aca="false">IF(O16&lt;0,-O16,0)</f>
        <v>0</v>
      </c>
      <c r="P19" s="188" t="n">
        <f aca="false">IF(P16&lt;0,-P16,0)</f>
        <v>0</v>
      </c>
      <c r="Q19" s="188" t="n">
        <f aca="false">IF(Q16&lt;0,-Q16,0)</f>
        <v>0</v>
      </c>
      <c r="R19" s="188" t="n">
        <f aca="false">IF(R16&lt;0,-R16,0)</f>
        <v>0</v>
      </c>
      <c r="S19" s="188" t="n">
        <f aca="false">IF(S16&lt;0,-S16,0)</f>
        <v>0</v>
      </c>
      <c r="T19" s="188" t="n">
        <f aca="false">IF(T16&lt;0,-T16,0)</f>
        <v>0</v>
      </c>
      <c r="U19" s="188" t="n">
        <f aca="false">IF(U16&lt;0,-U16,0)</f>
        <v>0</v>
      </c>
      <c r="V19" s="188" t="n">
        <f aca="false">IF(V16&lt;0,-V16,0)</f>
        <v>0</v>
      </c>
      <c r="W19" s="188" t="n">
        <f aca="false">IF(W16&lt;0,-W16,0)</f>
        <v>0</v>
      </c>
      <c r="X19" s="188" t="n">
        <f aca="false">IF(X16&lt;0,-X16,0)</f>
        <v>0</v>
      </c>
      <c r="Y19" s="188" t="n">
        <f aca="false">IF(Y16&lt;0,-Y16,0)</f>
        <v>0</v>
      </c>
      <c r="Z19" s="188" t="n">
        <f aca="false">IF(Z16&lt;0,-Z16,0)</f>
        <v>0</v>
      </c>
      <c r="AA19" s="188" t="n">
        <f aca="false">IF(AA16&lt;0,-AA16,0)</f>
        <v>0</v>
      </c>
      <c r="AB19" s="188" t="n">
        <f aca="false">IF(AB16&lt;0,-AB16,0)</f>
        <v>0</v>
      </c>
      <c r="AC19" s="188" t="n">
        <f aca="false">IF(AC16&lt;0,-AC16,0)</f>
        <v>0</v>
      </c>
      <c r="AD19" s="188" t="n">
        <f aca="false">IF(AD16&lt;0,-AD16,0)</f>
        <v>0</v>
      </c>
      <c r="AE19" s="188" t="n">
        <f aca="false">IF(AE16&lt;0,-AE16,0)</f>
        <v>0</v>
      </c>
      <c r="AF19" s="188" t="n">
        <f aca="false">IF(AF16&lt;0,-AF16,0)</f>
        <v>0</v>
      </c>
    </row>
    <row r="20" customFormat="false" ht="12.75" hidden="false" customHeight="false" outlineLevel="0" collapsed="false">
      <c r="A20" s="31" t="s">
        <v>522</v>
      </c>
      <c r="B20" s="483" t="n">
        <v>0</v>
      </c>
      <c r="C20" s="484" t="n">
        <v>0</v>
      </c>
      <c r="D20" s="484" t="n">
        <v>0</v>
      </c>
      <c r="E20" s="484" t="n">
        <v>0</v>
      </c>
      <c r="F20" s="484" t="n">
        <v>0</v>
      </c>
      <c r="G20" s="484" t="n">
        <v>0</v>
      </c>
      <c r="H20" s="484" t="n">
        <v>0</v>
      </c>
      <c r="I20" s="485" t="n">
        <v>0</v>
      </c>
      <c r="J20" s="486" t="n">
        <f aca="false">IF(-SUM(B21:I21,B20:I20)&gt;B19,0,-B19-SUM(B21:I21,B20:I20))</f>
        <v>-362.214236447629</v>
      </c>
      <c r="K20" s="486" t="n">
        <f aca="false">IF(-SUM(C21:J21,C20:J20)&gt;C19,0,-C19-SUM(C21:J21,C20:J20))</f>
        <v>-427.64373286041</v>
      </c>
      <c r="L20" s="486" t="n">
        <f aca="false">IF(-SUM(D21:K21,D20:K20)&gt;D19,0,-D19-SUM(D21:K21,D20:K20))</f>
        <v>0</v>
      </c>
      <c r="M20" s="486" t="n">
        <f aca="false">IF(-SUM(E21:L21,E20:L20)&gt;E19,0,-E19-SUM(E21:L21,E20:L20))</f>
        <v>0</v>
      </c>
      <c r="N20" s="486" t="n">
        <f aca="false">IF(-SUM(F21:M21,F20:M20)&gt;F19,0,-F19-SUM(F21:M21,F20:M20))</f>
        <v>0</v>
      </c>
      <c r="O20" s="486" t="n">
        <f aca="false">IF(-SUM(G21:N21,G20:N20)&gt;G19,0,-G19-SUM(G21:N21,G20:N20))</f>
        <v>0</v>
      </c>
      <c r="P20" s="486" t="n">
        <f aca="false">IF(-SUM(H21:O21,H20:O20)&gt;H19,0,-H19-SUM(H21:O21,H20:O20))</f>
        <v>0</v>
      </c>
      <c r="Q20" s="486" t="n">
        <f aca="false">IF(-SUM(I21:P21,I20:P20)&gt;I19,0,-I19-SUM(I21:P21,I20:P20))</f>
        <v>0</v>
      </c>
      <c r="R20" s="486" t="n">
        <f aca="false">IF(-SUM(J21:Q21,J20:Q20)&gt;J19,0,-J19-SUM(J21:Q21,J20:Q20))</f>
        <v>0</v>
      </c>
      <c r="S20" s="486" t="n">
        <f aca="false">IF(-SUM(K21:R21,K20:R20)&gt;K19,0,-K19-SUM(K21:R21,K20:R20))</f>
        <v>0</v>
      </c>
      <c r="T20" s="486" t="n">
        <f aca="false">IF(-SUM(L21:S21,L20:S20)&gt;L19,0,-L19-SUM(L21:S21,L20:S20))</f>
        <v>0</v>
      </c>
      <c r="U20" s="486" t="n">
        <f aca="false">IF(-SUM(M21:T21,M20:T20)&gt;M19,0,-M19-SUM(M21:T21,M20:T20))</f>
        <v>0</v>
      </c>
      <c r="V20" s="486" t="n">
        <f aca="false">IF(-SUM(N21:U21,N20:U20)&gt;N19,0,-N19-SUM(N21:U21,N20:U20))</f>
        <v>0</v>
      </c>
      <c r="W20" s="486" t="n">
        <f aca="false">IF(-SUM(O21:V21,O20:V20)&gt;O19,0,-O19-SUM(O21:V21,O20:V20))</f>
        <v>0</v>
      </c>
      <c r="X20" s="486" t="n">
        <f aca="false">IF(-SUM(P21:W21,P20:W20)&gt;P19,0,-P19-SUM(P21:W21,P20:W20))</f>
        <v>0</v>
      </c>
      <c r="Y20" s="486" t="n">
        <f aca="false">IF(-SUM(Q21:X21,Q20:X20)&gt;Q19,0,-Q19-SUM(Q21:X21,Q20:X20))</f>
        <v>0</v>
      </c>
      <c r="Z20" s="486" t="n">
        <f aca="false">IF(-SUM(R21:Y21,R20:Y20)&gt;R19,0,-R19-SUM(R21:Y21,R20:Y20))</f>
        <v>0</v>
      </c>
      <c r="AA20" s="486" t="n">
        <f aca="false">IF(-SUM(S21:Z21,S20:Z20)&gt;S19,0,-S19-SUM(S21:Z21,S20:Z20))</f>
        <v>0</v>
      </c>
      <c r="AB20" s="486" t="n">
        <f aca="false">IF(-SUM(T21:AA21,T20:AA20)&gt;T19,0,-T19-SUM(T21:AA21,T20:AA20))</f>
        <v>-0</v>
      </c>
      <c r="AC20" s="486" t="n">
        <f aca="false">IF(-SUM(U21:AB21,U20:AB20)&gt;U19,0,-U19-SUM(U21:AB21,U20:AB20))</f>
        <v>-0</v>
      </c>
      <c r="AD20" s="486" t="n">
        <f aca="false">IF(-SUM(V21:AC21,V20:AC20)&gt;V19,0,-V19-SUM(V21:AC21,V20:AC20))</f>
        <v>-0</v>
      </c>
      <c r="AE20" s="486" t="n">
        <f aca="false">IF(-SUM(W21:AD21,W20:AD20)&gt;W19,0,-W19-SUM(W21:AD21,W20:AD20))</f>
        <v>-0</v>
      </c>
      <c r="AF20" s="486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523</v>
      </c>
      <c r="B21" s="355" t="n">
        <f aca="false">IF(B16&lt;0,0,IF(B18&gt;B16,-B16,-B18))</f>
        <v>0</v>
      </c>
      <c r="C21" s="355" t="n">
        <f aca="false">IF(C16&lt;0,0,IF(C18&gt;C16,-C16,-C18))</f>
        <v>0</v>
      </c>
      <c r="D21" s="355" t="n">
        <f aca="false">IF(D16&lt;0,0,IF(D18&gt;D16,-D16,-D18))</f>
        <v>0</v>
      </c>
      <c r="E21" s="355" t="n">
        <f aca="false">IF(E16&lt;0,0,IF(E18&gt;E16,-E16,-E18))</f>
        <v>0</v>
      </c>
      <c r="F21" s="355" t="n">
        <f aca="false">IF(F16&lt;0,0,IF(F18&gt;F16,-F16,-F18))</f>
        <v>0</v>
      </c>
      <c r="G21" s="355" t="n">
        <f aca="false">IF(G16&lt;0,0,IF(G18&gt;G16,-G16,-G18))</f>
        <v>0</v>
      </c>
      <c r="H21" s="355" t="n">
        <f aca="false">IF(H16&lt;0,0,IF(H18&gt;H16,-H16,-H18))</f>
        <v>0</v>
      </c>
      <c r="I21" s="355" t="n">
        <f aca="false">IF(I16&lt;0,0,IF(I18&gt;I16,-I16,-I18))</f>
        <v>0</v>
      </c>
      <c r="J21" s="355" t="n">
        <f aca="false">IF(J16&lt;0,0,IF(J18&gt;J16,-J16,-J18))</f>
        <v>0</v>
      </c>
      <c r="K21" s="355" t="n">
        <f aca="false">IF(K16&lt;0,0,IF(K18&gt;K16,-K16,-K18))</f>
        <v>0</v>
      </c>
      <c r="L21" s="355" t="n">
        <f aca="false">IF(L16&lt;0,0,IF(L18&gt;L16,-L16,-L18))</f>
        <v>0</v>
      </c>
      <c r="M21" s="355" t="n">
        <f aca="false">IF(M16&lt;0,0,IF(M18&gt;M16,-M16,-M18))</f>
        <v>0</v>
      </c>
      <c r="N21" s="355" t="n">
        <f aca="false">IF(N16&lt;0,0,IF(N18&gt;N16,-N16,-N18))</f>
        <v>0</v>
      </c>
      <c r="O21" s="355" t="n">
        <f aca="false">IF(O16&lt;0,0,IF(O18&gt;O16,-O16,-O18))</f>
        <v>-2.54280760411059</v>
      </c>
      <c r="P21" s="355" t="n">
        <f aca="false">IF(P16&lt;0,0,IF(P18&gt;P16,-P16,-P18))</f>
        <v>-18.8952746397166</v>
      </c>
      <c r="Q21" s="355" t="n">
        <f aca="false">IF(Q16&lt;0,0,IF(Q18&gt;Q16,-Q16,-Q18))</f>
        <v>-441.106666233444</v>
      </c>
      <c r="R21" s="355" t="n">
        <f aca="false">IF(R16&lt;0,0,IF(R18&gt;R16,-R16,-R18))</f>
        <v>-864.641839904028</v>
      </c>
      <c r="S21" s="355" t="n">
        <f aca="false">IF(S16&lt;0,0,IF(S18&gt;S16,-S16,-S18))</f>
        <v>-883.595755832056</v>
      </c>
      <c r="T21" s="355" t="n">
        <f aca="false">IF(T16&lt;0,0,IF(T18&gt;T16,-T16,-T18))</f>
        <v>-0</v>
      </c>
      <c r="U21" s="355" t="n">
        <f aca="false">IF(U16&lt;0,0,IF(U18&gt;U16,-U16,-U18))</f>
        <v>-0</v>
      </c>
      <c r="V21" s="355" t="n">
        <f aca="false">IF(V16&lt;0,0,IF(V18&gt;V16,-V16,-V18))</f>
        <v>-0</v>
      </c>
      <c r="W21" s="355" t="n">
        <f aca="false">IF(W16&lt;0,0,IF(W18&gt;W16,-W16,-W18))</f>
        <v>-0</v>
      </c>
      <c r="X21" s="355" t="n">
        <f aca="false">IF(X16&lt;0,0,IF(X18&gt;X16,-X16,-X18))</f>
        <v>-0</v>
      </c>
      <c r="Y21" s="355" t="n">
        <f aca="false">IF(Y16&lt;0,0,IF(Y18&gt;Y16,-Y16,-Y18))</f>
        <v>-0</v>
      </c>
      <c r="Z21" s="355" t="n">
        <f aca="false">IF(Z16&lt;0,0,IF(Z18&gt;Z16,-Z16,-Z18))</f>
        <v>-0</v>
      </c>
      <c r="AA21" s="355" t="n">
        <f aca="false">IF(AA16&lt;0,0,IF(AA18&gt;AA16,-AA16,-AA18))</f>
        <v>-0</v>
      </c>
      <c r="AB21" s="355" t="n">
        <f aca="false">IF(AB16&lt;0,0,IF(AB18&gt;AB16,-AB16,-AB18))</f>
        <v>-0</v>
      </c>
      <c r="AC21" s="355" t="n">
        <f aca="false">IF(AC16&lt;0,0,IF(AC18&gt;AC16,-AC16,-AC18))</f>
        <v>-0</v>
      </c>
      <c r="AD21" s="355" t="n">
        <f aca="false">IF(AD16&lt;0,0,IF(AD18&gt;AD16,-AD16,-AD18))</f>
        <v>-0</v>
      </c>
      <c r="AE21" s="355" t="n">
        <f aca="false">IF(AE16&lt;0,0,IF(AE18&gt;AE16,-AE16,-AE18))</f>
        <v>-0</v>
      </c>
      <c r="AF21" s="355" t="n">
        <f aca="false">IF(AF16&lt;0,0,IF(AF18&gt;AF16,-AF16,-AF18))</f>
        <v>-0</v>
      </c>
    </row>
    <row r="22" customFormat="false" ht="12.75" hidden="false" customHeight="false" outlineLevel="0" collapsed="false">
      <c r="A22" s="31" t="s">
        <v>524</v>
      </c>
      <c r="B22" s="355" t="n">
        <f aca="false">SUM(B18:B21)</f>
        <v>362.214236447629</v>
      </c>
      <c r="C22" s="355" t="n">
        <f aca="false">SUM(C18:C21)</f>
        <v>1152.07220575567</v>
      </c>
      <c r="D22" s="355" t="n">
        <f aca="false">SUM(D18:D21)</f>
        <v>1805.81153192511</v>
      </c>
      <c r="E22" s="355" t="n">
        <f aca="false">SUM(E18:E21)</f>
        <v>2336.67273735827</v>
      </c>
      <c r="F22" s="355" t="n">
        <f aca="false">SUM(F18:F21)</f>
        <v>2755.10431178402</v>
      </c>
      <c r="G22" s="355" t="n">
        <f aca="false">SUM(G18:G21)</f>
        <v>2944.05128953162</v>
      </c>
      <c r="H22" s="355" t="n">
        <f aca="false">SUM(H18:H21)</f>
        <v>3016.82898386902</v>
      </c>
      <c r="I22" s="355" t="n">
        <f aca="false">SUM(I18:I21)</f>
        <v>3082.5753228335</v>
      </c>
      <c r="J22" s="355" t="n">
        <f aca="false">SUM(J18:J21)</f>
        <v>2775.57359792336</v>
      </c>
      <c r="K22" s="355" t="n">
        <f aca="false">SUM(K18:K21)</f>
        <v>2394.55545993877</v>
      </c>
      <c r="L22" s="355" t="n">
        <f aca="false">SUM(L18:L21)</f>
        <v>2428.97625683879</v>
      </c>
      <c r="M22" s="355" t="n">
        <f aca="false">SUM(M18:M21)</f>
        <v>2453.01554822066</v>
      </c>
      <c r="N22" s="355" t="n">
        <f aca="false">SUM(N18:N21)</f>
        <v>2462.92304817367</v>
      </c>
      <c r="O22" s="355" t="n">
        <f aca="false">SUM(O18:O21)</f>
        <v>2460.38024056956</v>
      </c>
      <c r="P22" s="355" t="n">
        <f aca="false">SUM(P18:P21)</f>
        <v>2441.48496592984</v>
      </c>
      <c r="Q22" s="355" t="n">
        <f aca="false">SUM(Q18:Q21)</f>
        <v>2000.3782996964</v>
      </c>
      <c r="R22" s="355" t="n">
        <f aca="false">SUM(R18:R21)</f>
        <v>1135.73645979237</v>
      </c>
      <c r="S22" s="355" t="n">
        <f aca="false">SUM(S18:S21)</f>
        <v>252.140703960311</v>
      </c>
      <c r="T22" s="355" t="n">
        <f aca="false">SUM(T18:T21)</f>
        <v>0</v>
      </c>
      <c r="U22" s="355" t="n">
        <f aca="false">SUM(U18:U21)</f>
        <v>0</v>
      </c>
      <c r="V22" s="355" t="n">
        <f aca="false">SUM(V18:V21)</f>
        <v>0</v>
      </c>
      <c r="W22" s="355" t="n">
        <f aca="false">SUM(W18:W21)</f>
        <v>0</v>
      </c>
      <c r="X22" s="355" t="n">
        <f aca="false">SUM(X18:X21)</f>
        <v>0</v>
      </c>
      <c r="Y22" s="355" t="n">
        <f aca="false">SUM(Y18:Y21)</f>
        <v>0</v>
      </c>
      <c r="Z22" s="355" t="n">
        <f aca="false">SUM(Z18:Z21)</f>
        <v>0</v>
      </c>
      <c r="AA22" s="355" t="n">
        <f aca="false">SUM(AA18:AA21)</f>
        <v>0</v>
      </c>
      <c r="AB22" s="355" t="n">
        <f aca="false">SUM(AB18:AB21)</f>
        <v>0</v>
      </c>
      <c r="AC22" s="355" t="n">
        <f aca="false">SUM(AC18:AC21)</f>
        <v>0</v>
      </c>
      <c r="AD22" s="355" t="n">
        <f aca="false">SUM(AD18:AD21)</f>
        <v>0</v>
      </c>
      <c r="AE22" s="355" t="n">
        <f aca="false">SUM(AE18:AE21)</f>
        <v>0</v>
      </c>
      <c r="AF22" s="355" t="n">
        <f aca="false">SUM(AF18:AF21)</f>
        <v>0</v>
      </c>
    </row>
    <row r="23" customFormat="false" ht="12.75" hidden="false" customHeight="false" outlineLevel="0" collapsed="false">
      <c r="A23" s="31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</row>
    <row r="24" customFormat="false" ht="12.75" hidden="false" customHeight="false" outlineLevel="0" collapsed="false">
      <c r="A24" s="194" t="s">
        <v>525</v>
      </c>
      <c r="B24" s="356" t="n">
        <f aca="false">IF(B13&lt;0,0,B21+B16)</f>
        <v>0</v>
      </c>
      <c r="C24" s="356" t="n">
        <f aca="false">IF(C13&lt;0,0,C21+C16)</f>
        <v>0</v>
      </c>
      <c r="D24" s="356" t="n">
        <f aca="false">IF(D13&lt;0,0,D21+D16)</f>
        <v>0</v>
      </c>
      <c r="E24" s="356" t="n">
        <f aca="false">IF(E13&lt;0,0,E21+E16)</f>
        <v>0</v>
      </c>
      <c r="F24" s="356" t="n">
        <f aca="false">IF(F13&lt;0,0,F21+F16)</f>
        <v>0</v>
      </c>
      <c r="G24" s="356" t="n">
        <f aca="false">IF(G13&lt;0,0,G21+G16)</f>
        <v>0</v>
      </c>
      <c r="H24" s="356" t="n">
        <f aca="false">IF(H13&lt;0,0,H21+H16)</f>
        <v>0</v>
      </c>
      <c r="I24" s="356" t="n">
        <f aca="false">IF(I13&lt;0,0,I21+I16)</f>
        <v>0</v>
      </c>
      <c r="J24" s="356" t="n">
        <f aca="false">IF(J13&lt;0,0,J21+J16)</f>
        <v>0</v>
      </c>
      <c r="K24" s="356" t="n">
        <f aca="false">IF(K13&lt;0,0,K21+K16)</f>
        <v>0</v>
      </c>
      <c r="L24" s="356" t="n">
        <f aca="false">IF(L13&lt;0,0,L21+L16)</f>
        <v>0</v>
      </c>
      <c r="M24" s="356" t="n">
        <f aca="false">IF(M13&lt;0,0,M21+M16)</f>
        <v>0</v>
      </c>
      <c r="N24" s="356" t="n">
        <f aca="false">IF(N13&lt;0,0,N21+N16)</f>
        <v>0</v>
      </c>
      <c r="O24" s="356" t="n">
        <f aca="false">IF(O13&lt;0,0,O21+O16)</f>
        <v>0</v>
      </c>
      <c r="P24" s="356" t="n">
        <f aca="false">IF(P13&lt;0,0,P21+P16)</f>
        <v>0</v>
      </c>
      <c r="Q24" s="356" t="n">
        <f aca="false">IF(Q13&lt;0,0,Q21+Q16)</f>
        <v>0</v>
      </c>
      <c r="R24" s="356" t="n">
        <f aca="false">IF(R13&lt;0,0,R21+R16)</f>
        <v>0</v>
      </c>
      <c r="S24" s="356" t="n">
        <f aca="false">IF(S13&lt;0,0,S21+S16)</f>
        <v>0</v>
      </c>
      <c r="T24" s="356" t="n">
        <f aca="false">IF(T13&lt;0,0,T21+T16)</f>
        <v>904.073173767914</v>
      </c>
      <c r="U24" s="356" t="n">
        <f aca="false">IF(U13&lt;0,0,U21+U16)</f>
        <v>926.184673410005</v>
      </c>
      <c r="V24" s="356" t="n">
        <f aca="false">IF(V13&lt;0,0,V21+V16)</f>
        <v>950.048653726783</v>
      </c>
      <c r="W24" s="356" t="n">
        <f aca="false">IF(W13&lt;0,0,W21+W16)</f>
        <v>975.791881879469</v>
      </c>
      <c r="X24" s="356" t="n">
        <f aca="false">IF(X13&lt;0,0,X21+X16)</f>
        <v>1003.55008060085</v>
      </c>
      <c r="Y24" s="356" t="n">
        <f aca="false">IF(Y13&lt;0,0,Y21+Y16)</f>
        <v>1033.4685567227</v>
      </c>
      <c r="Z24" s="356" t="n">
        <f aca="false">IF(Z13&lt;0,0,Z21+Z16)</f>
        <v>1065.70287373285</v>
      </c>
      <c r="AA24" s="356" t="n">
        <f aca="false">IF(AA13&lt;0,0,AA21+AA16)</f>
        <v>1100.41957144466</v>
      </c>
      <c r="AB24" s="356" t="n">
        <f aca="false">IF(AB13&lt;0,0,AB21+AB16)</f>
        <v>1137.79693607749</v>
      </c>
      <c r="AC24" s="356" t="n">
        <f aca="false">IF(AC13&lt;0,0,AC21+AC16)</f>
        <v>1178.02582427743</v>
      </c>
      <c r="AD24" s="356" t="n">
        <f aca="false">IF(AD13&lt;0,0,AD21+AD16)</f>
        <v>1221.31054485502</v>
      </c>
      <c r="AE24" s="356" t="n">
        <f aca="false">IF(AE13&lt;0,0,AE21+AE16)</f>
        <v>1267.86980228078</v>
      </c>
      <c r="AF24" s="356" t="n">
        <f aca="false">IF(AF13&lt;0,0,AF21+AF16)</f>
        <v>153.799806860515</v>
      </c>
    </row>
    <row r="25" customFormat="false" ht="12.75" hidden="false" customHeight="false" outlineLevel="0" collapsed="false">
      <c r="A25" s="194"/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</row>
    <row r="26" customFormat="false" ht="12.75" hidden="false" customHeight="false" outlineLevel="0" collapsed="false">
      <c r="A26" s="451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</row>
    <row r="27" customFormat="false" ht="12.75" hidden="false" customHeight="false" outlineLevel="0" collapsed="false">
      <c r="A27" s="480" t="s">
        <v>526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</row>
    <row r="28" customFormat="false" ht="12.75" hidden="false" customHeight="false" outlineLevel="0" collapsed="false">
      <c r="A28" s="451" t="s">
        <v>517</v>
      </c>
      <c r="B28" s="188" t="n">
        <f aca="false">B13</f>
        <v>-5174.48909210898</v>
      </c>
      <c r="C28" s="188" t="n">
        <f aca="false">C13</f>
        <v>-11283.6852758291</v>
      </c>
      <c r="D28" s="188" t="n">
        <f aca="false">D13</f>
        <v>-9339.13323099205</v>
      </c>
      <c r="E28" s="188" t="n">
        <f aca="false">E13</f>
        <v>-7583.73150618805</v>
      </c>
      <c r="F28" s="188" t="n">
        <f aca="false">F13</f>
        <v>-5977.5939203678</v>
      </c>
      <c r="G28" s="188" t="n">
        <f aca="false">G13</f>
        <v>-2699.24253925147</v>
      </c>
      <c r="H28" s="188" t="n">
        <f aca="false">H13</f>
        <v>-1039.68134767714</v>
      </c>
      <c r="I28" s="188" t="n">
        <f aca="false">I13</f>
        <v>-939.233413778185</v>
      </c>
      <c r="J28" s="188" t="n">
        <f aca="false">J13</f>
        <v>-788.750164821317</v>
      </c>
      <c r="K28" s="188" t="n">
        <f aca="false">K13</f>
        <v>-666.07992679742</v>
      </c>
      <c r="L28" s="188" t="n">
        <f aca="false">L13</f>
        <v>-491.725670000362</v>
      </c>
      <c r="M28" s="188" t="n">
        <f aca="false">M13</f>
        <v>-343.418448312428</v>
      </c>
      <c r="N28" s="188" t="n">
        <f aca="false">N13</f>
        <v>-141.53571361433</v>
      </c>
      <c r="O28" s="188" t="n">
        <f aca="false">O13</f>
        <v>36.3258229158655</v>
      </c>
      <c r="P28" s="188" t="n">
        <f aca="false">P13</f>
        <v>269.932494853094</v>
      </c>
      <c r="Q28" s="188" t="n">
        <f aca="false">Q13</f>
        <v>6301.52380333492</v>
      </c>
      <c r="R28" s="188" t="n">
        <f aca="false">R13</f>
        <v>12352.0262843433</v>
      </c>
      <c r="S28" s="188" t="n">
        <f aca="false">S13</f>
        <v>12622.7965118865</v>
      </c>
      <c r="T28" s="188" t="n">
        <f aca="false">T13</f>
        <v>12915.3310538273</v>
      </c>
      <c r="U28" s="188" t="n">
        <f aca="false">U13</f>
        <v>13231.2096201429</v>
      </c>
      <c r="V28" s="188" t="n">
        <f aca="false">V13</f>
        <v>13572.1236246683</v>
      </c>
      <c r="W28" s="188" t="n">
        <f aca="false">W13</f>
        <v>13939.8840268496</v>
      </c>
      <c r="X28" s="188" t="n">
        <f aca="false">X13</f>
        <v>14336.4297228693</v>
      </c>
      <c r="Y28" s="188" t="n">
        <f aca="false">Y13</f>
        <v>14763.83652461</v>
      </c>
      <c r="Z28" s="188" t="n">
        <f aca="false">Z13</f>
        <v>15224.3267676121</v>
      </c>
      <c r="AA28" s="188" t="n">
        <f aca="false">AA13</f>
        <v>15720.2795920666</v>
      </c>
      <c r="AB28" s="188" t="n">
        <f aca="false">AB13</f>
        <v>16254.2419439642</v>
      </c>
      <c r="AC28" s="188" t="n">
        <f aca="false">AC13</f>
        <v>16828.9403468204</v>
      </c>
      <c r="AD28" s="188" t="n">
        <f aca="false">AD13</f>
        <v>17447.2934979288</v>
      </c>
      <c r="AE28" s="188" t="n">
        <f aca="false">AE13</f>
        <v>18112.4257468683</v>
      </c>
      <c r="AF28" s="188" t="n">
        <f aca="false">AF13</f>
        <v>2197.14009800735</v>
      </c>
    </row>
    <row r="29" customFormat="false" ht="15" hidden="false" customHeight="false" outlineLevel="0" collapsed="false">
      <c r="A29" s="451" t="s">
        <v>527</v>
      </c>
      <c r="B29" s="355" t="n">
        <f aca="false">-B24</f>
        <v>-0</v>
      </c>
      <c r="C29" s="355" t="n">
        <f aca="false">-C24</f>
        <v>-0</v>
      </c>
      <c r="D29" s="355" t="n">
        <f aca="false">-D24</f>
        <v>-0</v>
      </c>
      <c r="E29" s="355" t="n">
        <f aca="false">-E24</f>
        <v>-0</v>
      </c>
      <c r="F29" s="355" t="n">
        <f aca="false">-F24</f>
        <v>-0</v>
      </c>
      <c r="G29" s="355" t="n">
        <f aca="false">-G24</f>
        <v>-0</v>
      </c>
      <c r="H29" s="355" t="n">
        <f aca="false">-H24</f>
        <v>-0</v>
      </c>
      <c r="I29" s="355" t="n">
        <f aca="false">-I24</f>
        <v>-0</v>
      </c>
      <c r="J29" s="355" t="n">
        <f aca="false">-J24</f>
        <v>-0</v>
      </c>
      <c r="K29" s="355" t="n">
        <f aca="false">-K24</f>
        <v>-0</v>
      </c>
      <c r="L29" s="355" t="n">
        <f aca="false">-L24</f>
        <v>-0</v>
      </c>
      <c r="M29" s="355" t="n">
        <f aca="false">-M24</f>
        <v>-0</v>
      </c>
      <c r="N29" s="355" t="n">
        <f aca="false">-N24</f>
        <v>-0</v>
      </c>
      <c r="O29" s="355" t="n">
        <f aca="false">-O24</f>
        <v>-0</v>
      </c>
      <c r="P29" s="355" t="n">
        <f aca="false">-P24</f>
        <v>-0</v>
      </c>
      <c r="Q29" s="355" t="n">
        <f aca="false">-Q24</f>
        <v>-0</v>
      </c>
      <c r="R29" s="355" t="n">
        <f aca="false">-R24</f>
        <v>-0</v>
      </c>
      <c r="S29" s="355" t="n">
        <f aca="false">-S24</f>
        <v>-0</v>
      </c>
      <c r="T29" s="355" t="n">
        <f aca="false">-T24</f>
        <v>-904.073173767914</v>
      </c>
      <c r="U29" s="355" t="n">
        <f aca="false">-U24</f>
        <v>-926.184673410005</v>
      </c>
      <c r="V29" s="355" t="n">
        <f aca="false">-V24</f>
        <v>-950.048653726783</v>
      </c>
      <c r="W29" s="355" t="n">
        <f aca="false">-W24</f>
        <v>-975.791881879469</v>
      </c>
      <c r="X29" s="355" t="n">
        <f aca="false">-X24</f>
        <v>-1003.55008060085</v>
      </c>
      <c r="Y29" s="355" t="n">
        <f aca="false">-Y24</f>
        <v>-1033.4685567227</v>
      </c>
      <c r="Z29" s="355" t="n">
        <f aca="false">-Z24</f>
        <v>-1065.70287373285</v>
      </c>
      <c r="AA29" s="355" t="n">
        <f aca="false">-AA24</f>
        <v>-1100.41957144466</v>
      </c>
      <c r="AB29" s="355" t="n">
        <f aca="false">-AB24</f>
        <v>-1137.79693607749</v>
      </c>
      <c r="AC29" s="355" t="n">
        <f aca="false">-AC24</f>
        <v>-1178.02582427743</v>
      </c>
      <c r="AD29" s="355" t="n">
        <f aca="false">-AD24</f>
        <v>-1221.31054485502</v>
      </c>
      <c r="AE29" s="355" t="n">
        <f aca="false">-AE24</f>
        <v>-1267.86980228078</v>
      </c>
      <c r="AF29" s="355" t="n">
        <f aca="false">-AF24</f>
        <v>-153.799806860515</v>
      </c>
    </row>
    <row r="30" customFormat="false" ht="12.75" hidden="false" customHeight="false" outlineLevel="0" collapsed="false">
      <c r="A30" s="481" t="s">
        <v>528</v>
      </c>
      <c r="B30" s="356" t="n">
        <f aca="false">SUM(B28:B29)</f>
        <v>-5174.48909210898</v>
      </c>
      <c r="C30" s="356" t="n">
        <f aca="false">SUM(C28:C29)</f>
        <v>-11283.6852758291</v>
      </c>
      <c r="D30" s="356" t="n">
        <f aca="false">SUM(D28:D29)</f>
        <v>-9339.13323099205</v>
      </c>
      <c r="E30" s="356" t="n">
        <f aca="false">SUM(E28:E29)</f>
        <v>-7583.73150618805</v>
      </c>
      <c r="F30" s="356" t="n">
        <f aca="false">SUM(F28:F29)</f>
        <v>-5977.5939203678</v>
      </c>
      <c r="G30" s="356" t="n">
        <f aca="false">SUM(G28:G29)</f>
        <v>-2699.24253925147</v>
      </c>
      <c r="H30" s="356" t="n">
        <f aca="false">SUM(H28:H29)</f>
        <v>-1039.68134767714</v>
      </c>
      <c r="I30" s="356" t="n">
        <f aca="false">SUM(I28:I29)</f>
        <v>-939.233413778185</v>
      </c>
      <c r="J30" s="356" t="n">
        <f aca="false">SUM(J28:J29)</f>
        <v>-788.750164821317</v>
      </c>
      <c r="K30" s="356" t="n">
        <f aca="false">SUM(K28:K29)</f>
        <v>-666.07992679742</v>
      </c>
      <c r="L30" s="356" t="n">
        <f aca="false">SUM(L28:L29)</f>
        <v>-491.725670000362</v>
      </c>
      <c r="M30" s="356" t="n">
        <f aca="false">SUM(M28:M29)</f>
        <v>-343.418448312428</v>
      </c>
      <c r="N30" s="356" t="n">
        <f aca="false">SUM(N28:N29)</f>
        <v>-141.53571361433</v>
      </c>
      <c r="O30" s="356" t="n">
        <f aca="false">SUM(O28:O29)</f>
        <v>36.3258229158655</v>
      </c>
      <c r="P30" s="356" t="n">
        <f aca="false">SUM(P28:P29)</f>
        <v>269.932494853094</v>
      </c>
      <c r="Q30" s="356" t="n">
        <f aca="false">SUM(Q28:Q29)</f>
        <v>6301.52380333492</v>
      </c>
      <c r="R30" s="356" t="n">
        <f aca="false">SUM(R28:R29)</f>
        <v>12352.0262843433</v>
      </c>
      <c r="S30" s="356" t="n">
        <f aca="false">SUM(S28:S29)</f>
        <v>12622.7965118865</v>
      </c>
      <c r="T30" s="356" t="n">
        <f aca="false">SUM(T28:T29)</f>
        <v>12011.2578800594</v>
      </c>
      <c r="U30" s="356" t="n">
        <f aca="false">SUM(U28:U29)</f>
        <v>12305.0249467329</v>
      </c>
      <c r="V30" s="356" t="n">
        <f aca="false">SUM(V28:V29)</f>
        <v>12622.0749709415</v>
      </c>
      <c r="W30" s="356" t="n">
        <f aca="false">SUM(W28:W29)</f>
        <v>12964.0921449701</v>
      </c>
      <c r="X30" s="356" t="n">
        <f aca="false">SUM(X28:X29)</f>
        <v>13332.8796422685</v>
      </c>
      <c r="Y30" s="356" t="n">
        <f aca="false">SUM(Y28:Y29)</f>
        <v>13730.3679678873</v>
      </c>
      <c r="Z30" s="356" t="n">
        <f aca="false">SUM(Z28:Z29)</f>
        <v>14158.6238938792</v>
      </c>
      <c r="AA30" s="356" t="n">
        <f aca="false">SUM(AA28:AA29)</f>
        <v>14619.860020622</v>
      </c>
      <c r="AB30" s="356" t="n">
        <f aca="false">SUM(AB28:AB29)</f>
        <v>15116.4450078867</v>
      </c>
      <c r="AC30" s="356" t="n">
        <f aca="false">SUM(AC28:AC29)</f>
        <v>15650.914522543</v>
      </c>
      <c r="AD30" s="356" t="n">
        <f aca="false">SUM(AD28:AD29)</f>
        <v>16225.9829530738</v>
      </c>
      <c r="AE30" s="356" t="n">
        <f aca="false">SUM(AE28:AE29)</f>
        <v>16844.5559445875</v>
      </c>
      <c r="AF30" s="356" t="n">
        <f aca="false">SUM(AF28:AF29)</f>
        <v>2043.34029114684</v>
      </c>
    </row>
    <row r="31" customFormat="false" ht="12.75" hidden="false" customHeight="false" outlineLevel="0" collapsed="false">
      <c r="A31" s="481"/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</row>
    <row r="32" customFormat="false" ht="12.75" hidden="false" customHeight="false" outlineLevel="0" collapsed="false">
      <c r="A32" s="451" t="s">
        <v>529</v>
      </c>
      <c r="B32" s="487" t="n">
        <f aca="false">Assumptions!$N$50</f>
        <v>0.35</v>
      </c>
      <c r="C32" s="487" t="n">
        <f aca="false">Assumptions!$N$50</f>
        <v>0.35</v>
      </c>
      <c r="D32" s="487" t="n">
        <f aca="false">Assumptions!$N$50</f>
        <v>0.35</v>
      </c>
      <c r="E32" s="487" t="n">
        <f aca="false">Assumptions!$N$50</f>
        <v>0.35</v>
      </c>
      <c r="F32" s="487" t="n">
        <f aca="false">Assumptions!$N$50</f>
        <v>0.35</v>
      </c>
      <c r="G32" s="487" t="n">
        <f aca="false">Assumptions!$N$50</f>
        <v>0.35</v>
      </c>
      <c r="H32" s="487" t="n">
        <f aca="false">Assumptions!$N$50</f>
        <v>0.35</v>
      </c>
      <c r="I32" s="487" t="n">
        <f aca="false">Assumptions!$N$50</f>
        <v>0.35</v>
      </c>
      <c r="J32" s="487" t="n">
        <f aca="false">Assumptions!$N$50</f>
        <v>0.35</v>
      </c>
      <c r="K32" s="487" t="n">
        <f aca="false">Assumptions!$N$50</f>
        <v>0.35</v>
      </c>
      <c r="L32" s="487" t="n">
        <f aca="false">Assumptions!$N$50</f>
        <v>0.35</v>
      </c>
      <c r="M32" s="487" t="n">
        <f aca="false">Assumptions!$N$50</f>
        <v>0.35</v>
      </c>
      <c r="N32" s="487" t="n">
        <f aca="false">Assumptions!$N$50</f>
        <v>0.35</v>
      </c>
      <c r="O32" s="487" t="n">
        <f aca="false">Assumptions!$N$50</f>
        <v>0.35</v>
      </c>
      <c r="P32" s="487" t="n">
        <f aca="false">Assumptions!$N$50</f>
        <v>0.35</v>
      </c>
      <c r="Q32" s="487" t="n">
        <f aca="false">Assumptions!$N$50</f>
        <v>0.35</v>
      </c>
      <c r="R32" s="487" t="n">
        <f aca="false">Assumptions!$N$50</f>
        <v>0.35</v>
      </c>
      <c r="S32" s="487" t="n">
        <f aca="false">Assumptions!$N$50</f>
        <v>0.35</v>
      </c>
      <c r="T32" s="487" t="n">
        <f aca="false">Assumptions!$N$50</f>
        <v>0.35</v>
      </c>
      <c r="U32" s="487" t="n">
        <f aca="false">Assumptions!$N$50</f>
        <v>0.35</v>
      </c>
      <c r="V32" s="487" t="n">
        <f aca="false">Assumptions!$N$50</f>
        <v>0.35</v>
      </c>
      <c r="W32" s="487" t="n">
        <f aca="false">Assumptions!$N$50</f>
        <v>0.35</v>
      </c>
      <c r="X32" s="487" t="n">
        <f aca="false">Assumptions!$N$50</f>
        <v>0.35</v>
      </c>
      <c r="Y32" s="487" t="n">
        <f aca="false">Assumptions!$N$50</f>
        <v>0.35</v>
      </c>
      <c r="Z32" s="487" t="n">
        <f aca="false">Assumptions!$N$50</f>
        <v>0.35</v>
      </c>
      <c r="AA32" s="487" t="n">
        <f aca="false">Assumptions!$N$50</f>
        <v>0.35</v>
      </c>
      <c r="AB32" s="487" t="n">
        <f aca="false">Assumptions!$N$50</f>
        <v>0.35</v>
      </c>
      <c r="AC32" s="487" t="n">
        <f aca="false">Assumptions!$N$50</f>
        <v>0.35</v>
      </c>
      <c r="AD32" s="487" t="n">
        <f aca="false">Assumptions!$N$50</f>
        <v>0.35</v>
      </c>
      <c r="AE32" s="487" t="n">
        <f aca="false">Assumptions!$N$50</f>
        <v>0.35</v>
      </c>
      <c r="AF32" s="487" t="n">
        <f aca="false">Assumptions!$N$50</f>
        <v>0.35</v>
      </c>
    </row>
    <row r="33" customFormat="false" ht="12.75" hidden="false" customHeight="false" outlineLevel="0" collapsed="false">
      <c r="A33" s="451" t="s">
        <v>530</v>
      </c>
      <c r="B33" s="188" t="n">
        <f aca="false">B30*B32</f>
        <v>-1811.07118223814</v>
      </c>
      <c r="C33" s="188" t="n">
        <f aca="false">C30*C32</f>
        <v>-3949.28984654019</v>
      </c>
      <c r="D33" s="188" t="n">
        <f aca="false">D30*D32</f>
        <v>-3268.69663084722</v>
      </c>
      <c r="E33" s="188" t="n">
        <f aca="false">E30*E32</f>
        <v>-2654.30602716582</v>
      </c>
      <c r="F33" s="188" t="n">
        <f aca="false">F30*F32</f>
        <v>-2092.15787212873</v>
      </c>
      <c r="G33" s="188" t="n">
        <f aca="false">G30*G32</f>
        <v>-944.734888738013</v>
      </c>
      <c r="H33" s="188" t="n">
        <f aca="false">H30*H32</f>
        <v>-363.888471686999</v>
      </c>
      <c r="I33" s="188" t="n">
        <f aca="false">I30*I32</f>
        <v>-328.731694822365</v>
      </c>
      <c r="J33" s="188" t="n">
        <f aca="false">J30*J32</f>
        <v>-276.062557687461</v>
      </c>
      <c r="K33" s="188" t="n">
        <f aca="false">K30*K32</f>
        <v>-233.127974379097</v>
      </c>
      <c r="L33" s="188" t="n">
        <f aca="false">L30*L32</f>
        <v>-172.103984500127</v>
      </c>
      <c r="M33" s="188" t="n">
        <f aca="false">M30*M32</f>
        <v>-120.19645690935</v>
      </c>
      <c r="N33" s="188" t="n">
        <f aca="false">N30*N32</f>
        <v>-49.5374997650156</v>
      </c>
      <c r="O33" s="188" t="n">
        <f aca="false">O30*O32</f>
        <v>12.7140380205529</v>
      </c>
      <c r="P33" s="188" t="n">
        <f aca="false">P30*P32</f>
        <v>94.4763731985829</v>
      </c>
      <c r="Q33" s="188" t="n">
        <f aca="false">Q30*Q32</f>
        <v>2205.53333116722</v>
      </c>
      <c r="R33" s="188" t="n">
        <f aca="false">R30*R32</f>
        <v>4323.20919952014</v>
      </c>
      <c r="S33" s="188" t="n">
        <f aca="false">S30*S32</f>
        <v>4417.97877916028</v>
      </c>
      <c r="T33" s="188" t="n">
        <f aca="false">T30*T32</f>
        <v>4203.9402580208</v>
      </c>
      <c r="U33" s="188" t="n">
        <f aca="false">U30*U32</f>
        <v>4306.75873135653</v>
      </c>
      <c r="V33" s="188" t="n">
        <f aca="false">V30*V32</f>
        <v>4417.72623982954</v>
      </c>
      <c r="W33" s="188" t="n">
        <f aca="false">W30*W32</f>
        <v>4537.43225073953</v>
      </c>
      <c r="X33" s="188" t="n">
        <f aca="false">X30*X32</f>
        <v>4666.50787479396</v>
      </c>
      <c r="Y33" s="188" t="n">
        <f aca="false">Y30*Y32</f>
        <v>4805.62878876055</v>
      </c>
      <c r="Z33" s="188" t="n">
        <f aca="false">Z30*Z32</f>
        <v>4955.51836285773</v>
      </c>
      <c r="AA33" s="188" t="n">
        <f aca="false">AA30*AA32</f>
        <v>5116.95100721769</v>
      </c>
      <c r="AB33" s="188" t="n">
        <f aca="false">AB30*AB32</f>
        <v>5290.75575276034</v>
      </c>
      <c r="AC33" s="188" t="n">
        <f aca="false">AC30*AC32</f>
        <v>5477.82008289004</v>
      </c>
      <c r="AD33" s="188" t="n">
        <f aca="false">AD30*AD32</f>
        <v>5679.09403357584</v>
      </c>
      <c r="AE33" s="188" t="n">
        <f aca="false">AE30*AE32</f>
        <v>5895.59458060562</v>
      </c>
      <c r="AF33" s="188" t="n">
        <f aca="false">AF30*AF32</f>
        <v>715.169101901393</v>
      </c>
    </row>
    <row r="34" customFormat="false" ht="12.75" hidden="false" customHeight="false" outlineLevel="0" collapsed="false">
      <c r="A34" s="31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customFormat="false" ht="12.75" hidden="false" customHeight="false" outlineLevel="0" collapsed="false">
      <c r="A35" s="451" t="s">
        <v>520</v>
      </c>
      <c r="B35" s="188" t="n">
        <v>0</v>
      </c>
      <c r="C35" s="188" t="n">
        <f aca="false">B39</f>
        <v>1811.07118223814</v>
      </c>
      <c r="D35" s="188" t="n">
        <f aca="false">C39</f>
        <v>5760.36102877833</v>
      </c>
      <c r="E35" s="188" t="n">
        <f aca="false">D39</f>
        <v>9029.05765962555</v>
      </c>
      <c r="F35" s="188" t="n">
        <f aca="false">E39</f>
        <v>11683.3636867914</v>
      </c>
      <c r="G35" s="188" t="n">
        <f aca="false">F39</f>
        <v>13775.5215589201</v>
      </c>
      <c r="H35" s="188" t="n">
        <f aca="false">G39</f>
        <v>14720.2564476581</v>
      </c>
      <c r="I35" s="188" t="n">
        <f aca="false">H39</f>
        <v>15084.1449193451</v>
      </c>
      <c r="J35" s="188" t="n">
        <f aca="false">I39</f>
        <v>15412.8766141675</v>
      </c>
      <c r="K35" s="188" t="n">
        <f aca="false">J39</f>
        <v>15688.9391718549</v>
      </c>
      <c r="L35" s="188" t="n">
        <f aca="false">K39</f>
        <v>15922.067146234</v>
      </c>
      <c r="M35" s="188" t="n">
        <f aca="false">L39</f>
        <v>16094.1711307342</v>
      </c>
      <c r="N35" s="188" t="n">
        <f aca="false">M39</f>
        <v>16214.3675876435</v>
      </c>
      <c r="O35" s="188" t="n">
        <f aca="false">N39</f>
        <v>16263.9050874085</v>
      </c>
      <c r="P35" s="188" t="n">
        <f aca="false">O39</f>
        <v>16251.191049388</v>
      </c>
      <c r="Q35" s="188" t="n">
        <f aca="false">P39</f>
        <v>16156.7146761894</v>
      </c>
      <c r="R35" s="188" t="n">
        <f aca="false">Q39</f>
        <v>12247.3005740032</v>
      </c>
      <c r="S35" s="188" t="n">
        <f aca="false">R39</f>
        <v>7924.09137448302</v>
      </c>
      <c r="T35" s="188" t="n">
        <v>0</v>
      </c>
      <c r="U35" s="188" t="n">
        <f aca="false">T39</f>
        <v>0</v>
      </c>
      <c r="V35" s="188" t="n">
        <f aca="false">U39</f>
        <v>0</v>
      </c>
      <c r="W35" s="188" t="n">
        <f aca="false">V39</f>
        <v>0</v>
      </c>
      <c r="X35" s="188" t="n">
        <f aca="false">W39</f>
        <v>0</v>
      </c>
      <c r="Y35" s="188" t="n">
        <f aca="false">X39</f>
        <v>0</v>
      </c>
      <c r="Z35" s="188" t="n">
        <f aca="false">Y39</f>
        <v>0</v>
      </c>
      <c r="AA35" s="188" t="n">
        <f aca="false">Z39</f>
        <v>0</v>
      </c>
      <c r="AB35" s="188" t="n">
        <f aca="false">AA39</f>
        <v>0</v>
      </c>
      <c r="AC35" s="188" t="n">
        <f aca="false">AB39</f>
        <v>0</v>
      </c>
      <c r="AD35" s="188" t="n">
        <f aca="false">AC39</f>
        <v>0</v>
      </c>
      <c r="AE35" s="188" t="n">
        <f aca="false">AD39</f>
        <v>0</v>
      </c>
      <c r="AF35" s="188" t="n">
        <f aca="false">AE39</f>
        <v>0</v>
      </c>
    </row>
    <row r="36" customFormat="false" ht="12.75" hidden="false" customHeight="false" outlineLevel="0" collapsed="false">
      <c r="A36" s="451" t="s">
        <v>521</v>
      </c>
      <c r="B36" s="188" t="n">
        <f aca="false">IF(B33&lt;0,-B33,0)</f>
        <v>1811.07118223814</v>
      </c>
      <c r="C36" s="188" t="n">
        <f aca="false">IF(C33&lt;0,-C33,0)</f>
        <v>3949.28984654019</v>
      </c>
      <c r="D36" s="188" t="n">
        <f aca="false">IF(D33&lt;0,-D33,0)</f>
        <v>3268.69663084722</v>
      </c>
      <c r="E36" s="188" t="n">
        <f aca="false">IF(E33&lt;0,-E33,0)</f>
        <v>2654.30602716582</v>
      </c>
      <c r="F36" s="188" t="n">
        <f aca="false">IF(F33&lt;0,-F33,0)</f>
        <v>2092.15787212873</v>
      </c>
      <c r="G36" s="188" t="n">
        <f aca="false">IF(G33&lt;0,-G33,0)</f>
        <v>944.734888738013</v>
      </c>
      <c r="H36" s="188" t="n">
        <f aca="false">IF(H33&lt;0,-H33,0)</f>
        <v>363.888471686999</v>
      </c>
      <c r="I36" s="188" t="n">
        <f aca="false">IF(I33&lt;0,-I33,0)</f>
        <v>328.731694822365</v>
      </c>
      <c r="J36" s="188" t="n">
        <f aca="false">IF(J33&lt;0,-J33,0)</f>
        <v>276.062557687461</v>
      </c>
      <c r="K36" s="188" t="n">
        <f aca="false">IF(K33&lt;0,-K33,0)</f>
        <v>233.127974379097</v>
      </c>
      <c r="L36" s="188" t="n">
        <f aca="false">IF(L33&lt;0,-L33,0)</f>
        <v>172.103984500127</v>
      </c>
      <c r="M36" s="188" t="n">
        <f aca="false">IF(M33&lt;0,-M33,0)</f>
        <v>120.19645690935</v>
      </c>
      <c r="N36" s="188" t="n">
        <f aca="false">IF(N33&lt;0,-N33,0)</f>
        <v>49.5374997650156</v>
      </c>
      <c r="O36" s="188" t="n">
        <f aca="false">IF(O33&lt;0,-O33,0)</f>
        <v>0</v>
      </c>
      <c r="P36" s="188" t="n">
        <f aca="false">IF(P33&lt;0,-P33,0)</f>
        <v>0</v>
      </c>
      <c r="Q36" s="188" t="n">
        <f aca="false">IF(Q33&lt;0,-Q33,0)</f>
        <v>0</v>
      </c>
      <c r="R36" s="188" t="n">
        <f aca="false">IF(R33&lt;0,-R33,0)</f>
        <v>0</v>
      </c>
      <c r="S36" s="188" t="n">
        <f aca="false">IF(S33&lt;0,-S33,0)</f>
        <v>0</v>
      </c>
      <c r="T36" s="188" t="n">
        <f aca="false">IF(T33&lt;0,-T33,0)</f>
        <v>0</v>
      </c>
      <c r="U36" s="188" t="n">
        <f aca="false">IF(U33&lt;0,-U33,0)</f>
        <v>0</v>
      </c>
      <c r="V36" s="188" t="n">
        <f aca="false">IF(V33&lt;0,-V33,0)</f>
        <v>0</v>
      </c>
      <c r="W36" s="188" t="n">
        <f aca="false">IF(W33&lt;0,-W33,0)</f>
        <v>0</v>
      </c>
      <c r="X36" s="188" t="n">
        <f aca="false">IF(X33&lt;0,-X33,0)</f>
        <v>0</v>
      </c>
      <c r="Y36" s="188" t="n">
        <f aca="false">IF(Y33&lt;0,-Y33,0)</f>
        <v>0</v>
      </c>
      <c r="Z36" s="188" t="n">
        <f aca="false">IF(Z33&lt;0,-Z33,0)</f>
        <v>0</v>
      </c>
      <c r="AA36" s="188" t="n">
        <f aca="false">IF(AA33&lt;0,-AA33,0)</f>
        <v>0</v>
      </c>
      <c r="AB36" s="188" t="n">
        <f aca="false">IF(AB33&lt;0,-AB33,0)</f>
        <v>0</v>
      </c>
      <c r="AC36" s="188" t="n">
        <f aca="false">IF(AC33&lt;0,-AC33,0)</f>
        <v>0</v>
      </c>
      <c r="AD36" s="188" t="n">
        <f aca="false">IF(AD33&lt;0,-AD33,0)</f>
        <v>0</v>
      </c>
      <c r="AE36" s="188" t="n">
        <f aca="false">IF(AE33&lt;0,-AE33,0)</f>
        <v>0</v>
      </c>
      <c r="AF36" s="188" t="n">
        <f aca="false">IF(AF33&lt;0,-AF33,0)</f>
        <v>0</v>
      </c>
    </row>
    <row r="37" customFormat="false" ht="12.75" hidden="false" customHeight="false" outlineLevel="0" collapsed="false">
      <c r="A37" s="31" t="s">
        <v>522</v>
      </c>
      <c r="B37" s="483" t="n">
        <v>0</v>
      </c>
      <c r="C37" s="484" t="n">
        <v>0</v>
      </c>
      <c r="D37" s="484" t="n">
        <v>0</v>
      </c>
      <c r="E37" s="484" t="n">
        <v>0</v>
      </c>
      <c r="F37" s="484" t="n">
        <v>0</v>
      </c>
      <c r="G37" s="484" t="n">
        <v>0</v>
      </c>
      <c r="H37" s="484" t="n">
        <v>0</v>
      </c>
      <c r="I37" s="484" t="n">
        <v>0</v>
      </c>
      <c r="J37" s="484" t="n">
        <v>0</v>
      </c>
      <c r="K37" s="484" t="n">
        <v>0</v>
      </c>
      <c r="L37" s="484" t="n">
        <v>0</v>
      </c>
      <c r="M37" s="484" t="n">
        <v>0</v>
      </c>
      <c r="N37" s="484" t="n">
        <v>0</v>
      </c>
      <c r="O37" s="484" t="n">
        <v>0</v>
      </c>
      <c r="P37" s="485" t="n">
        <v>0</v>
      </c>
      <c r="Q37" s="486" t="n">
        <f aca="false">IF(-SUM(B38:P38,B37:P37)&gt;B36,0,-B36-SUM(B38:P38,B37:P37))</f>
        <v>-1703.88077101901</v>
      </c>
      <c r="R37" s="486" t="n">
        <f aca="false">IF(-SUM(C38:Q38,C37:Q37)&gt;C36,0,-C36-SUM(C38:Q38,C37:Q37))</f>
        <v>0</v>
      </c>
      <c r="S37" s="486" t="n">
        <f aca="false">IF(-SUM(D38:R38,D37:R37)&gt;D36,0,-D36-SUM(D38:R38,D37:R37))</f>
        <v>0</v>
      </c>
      <c r="T37" s="486" t="n">
        <f aca="false">IF(-SUM(E38:S38,E37:S37)&gt;E36,0,-E36-SUM(E38:S38,E37:S37))</f>
        <v>0</v>
      </c>
      <c r="U37" s="486" t="n">
        <f aca="false">IF(-SUM(F38:T38,F37:T37)&gt;F36,0,-F36-SUM(F38:T38,F37:T37))</f>
        <v>0</v>
      </c>
      <c r="V37" s="486" t="n">
        <f aca="false">IF(-SUM(G38:U38,G37:U37)&gt;G36,0,-G36-SUM(G38:U38,G37:U37))</f>
        <v>0</v>
      </c>
      <c r="W37" s="486" t="n">
        <f aca="false">IF(-SUM(H38:V38,H37:V37)&gt;H36,0,-H36-SUM(H38:V38,H37:V37))</f>
        <v>0</v>
      </c>
      <c r="X37" s="486" t="n">
        <f aca="false">IF(-SUM(I38:W38,I37:W37)&gt;I36,0,-I36-SUM(I38:W38,I37:W37))</f>
        <v>0</v>
      </c>
      <c r="Y37" s="486" t="n">
        <f aca="false">IF(-SUM(J38:X38,J37:X37)&gt;J36,0,-J36-SUM(J38:X38,J37:X37))</f>
        <v>0</v>
      </c>
      <c r="Z37" s="486" t="n">
        <f aca="false">IF(-SUM(K38:Y38,K37:Y37)&gt;K36,0,-K36-SUM(K38:Y38,K37:Y37))</f>
        <v>0</v>
      </c>
      <c r="AA37" s="486" t="n">
        <f aca="false">IF(-SUM(L38:Z38,L37:Z37)&gt;L36,0,-L36-SUM(L38:Z38,L37:Z37))</f>
        <v>0</v>
      </c>
      <c r="AB37" s="486" t="n">
        <f aca="false">IF(-SUM(M38:AA38,M37:AA37)&gt;M36,0,-M36-SUM(M38:AA38,M37:AA37))</f>
        <v>0</v>
      </c>
      <c r="AC37" s="486" t="n">
        <f aca="false">IF(-SUM(N38:AB38,N37:AB37)&gt;N36,0,-N36-SUM(N38:AB38,N37:AB37))</f>
        <v>0</v>
      </c>
      <c r="AD37" s="486" t="n">
        <f aca="false">IF(-SUM(O38:AC38,O37:AC37)&gt;O36,0,-O36-SUM(O38:AC38,O37:AC37))</f>
        <v>0</v>
      </c>
      <c r="AE37" s="486" t="n">
        <f aca="false">IF(-SUM(P38:AD38,P37:AD37)&gt;P36,0,-P36-SUM(P38:AD38,P37:AD37))</f>
        <v>0</v>
      </c>
      <c r="AF37" s="486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531</v>
      </c>
      <c r="B38" s="355" t="n">
        <f aca="false">IF(B33&lt;0,0,IF(B35&gt;B33,-B33,-B35))</f>
        <v>0</v>
      </c>
      <c r="C38" s="355" t="n">
        <f aca="false">IF(C33&lt;0,0,IF(C35&gt;C33,-C33,-C35))</f>
        <v>0</v>
      </c>
      <c r="D38" s="355" t="n">
        <f aca="false">IF(D33&lt;0,0,IF(D35&gt;D33,-D33,-D35))</f>
        <v>0</v>
      </c>
      <c r="E38" s="355" t="n">
        <f aca="false">IF(E33&lt;0,0,IF(E35&gt;E33,-E33,-E35))</f>
        <v>0</v>
      </c>
      <c r="F38" s="355" t="n">
        <f aca="false">IF(F33&lt;0,0,IF(F35&gt;F33,-F33,-F35))</f>
        <v>0</v>
      </c>
      <c r="G38" s="355" t="n">
        <f aca="false">IF(G33&lt;0,0,IF(G35&gt;G33,-G33,-G35))</f>
        <v>0</v>
      </c>
      <c r="H38" s="355" t="n">
        <f aca="false">IF(H33&lt;0,0,IF(H35&gt;H33,-H33,-H35))</f>
        <v>0</v>
      </c>
      <c r="I38" s="355" t="n">
        <f aca="false">IF(I33&lt;0,0,IF(I35&gt;I33,-I33,-I35))</f>
        <v>0</v>
      </c>
      <c r="J38" s="355" t="n">
        <f aca="false">IF(J33&lt;0,0,IF(J35&gt;J33,-J33,-J35))</f>
        <v>0</v>
      </c>
      <c r="K38" s="355" t="n">
        <f aca="false">IF(K33&lt;0,0,IF(K35&gt;K33,-K33,-K35))</f>
        <v>0</v>
      </c>
      <c r="L38" s="355" t="n">
        <f aca="false">IF(L33&lt;0,0,IF(L35&gt;L33,-L33,-L35))</f>
        <v>0</v>
      </c>
      <c r="M38" s="355" t="n">
        <f aca="false">IF(M33&lt;0,0,IF(M35&gt;M33,-M33,-M35))</f>
        <v>0</v>
      </c>
      <c r="N38" s="355" t="n">
        <f aca="false">IF(N33&lt;0,0,IF(N35&gt;N33,-N33,-N35))</f>
        <v>0</v>
      </c>
      <c r="O38" s="355" t="n">
        <f aca="false">IF(O33&lt;0,0,IF(O35&gt;O33,-O33,-O35))</f>
        <v>-12.7140380205529</v>
      </c>
      <c r="P38" s="355" t="n">
        <f aca="false">IF(P33&lt;0,0,IF(P35&gt;P33,-P33,-P35))</f>
        <v>-94.4763731985829</v>
      </c>
      <c r="Q38" s="355" t="n">
        <f aca="false">IF(Q33&lt;0,0,IF(Q35&gt;Q33,-Q33,-Q35))</f>
        <v>-2205.53333116722</v>
      </c>
      <c r="R38" s="355" t="n">
        <f aca="false">IF(R33&lt;0,0,IF(R35&gt;R33,-R33,-R35))</f>
        <v>-4323.20919952014</v>
      </c>
      <c r="S38" s="355" t="n">
        <f aca="false">IF(S33&lt;0,0,IF(S35&gt;S33,-S33,-S35))</f>
        <v>-4417.97877916028</v>
      </c>
      <c r="T38" s="355" t="n">
        <f aca="false">IF(T33&lt;0,0,IF(T35&gt;T33,-T33,-T35))</f>
        <v>-0</v>
      </c>
      <c r="U38" s="355" t="n">
        <f aca="false">IF(U33&lt;0,0,IF(U35&gt;U33,-U33,-U35))</f>
        <v>-0</v>
      </c>
      <c r="V38" s="355" t="n">
        <f aca="false">IF(V33&lt;0,0,IF(V35&gt;V33,-V33,-V35))</f>
        <v>-0</v>
      </c>
      <c r="W38" s="355" t="n">
        <f aca="false">IF(W33&lt;0,0,IF(W35&gt;W33,-W33,-W35))</f>
        <v>-0</v>
      </c>
      <c r="X38" s="355" t="n">
        <f aca="false">IF(X33&lt;0,0,IF(X35&gt;X33,-X33,-X35))</f>
        <v>-0</v>
      </c>
      <c r="Y38" s="355" t="n">
        <f aca="false">IF(Y33&lt;0,0,IF(Y35&gt;Y33,-Y33,-Y35))</f>
        <v>-0</v>
      </c>
      <c r="Z38" s="355" t="n">
        <f aca="false">IF(Z33&lt;0,0,IF(Z35&gt;Z33,-Z33,-Z35))</f>
        <v>-0</v>
      </c>
      <c r="AA38" s="355" t="n">
        <f aca="false">IF(AA33&lt;0,0,IF(AA35&gt;AA33,-AA33,-AA35))</f>
        <v>-0</v>
      </c>
      <c r="AB38" s="355" t="n">
        <f aca="false">IF(AB33&lt;0,0,IF(AB35&gt;AB33,-AB33,-AB35))</f>
        <v>-0</v>
      </c>
      <c r="AC38" s="355" t="n">
        <f aca="false">IF(AC33&lt;0,0,IF(AC35&gt;AC33,-AC33,-AC35))</f>
        <v>-0</v>
      </c>
      <c r="AD38" s="355" t="n">
        <f aca="false">IF(AD33&lt;0,0,IF(AD35&gt;AD33,-AD33,-AD35))</f>
        <v>-0</v>
      </c>
      <c r="AE38" s="355" t="n">
        <f aca="false">IF(AE33&lt;0,0,IF(AE35&gt;AE33,-AE33,-AE35))</f>
        <v>-0</v>
      </c>
      <c r="AF38" s="355" t="n">
        <f aca="false">IF(AF33&lt;0,0,IF(AF35&gt;AF33,-AF33,-AF35))</f>
        <v>-0</v>
      </c>
    </row>
    <row r="39" customFormat="false" ht="12.75" hidden="false" customHeight="false" outlineLevel="0" collapsed="false">
      <c r="A39" s="31" t="s">
        <v>524</v>
      </c>
      <c r="B39" s="355" t="n">
        <f aca="false">SUM(B35:B38)</f>
        <v>1811.07118223814</v>
      </c>
      <c r="C39" s="355" t="n">
        <f aca="false">SUM(C35:C38)</f>
        <v>5760.36102877833</v>
      </c>
      <c r="D39" s="355" t="n">
        <f aca="false">SUM(D35:D38)</f>
        <v>9029.05765962555</v>
      </c>
      <c r="E39" s="355" t="n">
        <f aca="false">SUM(E35:E38)</f>
        <v>11683.3636867914</v>
      </c>
      <c r="F39" s="355" t="n">
        <f aca="false">SUM(F35:F38)</f>
        <v>13775.5215589201</v>
      </c>
      <c r="G39" s="355" t="n">
        <f aca="false">SUM(G35:G38)</f>
        <v>14720.2564476581</v>
      </c>
      <c r="H39" s="355" t="n">
        <f aca="false">SUM(H35:H38)</f>
        <v>15084.1449193451</v>
      </c>
      <c r="I39" s="355" t="n">
        <f aca="false">SUM(I35:I38)</f>
        <v>15412.8766141675</v>
      </c>
      <c r="J39" s="355" t="n">
        <f aca="false">SUM(J35:J38)</f>
        <v>15688.9391718549</v>
      </c>
      <c r="K39" s="355" t="n">
        <f aca="false">SUM(K35:K38)</f>
        <v>15922.067146234</v>
      </c>
      <c r="L39" s="355" t="n">
        <f aca="false">SUM(L35:L38)</f>
        <v>16094.1711307342</v>
      </c>
      <c r="M39" s="355" t="n">
        <f aca="false">SUM(M35:M38)</f>
        <v>16214.3675876435</v>
      </c>
      <c r="N39" s="355" t="n">
        <f aca="false">SUM(N35:N38)</f>
        <v>16263.9050874085</v>
      </c>
      <c r="O39" s="355" t="n">
        <f aca="false">SUM(O35:O38)</f>
        <v>16251.191049388</v>
      </c>
      <c r="P39" s="355" t="n">
        <f aca="false">SUM(P35:P38)</f>
        <v>16156.7146761894</v>
      </c>
      <c r="Q39" s="355" t="n">
        <f aca="false">SUM(Q35:Q38)</f>
        <v>12247.3005740032</v>
      </c>
      <c r="R39" s="355" t="n">
        <f aca="false">SUM(R35:R38)</f>
        <v>7924.09137448302</v>
      </c>
      <c r="S39" s="355" t="n">
        <f aca="false">SUM(S35:S38)</f>
        <v>3506.11259532274</v>
      </c>
      <c r="T39" s="355" t="n">
        <f aca="false">SUM(T35:T38)</f>
        <v>0</v>
      </c>
      <c r="U39" s="355" t="n">
        <f aca="false">SUM(U35:U38)</f>
        <v>0</v>
      </c>
      <c r="V39" s="355" t="n">
        <f aca="false">SUM(V35:V38)</f>
        <v>0</v>
      </c>
      <c r="W39" s="355" t="n">
        <f aca="false">SUM(W35:W38)</f>
        <v>0</v>
      </c>
      <c r="X39" s="355" t="n">
        <f aca="false">SUM(X35:X38)</f>
        <v>0</v>
      </c>
      <c r="Y39" s="355" t="n">
        <f aca="false">SUM(Y35:Y38)</f>
        <v>0</v>
      </c>
      <c r="Z39" s="355" t="n">
        <f aca="false">SUM(Z35:Z38)</f>
        <v>0</v>
      </c>
      <c r="AA39" s="355" t="n">
        <f aca="false">SUM(AA35:AA38)</f>
        <v>0</v>
      </c>
      <c r="AB39" s="355" t="n">
        <f aca="false">SUM(AB35:AB38)</f>
        <v>0</v>
      </c>
      <c r="AC39" s="355" t="n">
        <f aca="false">SUM(AC35:AC38)</f>
        <v>0</v>
      </c>
      <c r="AD39" s="355" t="n">
        <f aca="false">SUM(AD35:AD38)</f>
        <v>0</v>
      </c>
      <c r="AE39" s="355" t="n">
        <f aca="false">SUM(AE35:AE38)</f>
        <v>0</v>
      </c>
      <c r="AF39" s="355" t="n">
        <f aca="false">SUM(AF35:AF38)</f>
        <v>0</v>
      </c>
    </row>
    <row r="40" customFormat="false" ht="12.75" hidden="false" customHeight="false" outlineLevel="0" collapsed="false">
      <c r="A40" s="31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</row>
    <row r="41" customFormat="false" ht="12.75" hidden="false" customHeight="false" outlineLevel="0" collapsed="false">
      <c r="A41" s="194" t="s">
        <v>525</v>
      </c>
      <c r="B41" s="356" t="n">
        <f aca="false">IF(B30&lt;0,0,B38+B33)</f>
        <v>0</v>
      </c>
      <c r="C41" s="356" t="n">
        <f aca="false">IF(C30&lt;0,0,C38+C33)</f>
        <v>0</v>
      </c>
      <c r="D41" s="356" t="n">
        <f aca="false">IF(D30&lt;0,0,D38+D33)</f>
        <v>0</v>
      </c>
      <c r="E41" s="356" t="n">
        <f aca="false">IF(E30&lt;0,0,E38+E33)</f>
        <v>0</v>
      </c>
      <c r="F41" s="356" t="n">
        <f aca="false">IF(F30&lt;0,0,F38+F33)</f>
        <v>0</v>
      </c>
      <c r="G41" s="356" t="n">
        <f aca="false">IF(G30&lt;0,0,G38+G33)</f>
        <v>0</v>
      </c>
      <c r="H41" s="356" t="n">
        <f aca="false">IF(H30&lt;0,0,H38+H33)</f>
        <v>0</v>
      </c>
      <c r="I41" s="356" t="n">
        <f aca="false">IF(I30&lt;0,0,I38+I33)</f>
        <v>0</v>
      </c>
      <c r="J41" s="356" t="n">
        <f aca="false">IF(J30&lt;0,0,J38+J33)</f>
        <v>0</v>
      </c>
      <c r="K41" s="356" t="n">
        <f aca="false">IF(K30&lt;0,0,K38+K33)</f>
        <v>0</v>
      </c>
      <c r="L41" s="356" t="n">
        <f aca="false">IF(L30&lt;0,0,L38+L33)</f>
        <v>0</v>
      </c>
      <c r="M41" s="356" t="n">
        <f aca="false">IF(M30&lt;0,0,M38+M33)</f>
        <v>0</v>
      </c>
      <c r="N41" s="356" t="n">
        <f aca="false">IF(N30&lt;0,0,N38+N33)</f>
        <v>0</v>
      </c>
      <c r="O41" s="356" t="n">
        <f aca="false">IF(O30&lt;0,0,O38+O33)</f>
        <v>0</v>
      </c>
      <c r="P41" s="356" t="n">
        <f aca="false">IF(P30&lt;0,0,P38+P33)</f>
        <v>0</v>
      </c>
      <c r="Q41" s="356" t="n">
        <f aca="false">IF(Q30&lt;0,0,Q38+Q33)</f>
        <v>0</v>
      </c>
      <c r="R41" s="356" t="n">
        <f aca="false">IF(R30&lt;0,0,R38+R33)</f>
        <v>0</v>
      </c>
      <c r="S41" s="356" t="n">
        <f aca="false">IF(S30&lt;0,0,S38+S33)</f>
        <v>0</v>
      </c>
      <c r="T41" s="356" t="n">
        <f aca="false">IF(T30&lt;0,0,T38+T33)</f>
        <v>4203.9402580208</v>
      </c>
      <c r="U41" s="356" t="n">
        <f aca="false">IF(U30&lt;0,0,U38+U33)</f>
        <v>4306.75873135653</v>
      </c>
      <c r="V41" s="356" t="n">
        <f aca="false">IF(V30&lt;0,0,V38+V33)</f>
        <v>4417.72623982954</v>
      </c>
      <c r="W41" s="356" t="n">
        <f aca="false">IF(W30&lt;0,0,W38+W33)</f>
        <v>4537.43225073953</v>
      </c>
      <c r="X41" s="356" t="n">
        <f aca="false">IF(X30&lt;0,0,X38+X33)</f>
        <v>4666.50787479396</v>
      </c>
      <c r="Y41" s="356" t="n">
        <f aca="false">IF(Y30&lt;0,0,Y38+Y33)</f>
        <v>4805.62878876055</v>
      </c>
      <c r="Z41" s="356" t="n">
        <f aca="false">IF(Z30&lt;0,0,Z38+Z33)</f>
        <v>4955.51836285773</v>
      </c>
      <c r="AA41" s="356" t="n">
        <f aca="false">IF(AA30&lt;0,0,AA38+AA33)</f>
        <v>5116.95100721769</v>
      </c>
      <c r="AB41" s="356" t="n">
        <f aca="false">IF(AB30&lt;0,0,AB38+AB33)</f>
        <v>5290.75575276034</v>
      </c>
      <c r="AC41" s="356" t="n">
        <f aca="false">IF(AC30&lt;0,0,AC38+AC33)</f>
        <v>5477.82008289004</v>
      </c>
      <c r="AD41" s="356" t="n">
        <f aca="false">IF(AD30&lt;0,0,AD38+AD33)</f>
        <v>5679.09403357584</v>
      </c>
      <c r="AE41" s="356" t="n">
        <f aca="false">IF(AE30&lt;0,0,AE38+AE33)</f>
        <v>5895.59458060562</v>
      </c>
      <c r="AF41" s="356" t="n">
        <f aca="false">IF(AF30&lt;0,0,AF38+AF33)</f>
        <v>715.169101901393</v>
      </c>
    </row>
    <row r="42" customFormat="false" ht="12.75" hidden="false" customHeight="false" outlineLevel="0" collapsed="false">
      <c r="A42" s="194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488"/>
      <c r="Y42" s="488"/>
    </row>
    <row r="43" customFormat="false" ht="12.75" hidden="false" customHeight="false" outlineLevel="0" collapsed="false"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</row>
    <row r="44" customFormat="false" ht="12.75" hidden="false" customHeight="false" outlineLevel="0" collapsed="false"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</row>
    <row r="45" customFormat="false" ht="12.75" hidden="false" customHeight="false" outlineLevel="0" collapsed="false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</row>
    <row r="46" customFormat="false" ht="12.75" hidden="false" customHeight="false" outlineLevel="0" collapsed="false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customFormat="false" ht="12.75" hidden="false" customHeight="false" outlineLevel="0" collapsed="false"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</row>
    <row r="48" customFormat="false" ht="12.75" hidden="false" customHeight="false" outlineLevel="0" collapsed="false">
      <c r="X48" s="110"/>
      <c r="Y48" s="110"/>
    </row>
    <row r="49" customFormat="false" ht="12.75" hidden="false" customHeight="false" outlineLevel="0" collapsed="false">
      <c r="X49" s="110"/>
      <c r="Y49" s="110"/>
    </row>
    <row r="50" customFormat="false" ht="12.75" hidden="false" customHeight="false" outlineLevel="0" collapsed="false">
      <c r="X50" s="110"/>
      <c r="Y50" s="110"/>
    </row>
    <row r="51" customFormat="false" ht="12.75" hidden="false" customHeight="false" outlineLevel="0" collapsed="false">
      <c r="X51" s="110"/>
      <c r="Y51" s="110"/>
    </row>
    <row r="52" customFormat="false" ht="12.75" hidden="false" customHeight="false" outlineLevel="0" collapsed="false">
      <c r="X52" s="110"/>
      <c r="Y52" s="110"/>
    </row>
    <row r="53" customFormat="false" ht="12.75" hidden="false" customHeight="false" outlineLevel="0" collapsed="false">
      <c r="X53" s="110"/>
      <c r="Y53" s="110"/>
    </row>
    <row r="54" customFormat="false" ht="12.75" hidden="false" customHeight="false" outlineLevel="0" collapsed="false">
      <c r="X54" s="110"/>
      <c r="Y5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75" t="s">
        <v>532</v>
      </c>
      <c r="B4" s="489"/>
      <c r="C4" s="7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24" t="s">
        <v>533</v>
      </c>
      <c r="B6" s="490"/>
      <c r="C6" s="491" t="n">
        <f aca="false">Assumptions!C26</f>
        <v>17905.426</v>
      </c>
      <c r="D6" s="492"/>
      <c r="E6" s="492"/>
      <c r="F6" s="492"/>
      <c r="G6" s="492"/>
      <c r="H6" s="492"/>
      <c r="I6" s="493"/>
      <c r="J6" s="492"/>
      <c r="K6" s="492"/>
      <c r="L6" s="492"/>
      <c r="M6" s="492"/>
      <c r="N6" s="492"/>
      <c r="O6" s="493"/>
      <c r="P6" s="492"/>
      <c r="Q6" s="492"/>
      <c r="R6" s="492"/>
      <c r="S6" s="492"/>
      <c r="T6" s="492"/>
      <c r="U6" s="493"/>
      <c r="V6" s="492"/>
      <c r="W6" s="492"/>
      <c r="X6" s="490"/>
      <c r="Y6" s="490"/>
    </row>
    <row r="7" customFormat="false" ht="12.75" hidden="false" customHeight="false" outlineLevel="0" collapsed="false">
      <c r="A7" s="24" t="s">
        <v>534</v>
      </c>
      <c r="B7" s="490"/>
      <c r="C7" s="494" t="n">
        <f aca="false">Assumptions!H16</f>
        <v>7</v>
      </c>
      <c r="D7" s="492"/>
      <c r="E7" s="492"/>
      <c r="F7" s="492"/>
      <c r="G7" s="492"/>
      <c r="H7" s="492"/>
      <c r="I7" s="493"/>
      <c r="J7" s="492"/>
      <c r="K7" s="492"/>
      <c r="L7" s="492"/>
      <c r="M7" s="492"/>
      <c r="N7" s="492"/>
      <c r="O7" s="493"/>
      <c r="P7" s="492"/>
      <c r="Q7" s="492"/>
      <c r="R7" s="492"/>
      <c r="S7" s="492"/>
      <c r="T7" s="492"/>
      <c r="U7" s="493"/>
      <c r="V7" s="492"/>
      <c r="W7" s="492"/>
      <c r="X7" s="490"/>
      <c r="Y7" s="490"/>
    </row>
    <row r="8" customFormat="false" ht="12.75" hidden="false" customHeight="false" outlineLevel="0" collapsed="false">
      <c r="A8" s="24" t="s">
        <v>535</v>
      </c>
      <c r="B8" s="490"/>
      <c r="C8" s="495" t="n">
        <f aca="false">Assumptions!H39</f>
        <v>0.07</v>
      </c>
      <c r="D8" s="496" t="n">
        <f aca="false">C8/360</f>
        <v>0.000194444444444444</v>
      </c>
      <c r="E8" s="492"/>
      <c r="F8" s="492"/>
      <c r="G8" s="492"/>
      <c r="H8" s="492"/>
      <c r="I8" s="493"/>
      <c r="J8" s="492"/>
      <c r="K8" s="492"/>
      <c r="L8" s="492"/>
      <c r="M8" s="492"/>
      <c r="N8" s="492"/>
      <c r="O8" s="493"/>
      <c r="P8" s="492"/>
      <c r="Q8" s="492"/>
      <c r="R8" s="492"/>
      <c r="S8" s="492"/>
      <c r="T8" s="492"/>
      <c r="U8" s="493"/>
      <c r="V8" s="492"/>
      <c r="W8" s="492"/>
      <c r="X8" s="490"/>
      <c r="Y8" s="490"/>
    </row>
    <row r="9" customFormat="false" ht="12.75" hidden="false" customHeight="false" outlineLevel="0" collapsed="false">
      <c r="A9" s="24"/>
      <c r="B9" s="490"/>
      <c r="C9" s="497" t="s">
        <v>536</v>
      </c>
      <c r="D9" s="497" t="s">
        <v>537</v>
      </c>
      <c r="E9" s="492"/>
      <c r="F9" s="492"/>
      <c r="G9" s="492"/>
      <c r="H9" s="492"/>
      <c r="I9" s="493"/>
      <c r="J9" s="492"/>
      <c r="K9" s="492"/>
      <c r="L9" s="492"/>
      <c r="M9" s="492"/>
      <c r="N9" s="492"/>
      <c r="O9" s="493"/>
      <c r="P9" s="492"/>
      <c r="Q9" s="492"/>
      <c r="R9" s="492"/>
      <c r="S9" s="492"/>
      <c r="T9" s="492"/>
      <c r="U9" s="493"/>
      <c r="V9" s="492"/>
      <c r="W9" s="492"/>
      <c r="X9" s="490"/>
      <c r="Y9" s="490"/>
    </row>
    <row r="10" customFormat="false" ht="12.75" hidden="false" customHeight="false" outlineLevel="0" collapsed="false">
      <c r="A10" s="24"/>
      <c r="B10" s="490"/>
      <c r="C10" s="497"/>
      <c r="D10" s="497"/>
      <c r="E10" s="492"/>
      <c r="F10" s="492"/>
      <c r="G10" s="492"/>
      <c r="H10" s="492"/>
      <c r="I10" s="493"/>
      <c r="J10" s="492"/>
      <c r="K10" s="492"/>
      <c r="L10" s="492"/>
      <c r="M10" s="492"/>
      <c r="N10" s="492"/>
      <c r="O10" s="493"/>
      <c r="P10" s="492"/>
      <c r="Q10" s="492"/>
      <c r="R10" s="492"/>
      <c r="S10" s="492"/>
      <c r="T10" s="492"/>
      <c r="U10" s="493"/>
      <c r="V10" s="492"/>
      <c r="W10" s="492"/>
      <c r="X10" s="490"/>
      <c r="Y10" s="490"/>
    </row>
    <row r="11" customFormat="false" ht="12.75" hidden="false" customHeight="false" outlineLevel="0" collapsed="false">
      <c r="A11" s="24"/>
      <c r="B11" s="490"/>
      <c r="C11" s="497"/>
      <c r="D11" s="497"/>
      <c r="E11" s="492"/>
      <c r="F11" s="492"/>
      <c r="G11" s="492"/>
      <c r="H11" s="492"/>
      <c r="I11" s="493"/>
      <c r="J11" s="492"/>
      <c r="K11" s="492"/>
      <c r="L11" s="492"/>
      <c r="M11" s="492"/>
      <c r="N11" s="492"/>
      <c r="O11" s="493"/>
      <c r="P11" s="492"/>
      <c r="Q11" s="492"/>
      <c r="R11" s="492"/>
      <c r="S11" s="492"/>
      <c r="T11" s="492"/>
      <c r="U11" s="493"/>
      <c r="V11" s="492"/>
      <c r="W11" s="492"/>
      <c r="X11" s="490"/>
      <c r="Y11" s="490"/>
    </row>
    <row r="12" customFormat="false" ht="12.75" hidden="false" customHeight="false" outlineLevel="0" collapsed="false">
      <c r="A12" s="3"/>
      <c r="B12" s="498"/>
      <c r="C12" s="498"/>
      <c r="D12" s="499" t="s">
        <v>538</v>
      </c>
      <c r="E12" s="500" t="s">
        <v>539</v>
      </c>
      <c r="F12" s="498"/>
      <c r="G12" s="498"/>
      <c r="H12" s="498"/>
      <c r="I12" s="498"/>
      <c r="J12" s="182"/>
    </row>
    <row r="13" customFormat="false" ht="12.75" hidden="false" customHeight="false" outlineLevel="0" collapsed="false">
      <c r="A13" s="500" t="s">
        <v>540</v>
      </c>
      <c r="B13" s="3"/>
      <c r="C13" s="3"/>
      <c r="D13" s="499" t="s">
        <v>541</v>
      </c>
      <c r="E13" s="499" t="s">
        <v>542</v>
      </c>
      <c r="F13" s="499" t="s">
        <v>543</v>
      </c>
      <c r="G13" s="501" t="s">
        <v>544</v>
      </c>
      <c r="H13" s="499" t="s">
        <v>545</v>
      </c>
      <c r="I13" s="499" t="s">
        <v>546</v>
      </c>
      <c r="J13" s="153"/>
    </row>
    <row r="14" customFormat="false" ht="12.75" hidden="false" customHeight="false" outlineLevel="0" collapsed="false">
      <c r="A14" s="502" t="s">
        <v>547</v>
      </c>
      <c r="B14" s="502" t="s">
        <v>363</v>
      </c>
      <c r="C14" s="502" t="s">
        <v>548</v>
      </c>
      <c r="D14" s="502" t="s">
        <v>549</v>
      </c>
      <c r="E14" s="502" t="s">
        <v>549</v>
      </c>
      <c r="F14" s="502" t="s">
        <v>549</v>
      </c>
      <c r="G14" s="502" t="s">
        <v>549</v>
      </c>
      <c r="H14" s="502" t="s">
        <v>549</v>
      </c>
      <c r="I14" s="502" t="s">
        <v>549</v>
      </c>
      <c r="J14" s="153"/>
    </row>
    <row r="15" customFormat="false" ht="12.75" hidden="false" customHeight="false" outlineLevel="0" collapsed="false">
      <c r="A15" s="503" t="n">
        <v>1</v>
      </c>
      <c r="B15" s="504" t="n">
        <v>36617</v>
      </c>
      <c r="C15" s="505" t="n">
        <f aca="false">HLOOKUP(Assumptions!$H$12,IDC!$H$40:$L$56,2+F42)</f>
        <v>0.17</v>
      </c>
      <c r="D15" s="506" t="n">
        <f aca="false">D59*Assumptions!H12</f>
        <v>85562.6976439903</v>
      </c>
      <c r="E15" s="474" t="n">
        <f aca="false">C15*$C$6</f>
        <v>3043.92242</v>
      </c>
      <c r="F15" s="474" t="n">
        <f aca="false">+E15+D15</f>
        <v>88606.6200639903</v>
      </c>
      <c r="G15" s="474" t="n">
        <f aca="false">F15+H15</f>
        <v>88606.6200639903</v>
      </c>
      <c r="H15" s="474" t="n">
        <v>0</v>
      </c>
      <c r="I15" s="474" t="n">
        <v>0</v>
      </c>
      <c r="K15" s="507"/>
    </row>
    <row r="16" customFormat="false" ht="12.75" hidden="false" customHeight="false" outlineLevel="0" collapsed="false">
      <c r="A16" s="503" t="n">
        <f aca="false">A15+1</f>
        <v>2</v>
      </c>
      <c r="B16" s="504" t="n">
        <v>36647</v>
      </c>
      <c r="C16" s="505" t="n">
        <f aca="false">HLOOKUP(Assumptions!$H$12,IDC!$H$40:$L$56,2+F43)</f>
        <v>0.12</v>
      </c>
      <c r="D16" s="506" t="n">
        <v>0</v>
      </c>
      <c r="E16" s="474" t="n">
        <f aca="false">C16*$C$6</f>
        <v>2148.65112</v>
      </c>
      <c r="F16" s="474" t="n">
        <f aca="false">+E16+D16</f>
        <v>2148.65112</v>
      </c>
      <c r="G16" s="474" t="n">
        <f aca="false">F16+G15+H16</f>
        <v>91272.1431343635</v>
      </c>
      <c r="H16" s="474" t="n">
        <f aca="false">IF(A16&gt;$C$7+1,0,G15*(B16-B15)*$D$8)</f>
        <v>516.871950373276</v>
      </c>
      <c r="I16" s="474" t="n">
        <f aca="false">IF(A16&lt;=$C$7+1,H16+I15,I15)</f>
        <v>516.871950373276</v>
      </c>
      <c r="K16" s="507"/>
    </row>
    <row r="17" customFormat="false" ht="12.75" hidden="false" customHeight="false" outlineLevel="0" collapsed="false">
      <c r="A17" s="503" t="n">
        <f aca="false">A16+1</f>
        <v>3</v>
      </c>
      <c r="B17" s="504" t="n">
        <v>36678</v>
      </c>
      <c r="C17" s="505" t="n">
        <f aca="false">HLOOKUP(Assumptions!$H$12,IDC!$H$40:$L$56,2+F44)</f>
        <v>0.12</v>
      </c>
      <c r="D17" s="506" t="n">
        <v>0</v>
      </c>
      <c r="E17" s="474" t="n">
        <f aca="false">C17*$C$6</f>
        <v>2148.65112</v>
      </c>
      <c r="F17" s="474" t="n">
        <f aca="false">+E17+D17</f>
        <v>2148.65112</v>
      </c>
      <c r="G17" s="474" t="n">
        <f aca="false">F17+G16+H17</f>
        <v>93970.962450479</v>
      </c>
      <c r="H17" s="474" t="n">
        <f aca="false">IF(A17&gt;$C$7+1,0,G16*(B17-B16)*$D$8)</f>
        <v>550.168196115469</v>
      </c>
      <c r="I17" s="474" t="n">
        <f aca="false">IF(A17&lt;=$C$7+1,H17+I16,I16)</f>
        <v>1067.04014648875</v>
      </c>
      <c r="K17" s="507"/>
    </row>
    <row r="18" customFormat="false" ht="12.75" hidden="false" customHeight="false" outlineLevel="0" collapsed="false">
      <c r="A18" s="503" t="n">
        <f aca="false">A17+1</f>
        <v>4</v>
      </c>
      <c r="B18" s="504" t="n">
        <v>36708</v>
      </c>
      <c r="C18" s="505" t="n">
        <f aca="false">HLOOKUP(Assumptions!$H$12,IDC!$H$40:$L$56,2+F45)</f>
        <v>0.14</v>
      </c>
      <c r="D18" s="506" t="n">
        <v>0</v>
      </c>
      <c r="E18" s="474" t="n">
        <f aca="false">C18*$C$6</f>
        <v>2506.75964</v>
      </c>
      <c r="F18" s="474" t="n">
        <f aca="false">+E18+D18</f>
        <v>2506.75964</v>
      </c>
      <c r="G18" s="474" t="n">
        <f aca="false">F18+G17+H18</f>
        <v>97025.8860381068</v>
      </c>
      <c r="H18" s="474" t="n">
        <f aca="false">IF(A18&gt;$C$7+1,0,G17*(B18-B17)*$D$8)</f>
        <v>548.163947627794</v>
      </c>
      <c r="I18" s="474" t="n">
        <f aca="false">IF(A18&lt;=$C$7+1,H18+I17,I17)</f>
        <v>1615.20409411654</v>
      </c>
      <c r="K18" s="507"/>
    </row>
    <row r="19" customFormat="false" ht="12.75" hidden="false" customHeight="false" outlineLevel="0" collapsed="false">
      <c r="A19" s="503" t="n">
        <f aca="false">A18+1</f>
        <v>5</v>
      </c>
      <c r="B19" s="504" t="n">
        <v>36739</v>
      </c>
      <c r="C19" s="505" t="n">
        <f aca="false">HLOOKUP(Assumptions!$H$12,IDC!$H$40:$L$56,2+F46)</f>
        <v>0.13</v>
      </c>
      <c r="D19" s="506" t="n">
        <v>0</v>
      </c>
      <c r="E19" s="474" t="n">
        <f aca="false">C19*$C$6</f>
        <v>2327.70538</v>
      </c>
      <c r="F19" s="474" t="n">
        <f aca="false">+E19+D19</f>
        <v>2327.70538</v>
      </c>
      <c r="G19" s="474" t="n">
        <f aca="false">F19+G18+H19</f>
        <v>99938.4418978365</v>
      </c>
      <c r="H19" s="474" t="n">
        <f aca="false">IF(A19&gt;$C$7+1,0,G18*(B19-B18)*$D$8)</f>
        <v>584.850479729699</v>
      </c>
      <c r="I19" s="474" t="n">
        <f aca="false">IF(A19&lt;=$C$7+1,H19+I18,I18)</f>
        <v>2200.05457384624</v>
      </c>
      <c r="K19" s="507"/>
    </row>
    <row r="20" customFormat="false" ht="12.75" hidden="false" customHeight="false" outlineLevel="0" collapsed="false">
      <c r="A20" s="503" t="n">
        <f aca="false">A19+1</f>
        <v>6</v>
      </c>
      <c r="B20" s="504" t="n">
        <v>36770</v>
      </c>
      <c r="C20" s="505" t="n">
        <f aca="false">HLOOKUP(Assumptions!$H$12,IDC!$H$40:$L$56,2+F47)</f>
        <v>0.12</v>
      </c>
      <c r="D20" s="506" t="n">
        <v>0</v>
      </c>
      <c r="E20" s="474" t="n">
        <f aca="false">C20*$C$6</f>
        <v>2148.65112</v>
      </c>
      <c r="F20" s="474" t="n">
        <f aca="false">+E20+D20</f>
        <v>2148.65112</v>
      </c>
      <c r="G20" s="474" t="n">
        <f aca="false">F20+G19+H20</f>
        <v>102689.499737054</v>
      </c>
      <c r="H20" s="474" t="n">
        <f aca="false">IF(A20&gt;$C$7+1,0,G19*(B20-B19)*$D$8)</f>
        <v>602.406719217514</v>
      </c>
      <c r="I20" s="474" t="n">
        <f aca="false">IF(A20&lt;=$C$7+1,H20+I19,I19)</f>
        <v>2802.46129306375</v>
      </c>
      <c r="K20" s="507"/>
    </row>
    <row r="21" customFormat="false" ht="12.75" hidden="false" customHeight="false" outlineLevel="0" collapsed="false">
      <c r="A21" s="503" t="n">
        <f aca="false">A20+1</f>
        <v>7</v>
      </c>
      <c r="B21" s="504" t="n">
        <v>36800</v>
      </c>
      <c r="C21" s="505" t="n">
        <f aca="false">HLOOKUP(Assumptions!$H$12,IDC!$H$40:$L$56,2+F48)</f>
        <v>0.1</v>
      </c>
      <c r="D21" s="506" t="n">
        <v>0</v>
      </c>
      <c r="E21" s="474" t="n">
        <f aca="false">C21*$C$6</f>
        <v>1790.5426</v>
      </c>
      <c r="F21" s="474" t="n">
        <f aca="false">+E21+D21</f>
        <v>1790.5426</v>
      </c>
      <c r="G21" s="474" t="n">
        <f aca="false">F21+G20+H21</f>
        <v>105079.064418853</v>
      </c>
      <c r="H21" s="474" t="n">
        <f aca="false">IF(A21&gt;$C$7+1,0,G20*(B21-B20)*$D$8)</f>
        <v>599.022081799482</v>
      </c>
      <c r="I21" s="474" t="n">
        <f aca="false">IF(A21&lt;=$C$7+1,H21+I20,I20)</f>
        <v>3401.48337486323</v>
      </c>
      <c r="K21" s="507"/>
    </row>
    <row r="22" customFormat="false" ht="12.75" hidden="false" customHeight="false" outlineLevel="0" collapsed="false">
      <c r="A22" s="503" t="n">
        <f aca="false">A21+1</f>
        <v>8</v>
      </c>
      <c r="B22" s="504" t="n">
        <v>36831</v>
      </c>
      <c r="C22" s="505" t="n">
        <f aca="false">HLOOKUP(Assumptions!$H$12,IDC!$H$40:$L$56,2+F49)</f>
        <v>0.1</v>
      </c>
      <c r="D22" s="506" t="n">
        <v>0</v>
      </c>
      <c r="E22" s="474" t="n">
        <f aca="false">C22*$C$6</f>
        <v>1790.5426</v>
      </c>
      <c r="F22" s="474" t="n">
        <f aca="false">+E22+D22</f>
        <v>1790.5426</v>
      </c>
      <c r="G22" s="474" t="n">
        <f aca="false">F22+G21+H22</f>
        <v>107503.000268267</v>
      </c>
      <c r="H22" s="474" t="n">
        <f aca="false">IF(A22&gt;$C$7+1,0,G21*(B22-B21)*$D$8)</f>
        <v>633.393249413645</v>
      </c>
      <c r="I22" s="474" t="n">
        <f aca="false">IF(A22&lt;=$C$7+1,H22+I21,I21)</f>
        <v>4034.87662427688</v>
      </c>
      <c r="K22" s="507"/>
    </row>
    <row r="23" customFormat="false" ht="12.75" hidden="false" customHeight="false" outlineLevel="0" collapsed="false">
      <c r="A23" s="503" t="n">
        <f aca="false">A22+1</f>
        <v>9</v>
      </c>
      <c r="B23" s="504" t="n">
        <v>36861</v>
      </c>
      <c r="C23" s="505" t="n">
        <f aca="false">HLOOKUP(Assumptions!$H$12,IDC!$H$40:$L$56,2+F50)</f>
        <v>0</v>
      </c>
      <c r="D23" s="506" t="n">
        <v>0</v>
      </c>
      <c r="E23" s="474" t="n">
        <f aca="false">C23*$C$6</f>
        <v>0</v>
      </c>
      <c r="F23" s="474" t="n">
        <f aca="false">+E23+D23</f>
        <v>0</v>
      </c>
      <c r="G23" s="474" t="n">
        <f aca="false">F23+G22+H23</f>
        <v>107503.000268267</v>
      </c>
      <c r="H23" s="474" t="n">
        <f aca="false">IF(A23&gt;$C$7+1,0,G22*(B23-B22)*$D$8)</f>
        <v>0</v>
      </c>
      <c r="I23" s="474" t="n">
        <f aca="false">IF(A23&lt;=$C$7+1,H23+I22,I22)</f>
        <v>4034.87662427688</v>
      </c>
      <c r="K23" s="507"/>
    </row>
    <row r="24" customFormat="false" ht="12.75" hidden="false" customHeight="false" outlineLevel="0" collapsed="false">
      <c r="A24" s="503" t="n">
        <f aca="false">A23+1</f>
        <v>10</v>
      </c>
      <c r="B24" s="504" t="n">
        <v>36892</v>
      </c>
      <c r="C24" s="505" t="n">
        <f aca="false">HLOOKUP(Assumptions!$H$12,IDC!$H$40:$L$56,2+F51)</f>
        <v>0</v>
      </c>
      <c r="D24" s="506" t="n">
        <v>0</v>
      </c>
      <c r="E24" s="474" t="n">
        <f aca="false">C24*$C$6</f>
        <v>0</v>
      </c>
      <c r="F24" s="474" t="n">
        <f aca="false">+E24+D24</f>
        <v>0</v>
      </c>
      <c r="G24" s="474" t="n">
        <f aca="false">F24+G23+H24</f>
        <v>107503.000268267</v>
      </c>
      <c r="H24" s="474" t="n">
        <f aca="false">IF(A24&gt;$C$7+1,0,G23*(B24-B23)*$D$8)</f>
        <v>0</v>
      </c>
      <c r="I24" s="474" t="n">
        <f aca="false">IF(A24&lt;=$C$7+1,H24+I23,I23)</f>
        <v>4034.87662427688</v>
      </c>
      <c r="K24" s="507"/>
    </row>
    <row r="25" customFormat="false" ht="12.75" hidden="false" customHeight="false" outlineLevel="0" collapsed="false">
      <c r="A25" s="503" t="n">
        <f aca="false">A24+1</f>
        <v>11</v>
      </c>
      <c r="B25" s="504" t="n">
        <v>36923</v>
      </c>
      <c r="C25" s="505" t="n">
        <f aca="false">HLOOKUP(Assumptions!$H$12,IDC!$H$40:$L$56,2+F52)</f>
        <v>0</v>
      </c>
      <c r="D25" s="506" t="n">
        <v>0</v>
      </c>
      <c r="E25" s="474" t="n">
        <f aca="false">C25*$C$6</f>
        <v>0</v>
      </c>
      <c r="F25" s="474" t="n">
        <f aca="false">+E25+D25</f>
        <v>0</v>
      </c>
      <c r="G25" s="474" t="n">
        <f aca="false">F25+G24+H25</f>
        <v>107503.000268267</v>
      </c>
      <c r="H25" s="474" t="n">
        <f aca="false">IF(A25&gt;$C$7+1,0,G24*(B25-B24)*$D$8)</f>
        <v>0</v>
      </c>
      <c r="I25" s="474" t="n">
        <f aca="false">IF(A25&lt;=$C$7+1,H25+I24,I24)</f>
        <v>4034.87662427688</v>
      </c>
      <c r="K25" s="507"/>
    </row>
    <row r="26" customFormat="false" ht="12.75" hidden="false" customHeight="false" outlineLevel="0" collapsed="false">
      <c r="A26" s="503" t="n">
        <f aca="false">A25+1</f>
        <v>12</v>
      </c>
      <c r="B26" s="504" t="n">
        <v>36951</v>
      </c>
      <c r="C26" s="505" t="n">
        <f aca="false">HLOOKUP(Assumptions!$H$12,IDC!$H$40:$L$56,2+F53)</f>
        <v>0</v>
      </c>
      <c r="D26" s="506" t="n">
        <v>0</v>
      </c>
      <c r="E26" s="474" t="n">
        <f aca="false">C26*$C$6</f>
        <v>0</v>
      </c>
      <c r="F26" s="474" t="n">
        <f aca="false">+E26+D26</f>
        <v>0</v>
      </c>
      <c r="G26" s="474" t="n">
        <f aca="false">F26+G25+H26</f>
        <v>107503.000268267</v>
      </c>
      <c r="H26" s="474" t="n">
        <f aca="false">IF(A26&gt;$C$7+1,0,G25*(B26-B25)*$D$8)</f>
        <v>0</v>
      </c>
      <c r="I26" s="474" t="n">
        <f aca="false">IF(A26&lt;=$C$7+1,H26+I25,I25)</f>
        <v>4034.87662427688</v>
      </c>
      <c r="K26" s="507"/>
    </row>
    <row r="27" customFormat="false" ht="12.75" hidden="false" customHeight="false" outlineLevel="0" collapsed="false">
      <c r="A27" s="503" t="n">
        <f aca="false">A26+1</f>
        <v>13</v>
      </c>
      <c r="B27" s="504" t="n">
        <v>36982</v>
      </c>
      <c r="C27" s="505" t="n">
        <f aca="false">HLOOKUP(Assumptions!$H$12,IDC!$H$40:$L$56,2+F54)</f>
        <v>0</v>
      </c>
      <c r="D27" s="506" t="n">
        <v>0</v>
      </c>
      <c r="E27" s="474" t="n">
        <f aca="false">C27*$C$6</f>
        <v>0</v>
      </c>
      <c r="F27" s="474" t="n">
        <f aca="false">+E27+D27</f>
        <v>0</v>
      </c>
      <c r="G27" s="474" t="n">
        <f aca="false">F27+G26+H27</f>
        <v>107503.000268267</v>
      </c>
      <c r="H27" s="474" t="n">
        <f aca="false">IF(A27&gt;$C$7+1,0,G26*(B27-B26)*$D$8)</f>
        <v>0</v>
      </c>
      <c r="I27" s="474" t="n">
        <f aca="false">IF(A27&lt;=$C$7+1,H27+I26,I26)</f>
        <v>4034.87662427688</v>
      </c>
      <c r="K27" s="507"/>
    </row>
    <row r="28" customFormat="false" ht="12.75" hidden="false" customHeight="false" outlineLevel="0" collapsed="false">
      <c r="A28" s="503" t="n">
        <f aca="false">A27+1</f>
        <v>14</v>
      </c>
      <c r="B28" s="504" t="n">
        <v>37012</v>
      </c>
      <c r="C28" s="505" t="n">
        <f aca="false">HLOOKUP(Assumptions!$H$12,IDC!$H$40:$L$56,2+F55)</f>
        <v>0</v>
      </c>
      <c r="D28" s="506" t="n">
        <v>0</v>
      </c>
      <c r="E28" s="474" t="n">
        <f aca="false">C28*$C$6</f>
        <v>0</v>
      </c>
      <c r="F28" s="474" t="n">
        <f aca="false">+E28+D28</f>
        <v>0</v>
      </c>
      <c r="G28" s="474" t="n">
        <f aca="false">F28+G27+H28</f>
        <v>107503.000268267</v>
      </c>
      <c r="H28" s="474" t="n">
        <f aca="false">IF(A28&gt;$C$7+1,0,G27*(B28-B27)*$D$8)</f>
        <v>0</v>
      </c>
      <c r="I28" s="474" t="n">
        <f aca="false">IF(A28&lt;=$C$7+1,H28+I27,I27)</f>
        <v>4034.87662427688</v>
      </c>
      <c r="K28" s="507"/>
    </row>
    <row r="29" customFormat="false" ht="12.75" hidden="false" customHeight="false" outlineLevel="0" collapsed="false">
      <c r="A29" s="503" t="n">
        <f aca="false">A28+1</f>
        <v>15</v>
      </c>
      <c r="B29" s="504" t="n">
        <v>37043</v>
      </c>
      <c r="C29" s="505" t="n">
        <f aca="false">HLOOKUP(Assumptions!$H$12,IDC!$H$40:$L$56,2+F56)</f>
        <v>0</v>
      </c>
      <c r="D29" s="506" t="n">
        <v>0</v>
      </c>
      <c r="E29" s="474" t="n">
        <f aca="false">C29*$C$6</f>
        <v>0</v>
      </c>
      <c r="F29" s="474" t="n">
        <f aca="false">+E29+D29</f>
        <v>0</v>
      </c>
      <c r="G29" s="474" t="n">
        <f aca="false">F29+G28+H29</f>
        <v>107503.000268267</v>
      </c>
      <c r="H29" s="474" t="n">
        <f aca="false">IF(A29&gt;$C$7+1,0,G28*(B29-B28)*$D$8)</f>
        <v>0</v>
      </c>
      <c r="I29" s="474" t="n">
        <f aca="false">IF(A29&lt;=$C$7+1,H29+I28,I28)</f>
        <v>4034.87662427688</v>
      </c>
      <c r="K29" s="507"/>
    </row>
    <row r="30" customFormat="false" ht="12.75" hidden="false" customHeight="false" outlineLevel="0" collapsed="false">
      <c r="A30" s="503" t="n">
        <f aca="false">A29+1</f>
        <v>16</v>
      </c>
      <c r="B30" s="504" t="n">
        <v>37073</v>
      </c>
      <c r="C30" s="505" t="n">
        <v>0</v>
      </c>
      <c r="D30" s="506" t="n">
        <v>0</v>
      </c>
      <c r="E30" s="474" t="n">
        <f aca="false">C30*$C$6</f>
        <v>0</v>
      </c>
      <c r="F30" s="474" t="n">
        <f aca="false">+E30+D30</f>
        <v>0</v>
      </c>
      <c r="G30" s="474" t="n">
        <f aca="false">F30+G29+H30</f>
        <v>107503.000268267</v>
      </c>
      <c r="H30" s="474" t="n">
        <f aca="false">IF(A30&gt;$C$7+1,0,G29*(B30-B29)*$D$8)</f>
        <v>0</v>
      </c>
      <c r="I30" s="474" t="n">
        <f aca="false">IF(A30&lt;=$C$7+1,H30+I29,I29)</f>
        <v>4034.87662427688</v>
      </c>
      <c r="K30" s="507"/>
    </row>
    <row r="31" customFormat="false" ht="12.75" hidden="false" customHeight="false" outlineLevel="0" collapsed="false">
      <c r="A31" s="503" t="n">
        <f aca="false">A30+1</f>
        <v>17</v>
      </c>
      <c r="B31" s="504" t="n">
        <v>37104</v>
      </c>
      <c r="C31" s="505" t="n">
        <v>0</v>
      </c>
      <c r="D31" s="506" t="n">
        <v>0</v>
      </c>
      <c r="E31" s="474" t="n">
        <f aca="false">C31*$C$6</f>
        <v>0</v>
      </c>
      <c r="F31" s="474" t="n">
        <f aca="false">+E31+D31</f>
        <v>0</v>
      </c>
      <c r="G31" s="474" t="n">
        <f aca="false">F31+G30+H31</f>
        <v>107503.000268267</v>
      </c>
      <c r="H31" s="474" t="n">
        <f aca="false">IF(A31&gt;$C$7+1,0,G30*(B31-B30)*$D$8)</f>
        <v>0</v>
      </c>
      <c r="I31" s="474" t="n">
        <f aca="false">IF(A31&lt;=$C$7+1,H31+I30,I30)</f>
        <v>4034.87662427688</v>
      </c>
      <c r="K31" s="507"/>
    </row>
    <row r="32" customFormat="false" ht="12.75" hidden="false" customHeight="false" outlineLevel="0" collapsed="false">
      <c r="A32" s="503" t="n">
        <f aca="false">A31+1</f>
        <v>18</v>
      </c>
      <c r="B32" s="504" t="n">
        <v>37135</v>
      </c>
      <c r="C32" s="505" t="n">
        <v>0</v>
      </c>
      <c r="D32" s="506" t="n">
        <v>0</v>
      </c>
      <c r="E32" s="474" t="n">
        <f aca="false">C32*$C$6</f>
        <v>0</v>
      </c>
      <c r="F32" s="474" t="n">
        <f aca="false">+E32+D32</f>
        <v>0</v>
      </c>
      <c r="G32" s="474" t="n">
        <f aca="false">F32+G31+H32</f>
        <v>107503.000268267</v>
      </c>
      <c r="H32" s="474" t="n">
        <f aca="false">IF(A32&gt;$C$7+1,0,G31*(B32-B31)*$D$8)</f>
        <v>0</v>
      </c>
      <c r="I32" s="474" t="n">
        <f aca="false">IF(A32&lt;=$C$7+1,H32+I31,I31)</f>
        <v>4034.87662427688</v>
      </c>
      <c r="K32" s="507"/>
    </row>
    <row r="33" customFormat="false" ht="12.75" hidden="false" customHeight="false" outlineLevel="0" collapsed="false">
      <c r="A33" s="503" t="n">
        <f aca="false">A32+1</f>
        <v>19</v>
      </c>
      <c r="B33" s="504" t="n">
        <v>37165</v>
      </c>
      <c r="C33" s="508" t="n">
        <v>0</v>
      </c>
      <c r="D33" s="509" t="n">
        <v>0</v>
      </c>
      <c r="E33" s="510" t="n">
        <f aca="false">C33*$C$6</f>
        <v>0</v>
      </c>
      <c r="F33" s="510" t="n">
        <f aca="false">+E33+D33</f>
        <v>0</v>
      </c>
      <c r="G33" s="510" t="n">
        <f aca="false">F33+G32+H33</f>
        <v>107503.000268267</v>
      </c>
      <c r="H33" s="510" t="n">
        <f aca="false">IF(A33&gt;$C$7+1,0,G32*(B33-B32)*$D$8)</f>
        <v>0</v>
      </c>
      <c r="I33" s="510" t="n">
        <f aca="false">IF(A33&lt;=$C$7+1,H33+I32,I32)</f>
        <v>4034.87662427688</v>
      </c>
      <c r="K33" s="507"/>
    </row>
    <row r="34" customFormat="false" ht="12.75" hidden="false" customHeight="false" outlineLevel="0" collapsed="false">
      <c r="C34" s="511" t="n">
        <f aca="false">SUM(C15:C33)</f>
        <v>1</v>
      </c>
      <c r="D34" s="474" t="n">
        <f aca="false">SUM(D15:D33)</f>
        <v>85562.6976439903</v>
      </c>
      <c r="E34" s="474" t="n">
        <f aca="false">SUM(E15:E33)</f>
        <v>17905.426</v>
      </c>
      <c r="F34" s="474" t="n">
        <f aca="false">SUM(F15:F33)</f>
        <v>103468.12364399</v>
      </c>
      <c r="G34" s="188"/>
      <c r="H34" s="474" t="n">
        <f aca="false">SUM(H15:H33)</f>
        <v>4034.87662427688</v>
      </c>
      <c r="I34" s="474"/>
    </row>
    <row r="38" customFormat="false" ht="18.75" hidden="false" customHeight="false" outlineLevel="0" collapsed="false">
      <c r="A38" s="475" t="s">
        <v>550</v>
      </c>
      <c r="B38" s="512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10" t="s">
        <v>551</v>
      </c>
    </row>
    <row r="40" customFormat="false" ht="12.75" hidden="false" customHeight="false" outlineLevel="0" collapsed="false">
      <c r="F40" s="513"/>
      <c r="G40" s="514" t="s">
        <v>552</v>
      </c>
      <c r="H40" s="514" t="n">
        <v>2</v>
      </c>
      <c r="I40" s="514" t="n">
        <v>3</v>
      </c>
      <c r="J40" s="514" t="n">
        <v>4</v>
      </c>
      <c r="K40" s="515" t="n">
        <v>5</v>
      </c>
      <c r="L40" s="516" t="n">
        <v>6</v>
      </c>
    </row>
    <row r="41" customFormat="false" ht="13.5" hidden="false" customHeight="false" outlineLevel="0" collapsed="false">
      <c r="A41" s="500" t="s">
        <v>553</v>
      </c>
      <c r="B41" s="500" t="s">
        <v>253</v>
      </c>
      <c r="C41" s="500" t="s">
        <v>554</v>
      </c>
      <c r="D41" s="500" t="s">
        <v>555</v>
      </c>
      <c r="F41" s="517" t="s">
        <v>547</v>
      </c>
      <c r="G41" s="518" t="s">
        <v>556</v>
      </c>
      <c r="H41" s="519" t="n">
        <v>6</v>
      </c>
      <c r="I41" s="519" t="n">
        <v>6.5</v>
      </c>
      <c r="J41" s="519" t="n">
        <v>7</v>
      </c>
      <c r="K41" s="520" t="n">
        <v>7.5</v>
      </c>
      <c r="L41" s="521" t="n">
        <v>8</v>
      </c>
    </row>
    <row r="42" customFormat="false" ht="13.5" hidden="false" customHeight="false" outlineLevel="0" collapsed="false">
      <c r="A42" s="500" t="s">
        <v>557</v>
      </c>
      <c r="B42" s="500" t="s">
        <v>558</v>
      </c>
      <c r="C42" s="500" t="s">
        <v>559</v>
      </c>
      <c r="D42" s="500" t="s">
        <v>560</v>
      </c>
      <c r="F42" s="522" t="n">
        <v>1</v>
      </c>
      <c r="G42" s="523"/>
      <c r="H42" s="524" t="n">
        <v>0.17</v>
      </c>
      <c r="I42" s="524" t="n">
        <v>0.17</v>
      </c>
      <c r="J42" s="525" t="n">
        <v>0.17</v>
      </c>
      <c r="K42" s="525" t="n">
        <v>0.17</v>
      </c>
      <c r="L42" s="526" t="n">
        <v>0.17</v>
      </c>
    </row>
    <row r="43" customFormat="false" ht="12.75" hidden="false" customHeight="false" outlineLevel="0" collapsed="false">
      <c r="A43" s="527" t="s">
        <v>561</v>
      </c>
      <c r="B43" s="528" t="n">
        <v>3</v>
      </c>
      <c r="C43" s="529" t="n">
        <v>36737</v>
      </c>
      <c r="D43" s="530" t="n">
        <v>36829</v>
      </c>
      <c r="F43" s="531" t="n">
        <v>2</v>
      </c>
      <c r="G43" s="146"/>
      <c r="H43" s="532" t="n">
        <v>0.16</v>
      </c>
      <c r="I43" s="532" t="n">
        <v>0.16</v>
      </c>
      <c r="J43" s="533" t="n">
        <v>0.12</v>
      </c>
      <c r="K43" s="533" t="n">
        <v>0.12</v>
      </c>
      <c r="L43" s="534" t="n">
        <v>0.12</v>
      </c>
    </row>
    <row r="44" customFormat="false" ht="12.75" hidden="false" customHeight="false" outlineLevel="0" collapsed="false">
      <c r="A44" s="535" t="s">
        <v>562</v>
      </c>
      <c r="B44" s="536" t="n">
        <v>3</v>
      </c>
      <c r="C44" s="537" t="n">
        <v>36768</v>
      </c>
      <c r="D44" s="538" t="n">
        <v>36829</v>
      </c>
      <c r="F44" s="531" t="n">
        <v>3</v>
      </c>
      <c r="G44" s="146"/>
      <c r="H44" s="532" t="n">
        <v>0.16</v>
      </c>
      <c r="I44" s="532" t="n">
        <v>0.13</v>
      </c>
      <c r="J44" s="533" t="n">
        <v>0.12</v>
      </c>
      <c r="K44" s="533" t="n">
        <v>0.12</v>
      </c>
      <c r="L44" s="534" t="n">
        <v>0.12</v>
      </c>
    </row>
    <row r="45" customFormat="false" ht="12.75" hidden="false" customHeight="false" outlineLevel="0" collapsed="false">
      <c r="A45" s="535" t="s">
        <v>563</v>
      </c>
      <c r="B45" s="536" t="n">
        <v>2</v>
      </c>
      <c r="C45" s="537" t="n">
        <v>36799</v>
      </c>
      <c r="D45" s="538" t="n">
        <v>36829</v>
      </c>
      <c r="F45" s="531" t="n">
        <v>4</v>
      </c>
      <c r="G45" s="146"/>
      <c r="H45" s="532" t="n">
        <v>0.16</v>
      </c>
      <c r="I45" s="532" t="n">
        <v>0.16</v>
      </c>
      <c r="J45" s="533" t="n">
        <v>0.14</v>
      </c>
      <c r="K45" s="533" t="n">
        <v>0.14</v>
      </c>
      <c r="L45" s="534" t="n">
        <v>0.14</v>
      </c>
    </row>
    <row r="46" customFormat="false" ht="12.75" hidden="false" customHeight="false" outlineLevel="0" collapsed="false">
      <c r="A46" s="535" t="s">
        <v>564</v>
      </c>
      <c r="B46" s="536" t="n">
        <v>3</v>
      </c>
      <c r="C46" s="537" t="n">
        <v>36829</v>
      </c>
      <c r="D46" s="538" t="n">
        <v>36829</v>
      </c>
      <c r="F46" s="531" t="n">
        <v>5</v>
      </c>
      <c r="G46" s="146"/>
      <c r="H46" s="532" t="n">
        <v>0.17</v>
      </c>
      <c r="I46" s="532" t="n">
        <v>0.16</v>
      </c>
      <c r="J46" s="533" t="n">
        <v>0.18</v>
      </c>
      <c r="K46" s="533" t="n">
        <v>0.13</v>
      </c>
      <c r="L46" s="534" t="n">
        <v>0.13</v>
      </c>
    </row>
    <row r="47" customFormat="false" ht="12.75" hidden="false" customHeight="false" outlineLevel="0" collapsed="false">
      <c r="A47" s="535" t="s">
        <v>565</v>
      </c>
      <c r="B47" s="536" t="n">
        <v>2</v>
      </c>
      <c r="C47" s="537" t="n">
        <v>36860</v>
      </c>
      <c r="D47" s="538" t="n">
        <v>36860</v>
      </c>
      <c r="F47" s="531" t="n">
        <v>6</v>
      </c>
      <c r="G47" s="146"/>
      <c r="H47" s="532" t="n">
        <v>0.18</v>
      </c>
      <c r="I47" s="532" t="n">
        <v>0.12</v>
      </c>
      <c r="J47" s="533" t="n">
        <v>0.12</v>
      </c>
      <c r="K47" s="533" t="n">
        <v>0.12</v>
      </c>
      <c r="L47" s="534" t="n">
        <v>0.12</v>
      </c>
    </row>
    <row r="48" customFormat="false" ht="12.75" hidden="false" customHeight="false" outlineLevel="0" collapsed="false">
      <c r="A48" s="535" t="s">
        <v>566</v>
      </c>
      <c r="B48" s="536" t="n">
        <v>2</v>
      </c>
      <c r="C48" s="537" t="n">
        <v>36890</v>
      </c>
      <c r="D48" s="538" t="n">
        <v>36890</v>
      </c>
      <c r="F48" s="531" t="n">
        <v>7</v>
      </c>
      <c r="G48" s="146"/>
      <c r="H48" s="532" t="n">
        <v>0</v>
      </c>
      <c r="I48" s="532" t="n">
        <v>0.1</v>
      </c>
      <c r="J48" s="533" t="n">
        <v>0.15</v>
      </c>
      <c r="K48" s="533" t="n">
        <v>0.1</v>
      </c>
      <c r="L48" s="534" t="n">
        <v>0.1</v>
      </c>
    </row>
    <row r="49" customFormat="false" ht="12.75" hidden="false" customHeight="false" outlineLevel="0" collapsed="false">
      <c r="A49" s="535" t="s">
        <v>567</v>
      </c>
      <c r="B49" s="536" t="n">
        <v>3</v>
      </c>
      <c r="C49" s="537" t="n">
        <v>36555</v>
      </c>
      <c r="D49" s="538" t="n">
        <v>36555</v>
      </c>
      <c r="F49" s="531" t="n">
        <v>8</v>
      </c>
      <c r="G49" s="146"/>
      <c r="H49" s="532" t="n">
        <v>0</v>
      </c>
      <c r="I49" s="532" t="n">
        <v>0</v>
      </c>
      <c r="J49" s="533" t="n">
        <v>0</v>
      </c>
      <c r="K49" s="533" t="n">
        <v>0.1</v>
      </c>
      <c r="L49" s="534" t="n">
        <v>0.1</v>
      </c>
    </row>
    <row r="50" customFormat="false" ht="12.75" hidden="false" customHeight="false" outlineLevel="0" collapsed="false">
      <c r="A50" s="535" t="s">
        <v>568</v>
      </c>
      <c r="B50" s="536" t="n">
        <v>2</v>
      </c>
      <c r="C50" s="537" t="n">
        <v>36950</v>
      </c>
      <c r="D50" s="538" t="n">
        <v>36950</v>
      </c>
      <c r="F50" s="531" t="n">
        <v>9</v>
      </c>
      <c r="G50" s="146"/>
      <c r="H50" s="532" t="n">
        <v>0</v>
      </c>
      <c r="I50" s="532" t="n">
        <v>0</v>
      </c>
      <c r="J50" s="533" t="n">
        <v>0</v>
      </c>
      <c r="K50" s="533" t="n">
        <v>0</v>
      </c>
      <c r="L50" s="534" t="n">
        <v>0</v>
      </c>
    </row>
    <row r="51" customFormat="false" ht="12.75" hidden="false" customHeight="false" outlineLevel="0" collapsed="false">
      <c r="A51" s="535" t="s">
        <v>569</v>
      </c>
      <c r="B51" s="536" t="n">
        <v>2</v>
      </c>
      <c r="C51" s="537" t="n">
        <v>36980</v>
      </c>
      <c r="D51" s="538" t="n">
        <v>36980</v>
      </c>
      <c r="F51" s="531" t="n">
        <v>10</v>
      </c>
      <c r="G51" s="146"/>
      <c r="H51" s="532" t="n">
        <v>0</v>
      </c>
      <c r="I51" s="532" t="n">
        <v>0</v>
      </c>
      <c r="J51" s="533" t="n">
        <v>0</v>
      </c>
      <c r="K51" s="533" t="n">
        <v>0</v>
      </c>
      <c r="L51" s="534" t="n">
        <v>0</v>
      </c>
    </row>
    <row r="52" customFormat="false" ht="13.5" hidden="false" customHeight="false" outlineLevel="0" collapsed="false">
      <c r="A52" s="539" t="s">
        <v>570</v>
      </c>
      <c r="B52" s="540" t="n">
        <v>2</v>
      </c>
      <c r="C52" s="541" t="n">
        <v>37011</v>
      </c>
      <c r="D52" s="542" t="n">
        <v>37011</v>
      </c>
      <c r="F52" s="531" t="n">
        <v>11</v>
      </c>
      <c r="G52" s="146"/>
      <c r="H52" s="532" t="n">
        <v>0</v>
      </c>
      <c r="I52" s="532" t="n">
        <v>0</v>
      </c>
      <c r="J52" s="533" t="n">
        <v>0</v>
      </c>
      <c r="K52" s="533" t="n">
        <v>0</v>
      </c>
      <c r="L52" s="534" t="n">
        <v>0</v>
      </c>
    </row>
    <row r="53" customFormat="false" ht="12.75" hidden="false" customHeight="false" outlineLevel="0" collapsed="false">
      <c r="F53" s="531" t="n">
        <v>12</v>
      </c>
      <c r="G53" s="146"/>
      <c r="H53" s="532" t="n">
        <v>0</v>
      </c>
      <c r="I53" s="532" t="n">
        <v>0</v>
      </c>
      <c r="J53" s="533" t="n">
        <v>0</v>
      </c>
      <c r="K53" s="533" t="n">
        <v>0</v>
      </c>
      <c r="L53" s="534" t="n">
        <v>0</v>
      </c>
    </row>
    <row r="54" customFormat="false" ht="13.5" hidden="false" customHeight="false" outlineLevel="0" collapsed="false">
      <c r="F54" s="531" t="n">
        <v>13</v>
      </c>
      <c r="G54" s="146"/>
      <c r="H54" s="532" t="n">
        <v>0</v>
      </c>
      <c r="I54" s="532" t="n">
        <v>0</v>
      </c>
      <c r="J54" s="533" t="n">
        <v>0</v>
      </c>
      <c r="K54" s="533" t="n">
        <v>0</v>
      </c>
      <c r="L54" s="534" t="n">
        <v>0</v>
      </c>
    </row>
    <row r="55" customFormat="false" ht="12.75" hidden="false" customHeight="false" outlineLevel="0" collapsed="false">
      <c r="A55" s="543" t="s">
        <v>571</v>
      </c>
      <c r="B55" s="42"/>
      <c r="C55" s="42"/>
      <c r="D55" s="544"/>
      <c r="F55" s="531" t="n">
        <v>14</v>
      </c>
      <c r="G55" s="146"/>
      <c r="H55" s="533" t="n">
        <v>0</v>
      </c>
      <c r="I55" s="533" t="n">
        <v>0</v>
      </c>
      <c r="J55" s="533" t="n">
        <v>0</v>
      </c>
      <c r="K55" s="533" t="n">
        <v>0</v>
      </c>
      <c r="L55" s="534" t="n">
        <v>0</v>
      </c>
    </row>
    <row r="56" customFormat="false" ht="13.5" hidden="false" customHeight="false" outlineLevel="0" collapsed="false">
      <c r="A56" s="30" t="s">
        <v>572</v>
      </c>
      <c r="B56" s="31"/>
      <c r="C56" s="31"/>
      <c r="D56" s="545" t="n">
        <v>13950</v>
      </c>
      <c r="F56" s="546" t="n">
        <v>15</v>
      </c>
      <c r="G56" s="547"/>
      <c r="H56" s="548" t="n">
        <v>0</v>
      </c>
      <c r="I56" s="548" t="n">
        <v>0</v>
      </c>
      <c r="J56" s="548" t="n">
        <v>0</v>
      </c>
      <c r="K56" s="548" t="n">
        <v>0</v>
      </c>
      <c r="L56" s="549" t="n">
        <v>0</v>
      </c>
    </row>
    <row r="57" customFormat="false" ht="13.5" hidden="false" customHeight="false" outlineLevel="0" collapsed="false">
      <c r="A57" s="30" t="s">
        <v>573</v>
      </c>
      <c r="B57" s="31"/>
      <c r="C57" s="31"/>
      <c r="D57" s="545" t="n">
        <v>289.616273998374</v>
      </c>
      <c r="F57" s="550" t="s">
        <v>574</v>
      </c>
      <c r="G57" s="547"/>
      <c r="H57" s="548" t="n">
        <f aca="false">SUM(H42:H56)</f>
        <v>1</v>
      </c>
      <c r="I57" s="548" t="n">
        <f aca="false">SUM(I42:I56)</f>
        <v>1</v>
      </c>
      <c r="J57" s="548" t="n">
        <f aca="false">SUM(J42:J56)</f>
        <v>1</v>
      </c>
      <c r="K57" s="551" t="n">
        <f aca="false">SUM(K42:K56)</f>
        <v>1</v>
      </c>
      <c r="L57" s="549" t="n">
        <f aca="false">SUM(L42:L56)</f>
        <v>1</v>
      </c>
    </row>
    <row r="58" customFormat="false" ht="13.5" hidden="false" customHeight="false" outlineLevel="0" collapsed="false">
      <c r="A58" s="33" t="s">
        <v>575</v>
      </c>
      <c r="B58" s="34"/>
      <c r="C58" s="34"/>
      <c r="D58" s="552" t="n">
        <v>20.8333333333333</v>
      </c>
      <c r="E58" s="153"/>
    </row>
    <row r="59" customFormat="false" ht="13.5" hidden="false" customHeight="false" outlineLevel="0" collapsed="false">
      <c r="A59" s="553" t="s">
        <v>576</v>
      </c>
      <c r="B59" s="554"/>
      <c r="C59" s="554"/>
      <c r="D59" s="555" t="n">
        <f aca="false">SUM(D56:D58)</f>
        <v>14260.4496073317</v>
      </c>
    </row>
    <row r="60" customFormat="false" ht="12.75" hidden="false" customHeight="false" outlineLevel="0" collapsed="false">
      <c r="C60" s="188"/>
      <c r="D60" s="188"/>
    </row>
    <row r="61" customFormat="false" ht="12.75" hidden="false" customHeight="false" outlineLevel="0" collapsed="false">
      <c r="B61" s="188"/>
      <c r="C61" s="188"/>
      <c r="D61" s="188"/>
    </row>
    <row r="62" customFormat="false" ht="12.75" hidden="false" customHeight="false" outlineLevel="0" collapsed="false">
      <c r="A62" s="188"/>
      <c r="B62" s="188"/>
      <c r="C62" s="188"/>
      <c r="D62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0.0920228198111426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0.0920228198111426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47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9.41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9" min="9" style="1" width="17.85"/>
    <col collapsed="false" customWidth="true" hidden="false" outlineLevel="0" max="10" min="10" style="1" width="22.28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83</v>
      </c>
      <c r="M9" s="31"/>
      <c r="N9" s="31"/>
      <c r="O9" s="31"/>
      <c r="P9" s="32"/>
      <c r="U9" s="56" t="s">
        <v>84</v>
      </c>
      <c r="V9" s="57" t="s">
        <v>85</v>
      </c>
      <c r="W9" s="57" t="s">
        <v>86</v>
      </c>
      <c r="X9" s="57" t="s">
        <v>87</v>
      </c>
      <c r="Y9" s="57" t="s">
        <v>88</v>
      </c>
      <c r="Z9" s="57" t="s">
        <v>89</v>
      </c>
      <c r="AA9" s="57" t="s">
        <v>89</v>
      </c>
      <c r="AB9" s="58" t="s">
        <v>90</v>
      </c>
    </row>
    <row r="10" customFormat="false" ht="15.75" hidden="false" customHeight="false" outlineLevel="0" collapsed="false">
      <c r="A10" s="59" t="s">
        <v>91</v>
      </c>
      <c r="B10" s="60" t="s">
        <v>92</v>
      </c>
      <c r="C10" s="61" t="s">
        <v>93</v>
      </c>
      <c r="D10" s="62" t="s">
        <v>94</v>
      </c>
      <c r="E10" s="31"/>
      <c r="F10" s="53" t="s">
        <v>95</v>
      </c>
      <c r="G10" s="31"/>
      <c r="H10" s="63" t="s">
        <v>96</v>
      </c>
      <c r="I10" s="64" t="s">
        <v>97</v>
      </c>
      <c r="J10" s="65" t="s">
        <v>98</v>
      </c>
      <c r="L10" s="30"/>
      <c r="M10" s="31"/>
      <c r="N10" s="31"/>
      <c r="O10" s="31"/>
      <c r="P10" s="32"/>
      <c r="U10" s="66" t="s">
        <v>99</v>
      </c>
      <c r="V10" s="67" t="s">
        <v>100</v>
      </c>
      <c r="W10" s="67" t="s">
        <v>101</v>
      </c>
      <c r="X10" s="67" t="s">
        <v>102</v>
      </c>
      <c r="Y10" s="67" t="s">
        <v>103</v>
      </c>
      <c r="Z10" s="67" t="s">
        <v>104</v>
      </c>
      <c r="AA10" s="67" t="s">
        <v>104</v>
      </c>
      <c r="AB10" s="68" t="s">
        <v>105</v>
      </c>
    </row>
    <row r="11" customFormat="false" ht="15.75" hidden="false" customHeight="false" outlineLevel="0" collapsed="false">
      <c r="A11" s="69" t="s">
        <v>106</v>
      </c>
      <c r="B11" s="70" t="n">
        <f aca="false">C11/$C$14</f>
        <v>0.3</v>
      </c>
      <c r="C11" s="71" t="n">
        <f aca="false">C60-C12</f>
        <v>64055.3019654802</v>
      </c>
      <c r="D11" s="72" t="n">
        <f aca="false">C11/$H$68</f>
        <v>184.06695967092</v>
      </c>
      <c r="E11" s="31"/>
      <c r="F11" s="53" t="s">
        <v>107</v>
      </c>
      <c r="G11" s="31"/>
      <c r="H11" s="63" t="n">
        <v>14260.4496073317</v>
      </c>
      <c r="I11" s="73" t="n">
        <f aca="false">16800+8000</f>
        <v>24800</v>
      </c>
      <c r="J11" s="32"/>
      <c r="L11" s="55" t="s">
        <v>108</v>
      </c>
      <c r="M11" s="31"/>
      <c r="N11" s="74" t="n">
        <v>0.02</v>
      </c>
      <c r="O11" s="75"/>
      <c r="P11" s="32"/>
      <c r="U11" s="66" t="s">
        <v>109</v>
      </c>
      <c r="V11" s="67" t="s">
        <v>84</v>
      </c>
      <c r="W11" s="67"/>
      <c r="X11" s="67" t="s">
        <v>110</v>
      </c>
      <c r="Y11" s="67"/>
      <c r="Z11" s="67"/>
      <c r="AA11" s="67"/>
      <c r="AB11" s="68" t="s">
        <v>111</v>
      </c>
    </row>
    <row r="12" customFormat="false" ht="15.75" hidden="false" customHeight="false" outlineLevel="0" collapsed="false">
      <c r="A12" s="69" t="s">
        <v>112</v>
      </c>
      <c r="B12" s="76" t="n">
        <v>0.7</v>
      </c>
      <c r="C12" s="71" t="n">
        <f aca="false">B12*C60</f>
        <v>149462.371252787</v>
      </c>
      <c r="D12" s="72" t="n">
        <f aca="false">C12/$H$68</f>
        <v>429.48957256548</v>
      </c>
      <c r="E12" s="31"/>
      <c r="F12" s="53" t="s">
        <v>113</v>
      </c>
      <c r="G12" s="54"/>
      <c r="H12" s="77" t="n">
        <v>6</v>
      </c>
      <c r="I12" s="77" t="n">
        <v>1</v>
      </c>
      <c r="J12" s="78"/>
      <c r="L12" s="79"/>
      <c r="M12" s="31"/>
      <c r="N12" s="31"/>
      <c r="O12" s="75"/>
      <c r="P12" s="32"/>
      <c r="U12" s="80"/>
      <c r="V12" s="67" t="s">
        <v>109</v>
      </c>
      <c r="W12" s="31"/>
      <c r="X12" s="67" t="s">
        <v>114</v>
      </c>
      <c r="Y12" s="31"/>
      <c r="Z12" s="31"/>
      <c r="AA12" s="31"/>
      <c r="AB12" s="81"/>
    </row>
    <row r="13" customFormat="false" ht="15.75" hidden="false" customHeight="false" outlineLevel="0" collapsed="false">
      <c r="A13" s="82"/>
      <c r="B13" s="83"/>
      <c r="C13" s="84"/>
      <c r="D13" s="72"/>
      <c r="E13" s="31"/>
      <c r="F13" s="53" t="s">
        <v>115</v>
      </c>
      <c r="G13" s="54"/>
      <c r="H13" s="85" t="n">
        <v>45.5</v>
      </c>
      <c r="I13" s="85" t="n">
        <v>75</v>
      </c>
      <c r="J13" s="78"/>
      <c r="L13" s="55" t="s">
        <v>116</v>
      </c>
      <c r="M13" s="31"/>
      <c r="N13" s="86"/>
      <c r="O13" s="75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IF(C30&gt;0,1,2)</f>
        <v>1</v>
      </c>
      <c r="AB13" s="58" t="n">
        <v>1</v>
      </c>
    </row>
    <row r="14" customFormat="false" ht="15.75" hidden="false" customHeight="false" outlineLevel="0" collapsed="false">
      <c r="A14" s="87" t="s">
        <v>117</v>
      </c>
      <c r="B14" s="88" t="n">
        <f aca="false">C14/$C$14</f>
        <v>1</v>
      </c>
      <c r="C14" s="89" t="n">
        <f aca="false">SUM(C11:C12)</f>
        <v>213517.673218267</v>
      </c>
      <c r="D14" s="90" t="n">
        <f aca="false">C14/$H$68</f>
        <v>613.5565322364</v>
      </c>
      <c r="E14" s="31"/>
      <c r="F14" s="53" t="s">
        <v>118</v>
      </c>
      <c r="G14" s="54"/>
      <c r="H14" s="77" t="n">
        <v>10500</v>
      </c>
      <c r="I14" s="77" t="n">
        <v>7500</v>
      </c>
      <c r="J14" s="78" t="n">
        <v>8275</v>
      </c>
      <c r="L14" s="30"/>
      <c r="M14" s="31"/>
      <c r="N14" s="91" t="s">
        <v>119</v>
      </c>
      <c r="O14" s="92" t="s">
        <v>120</v>
      </c>
      <c r="P14" s="93" t="s">
        <v>121</v>
      </c>
      <c r="U14" s="94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IF(C33&gt;0,10,20)</f>
        <v>10</v>
      </c>
      <c r="AA14" s="18" t="str">
        <f aca="false">CHOOSE(AA13,AA9,AA10,AA11,AA12)</f>
        <v>Yes</v>
      </c>
      <c r="AB14" s="95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6"/>
      <c r="E15" s="31"/>
      <c r="F15" s="53" t="s">
        <v>122</v>
      </c>
      <c r="G15" s="54"/>
      <c r="H15" s="77" t="n">
        <v>10500</v>
      </c>
      <c r="I15" s="77" t="n">
        <v>7500</v>
      </c>
      <c r="J15" s="78" t="n">
        <v>8275</v>
      </c>
      <c r="L15" s="79" t="s">
        <v>123</v>
      </c>
      <c r="M15" s="31"/>
      <c r="N15" s="97" t="n">
        <v>0</v>
      </c>
      <c r="O15" s="98"/>
      <c r="P15" s="99" t="n">
        <v>0.388</v>
      </c>
    </row>
    <row r="16" customFormat="false" ht="15.75" hidden="false" customHeight="false" outlineLevel="0" collapsed="false">
      <c r="A16" s="30"/>
      <c r="B16" s="31"/>
      <c r="C16" s="31"/>
      <c r="D16" s="96"/>
      <c r="E16" s="31"/>
      <c r="F16" s="53" t="s">
        <v>124</v>
      </c>
      <c r="G16" s="31"/>
      <c r="H16" s="100" t="n">
        <v>7</v>
      </c>
      <c r="I16" s="31"/>
      <c r="J16" s="32"/>
      <c r="L16" s="101" t="s">
        <v>125</v>
      </c>
      <c r="M16" s="31"/>
      <c r="N16" s="102" t="n">
        <v>0</v>
      </c>
      <c r="O16" s="103"/>
      <c r="P16" s="104" t="n">
        <v>0.328</v>
      </c>
      <c r="U16" s="105"/>
      <c r="V16" s="106" t="s">
        <v>126</v>
      </c>
      <c r="W16" s="107" t="s">
        <v>127</v>
      </c>
    </row>
    <row r="17" customFormat="false" ht="15.75" hidden="false" customHeight="false" outlineLevel="0" collapsed="false">
      <c r="A17" s="59" t="s">
        <v>128</v>
      </c>
      <c r="B17" s="60"/>
      <c r="C17" s="60"/>
      <c r="D17" s="72"/>
      <c r="E17" s="31"/>
      <c r="F17" s="53" t="s">
        <v>129</v>
      </c>
      <c r="G17" s="54"/>
      <c r="H17" s="108" t="n">
        <v>37012</v>
      </c>
      <c r="I17" s="108" t="n">
        <v>37377</v>
      </c>
      <c r="J17" s="109" t="n">
        <v>37377</v>
      </c>
      <c r="L17" s="53" t="s">
        <v>130</v>
      </c>
      <c r="M17" s="110"/>
      <c r="N17" s="111" t="n">
        <f aca="false">SUM(N15:N16)</f>
        <v>0</v>
      </c>
      <c r="O17" s="112"/>
      <c r="P17" s="113" t="n">
        <f aca="false">SUM(P15:P16)</f>
        <v>0.716</v>
      </c>
      <c r="U17" s="114" t="s">
        <v>88</v>
      </c>
      <c r="V17" s="31" t="n">
        <v>11</v>
      </c>
      <c r="W17" s="81" t="n">
        <v>21</v>
      </c>
    </row>
    <row r="18" customFormat="false" ht="15.75" hidden="false" customHeight="false" outlineLevel="0" collapsed="false">
      <c r="A18" s="115"/>
      <c r="B18" s="116"/>
      <c r="C18" s="31"/>
      <c r="D18" s="96"/>
      <c r="E18" s="31"/>
      <c r="F18" s="79" t="s">
        <v>131</v>
      </c>
      <c r="G18" s="86"/>
      <c r="H18" s="117" t="n">
        <v>8</v>
      </c>
      <c r="I18" s="118"/>
      <c r="J18" s="32"/>
      <c r="L18" s="30"/>
      <c r="M18" s="31"/>
      <c r="N18" s="31"/>
      <c r="O18" s="31"/>
      <c r="P18" s="119" t="s">
        <v>132</v>
      </c>
      <c r="U18" s="120" t="s">
        <v>133</v>
      </c>
      <c r="V18" s="121" t="n">
        <v>12</v>
      </c>
      <c r="W18" s="122" t="n">
        <v>22</v>
      </c>
    </row>
    <row r="19" customFormat="false" ht="15.75" hidden="false" customHeight="false" outlineLevel="0" collapsed="false">
      <c r="A19" s="69" t="s">
        <v>134</v>
      </c>
      <c r="B19" s="31"/>
      <c r="C19" s="31"/>
      <c r="D19" s="96"/>
      <c r="E19" s="31"/>
      <c r="F19" s="53" t="s">
        <v>135</v>
      </c>
      <c r="G19" s="31"/>
      <c r="H19" s="77" t="n">
        <v>30</v>
      </c>
      <c r="I19" s="118"/>
      <c r="J19" s="32"/>
      <c r="L19" s="79" t="s">
        <v>136</v>
      </c>
      <c r="M19" s="31"/>
      <c r="N19" s="123" t="n">
        <v>1093.636</v>
      </c>
      <c r="O19" s="124" t="n">
        <f aca="false">N19/$H$68</f>
        <v>3.14263218390805</v>
      </c>
      <c r="P19" s="32"/>
    </row>
    <row r="20" customFormat="false" ht="15.75" hidden="false" customHeight="false" outlineLevel="0" collapsed="false">
      <c r="A20" s="79" t="s">
        <v>137</v>
      </c>
      <c r="B20" s="125" t="n">
        <f aca="false">C20/$C$60</f>
        <v>0.516878513991545</v>
      </c>
      <c r="C20" s="71" t="n">
        <f aca="false">(H11*H12)+(I11*I12)</f>
        <v>110362.69764399</v>
      </c>
      <c r="D20" s="72" t="n">
        <f aca="false">C20/$H$68</f>
        <v>317.134188632156</v>
      </c>
      <c r="E20" s="31"/>
      <c r="F20" s="53" t="s">
        <v>138</v>
      </c>
      <c r="G20" s="31"/>
      <c r="H20" s="126" t="s">
        <v>139</v>
      </c>
      <c r="I20" s="118"/>
      <c r="J20" s="32"/>
      <c r="L20" s="79" t="s">
        <v>140</v>
      </c>
      <c r="M20" s="31"/>
      <c r="N20" s="123" t="n">
        <v>250</v>
      </c>
      <c r="O20" s="124" t="n">
        <f aca="false">N20/$H$68</f>
        <v>0.718390804597701</v>
      </c>
      <c r="P20" s="32"/>
    </row>
    <row r="21" customFormat="false" ht="15.75" hidden="false" customHeight="false" outlineLevel="0" collapsed="false">
      <c r="A21" s="79" t="s">
        <v>141</v>
      </c>
      <c r="B21" s="125" t="n">
        <f aca="false">C21/$C$60</f>
        <v>0</v>
      </c>
      <c r="C21" s="71" t="n">
        <v>0</v>
      </c>
      <c r="D21" s="72" t="n">
        <f aca="false">C21/$H$68</f>
        <v>0</v>
      </c>
      <c r="E21" s="31"/>
      <c r="F21" s="30"/>
      <c r="G21" s="31"/>
      <c r="H21" s="31"/>
      <c r="I21" s="31"/>
      <c r="J21" s="32"/>
      <c r="L21" s="79" t="s">
        <v>142</v>
      </c>
      <c r="M21" s="31"/>
      <c r="N21" s="123" t="n">
        <v>0</v>
      </c>
      <c r="O21" s="124" t="n">
        <f aca="false">N21/$H$68</f>
        <v>0</v>
      </c>
      <c r="P21" s="32"/>
    </row>
    <row r="22" customFormat="false" ht="15.75" hidden="false" customHeight="false" outlineLevel="0" collapsed="false">
      <c r="A22" s="79" t="s">
        <v>143</v>
      </c>
      <c r="B22" s="125" t="n">
        <f aca="false">C22/$C$60</f>
        <v>0.00281007183600513</v>
      </c>
      <c r="C22" s="127" t="n">
        <f aca="false">'Cost Details'!D29</f>
        <v>600</v>
      </c>
      <c r="D22" s="72" t="n">
        <f aca="false">C22/$H$68</f>
        <v>1.72413793103448</v>
      </c>
      <c r="E22" s="31"/>
      <c r="F22" s="128" t="s">
        <v>144</v>
      </c>
      <c r="G22" s="31"/>
      <c r="H22" s="129"/>
      <c r="I22" s="31"/>
      <c r="J22" s="32"/>
      <c r="L22" s="79" t="s">
        <v>145</v>
      </c>
      <c r="M22" s="31"/>
      <c r="N22" s="123" t="n">
        <v>0</v>
      </c>
      <c r="O22" s="124" t="n">
        <f aca="false">N22/$H$68</f>
        <v>0</v>
      </c>
      <c r="P22" s="32"/>
    </row>
    <row r="23" customFormat="false" ht="15.75" hidden="false" customHeight="false" outlineLevel="0" collapsed="false">
      <c r="A23" s="79" t="s">
        <v>146</v>
      </c>
      <c r="B23" s="125" t="n">
        <f aca="false">C23/$C$60</f>
        <v>0.0103130900913715</v>
      </c>
      <c r="C23" s="130" t="n">
        <f aca="false">'Cost Details'!D12</f>
        <v>2202.027</v>
      </c>
      <c r="D23" s="72" t="n">
        <f aca="false">C23/$H$68</f>
        <v>6.32766379310345</v>
      </c>
      <c r="E23" s="31"/>
      <c r="F23" s="131" t="s">
        <v>87</v>
      </c>
      <c r="G23" s="54"/>
      <c r="H23" s="132" t="n">
        <v>5</v>
      </c>
      <c r="I23" s="133"/>
      <c r="J23" s="32"/>
      <c r="L23" s="79" t="s">
        <v>125</v>
      </c>
      <c r="M23" s="31"/>
      <c r="N23" s="123" t="n">
        <v>838</v>
      </c>
      <c r="O23" s="124" t="n">
        <f aca="false">N23/$H$68</f>
        <v>2.40804597701149</v>
      </c>
      <c r="P23" s="32"/>
    </row>
    <row r="24" customFormat="false" ht="15.75" hidden="false" customHeight="false" outlineLevel="0" collapsed="false">
      <c r="A24" s="79" t="s">
        <v>147</v>
      </c>
      <c r="B24" s="125" t="n">
        <f aca="false">C24/$C$60</f>
        <v>0.0135756958958469</v>
      </c>
      <c r="C24" s="130" t="n">
        <f aca="false">'Cost Details'!D21</f>
        <v>2898.651</v>
      </c>
      <c r="D24" s="72" t="n">
        <f aca="false">C24/$H$68</f>
        <v>8.32945689655172</v>
      </c>
      <c r="E24" s="31"/>
      <c r="F24" s="131" t="s">
        <v>148</v>
      </c>
      <c r="G24" s="31"/>
      <c r="H24" s="134" t="n">
        <v>0.1</v>
      </c>
      <c r="I24" s="118"/>
      <c r="J24" s="32"/>
      <c r="L24" s="79" t="s">
        <v>149</v>
      </c>
      <c r="M24" s="31"/>
      <c r="N24" s="123" t="n">
        <v>281.108</v>
      </c>
      <c r="O24" s="124" t="n">
        <f aca="false">N24/$H$68</f>
        <v>0.807781609195402</v>
      </c>
      <c r="P24" s="32"/>
    </row>
    <row r="25" customFormat="false" ht="16.5" hidden="false" customHeight="false" outlineLevel="0" collapsed="false">
      <c r="A25" s="79" t="s">
        <v>150</v>
      </c>
      <c r="B25" s="125" t="n">
        <f aca="false">C25/$C$60</f>
        <v>0.122206745730721</v>
      </c>
      <c r="C25" s="127" t="n">
        <f aca="false">'Cost Details'!D67</f>
        <v>26093.3</v>
      </c>
      <c r="D25" s="72" t="n">
        <f aca="false">C25/$H$68</f>
        <v>74.9807471264368</v>
      </c>
      <c r="E25" s="31"/>
      <c r="F25" s="135" t="s">
        <v>94</v>
      </c>
      <c r="G25" s="34"/>
      <c r="H25" s="136" t="n">
        <v>200</v>
      </c>
      <c r="I25" s="34"/>
      <c r="J25" s="35"/>
      <c r="L25" s="101" t="s">
        <v>151</v>
      </c>
      <c r="M25" s="137"/>
      <c r="N25" s="138" t="n">
        <f aca="false">400+22.479</f>
        <v>422.479</v>
      </c>
      <c r="O25" s="139" t="n">
        <f aca="false">N25/$H$68</f>
        <v>1.21402011494253</v>
      </c>
      <c r="P25" s="32"/>
    </row>
    <row r="26" customFormat="false" ht="16.5" hidden="false" customHeight="false" outlineLevel="0" collapsed="false">
      <c r="A26" s="79" t="s">
        <v>152</v>
      </c>
      <c r="B26" s="125" t="n">
        <f aca="false">C26/$C$60</f>
        <v>0.0838592221904567</v>
      </c>
      <c r="C26" s="127" t="n">
        <f aca="false">'Cost Details'!D86</f>
        <v>17905.426</v>
      </c>
      <c r="D26" s="72" t="n">
        <f aca="false">C26/$H$68</f>
        <v>51.4523735632184</v>
      </c>
      <c r="E26" s="31"/>
      <c r="L26" s="53" t="s">
        <v>153</v>
      </c>
      <c r="M26" s="110"/>
      <c r="N26" s="111" t="n">
        <f aca="false">SUM(N19:N25)</f>
        <v>2885.223</v>
      </c>
      <c r="O26" s="140" t="n">
        <f aca="false">SUM(O19:O25)</f>
        <v>8.29087068965517</v>
      </c>
      <c r="P26" s="141"/>
    </row>
    <row r="27" customFormat="false" ht="15.75" hidden="false" customHeight="false" outlineLevel="0" collapsed="false">
      <c r="A27" s="79" t="s">
        <v>154</v>
      </c>
      <c r="B27" s="125" t="n">
        <f aca="false">C27/$C$60</f>
        <v>0.0234172653000428</v>
      </c>
      <c r="C27" s="127" t="n">
        <f aca="false">'Cost Details'!D30</f>
        <v>5000</v>
      </c>
      <c r="D27" s="72" t="n">
        <f aca="false">C27/$H$68</f>
        <v>14.367816091954</v>
      </c>
      <c r="E27" s="31"/>
      <c r="F27" s="41" t="s">
        <v>155</v>
      </c>
      <c r="G27" s="42"/>
      <c r="H27" s="42"/>
      <c r="I27" s="142"/>
      <c r="J27" s="48"/>
      <c r="L27" s="30"/>
      <c r="M27" s="31"/>
      <c r="N27" s="31"/>
      <c r="O27" s="31"/>
      <c r="P27" s="32"/>
      <c r="R27" s="143"/>
    </row>
    <row r="28" customFormat="false" ht="15.75" hidden="false" customHeight="false" outlineLevel="0" collapsed="false">
      <c r="A28" s="79" t="s">
        <v>156</v>
      </c>
      <c r="B28" s="125" t="n">
        <f aca="false">C28/$C$60</f>
        <v>0.00786820114081437</v>
      </c>
      <c r="C28" s="127" t="n">
        <f aca="false">'Cost Details'!D31</f>
        <v>1680</v>
      </c>
      <c r="D28" s="72" t="n">
        <f aca="false">C28/$H$68</f>
        <v>4.82758620689655</v>
      </c>
      <c r="E28" s="31"/>
      <c r="F28" s="144" t="s">
        <v>157</v>
      </c>
      <c r="G28" s="145"/>
      <c r="H28" s="145" t="s">
        <v>158</v>
      </c>
      <c r="I28" s="146"/>
      <c r="J28" s="147"/>
      <c r="L28" s="55" t="s">
        <v>159</v>
      </c>
      <c r="M28" s="31"/>
      <c r="N28" s="111"/>
      <c r="O28" s="112"/>
      <c r="P28" s="32"/>
      <c r="R28" s="143"/>
    </row>
    <row r="29" customFormat="false" ht="15.75" hidden="false" customHeight="false" outlineLevel="0" collapsed="false">
      <c r="A29" s="79" t="s">
        <v>160</v>
      </c>
      <c r="B29" s="125" t="n">
        <f aca="false">C29/$C$60</f>
        <v>0.00804179801193665</v>
      </c>
      <c r="C29" s="127" t="n">
        <f aca="false">'Cost Details'!D24</f>
        <v>1717.066</v>
      </c>
      <c r="D29" s="72" t="n">
        <f aca="false">C29/$H$68</f>
        <v>4.93409770114943</v>
      </c>
      <c r="E29" s="31"/>
      <c r="F29" s="131" t="s">
        <v>161</v>
      </c>
      <c r="G29" s="108" t="n">
        <v>36770</v>
      </c>
      <c r="H29" s="148"/>
      <c r="I29" s="146"/>
      <c r="J29" s="147"/>
      <c r="L29" s="79" t="s">
        <v>75</v>
      </c>
      <c r="M29" s="31"/>
      <c r="N29" s="111" t="n">
        <f aca="false">IS!C16</f>
        <v>0</v>
      </c>
      <c r="O29" s="112" t="n">
        <f aca="false">N29/$H$68</f>
        <v>0</v>
      </c>
      <c r="P29" s="32"/>
      <c r="R29" s="149"/>
    </row>
    <row r="30" customFormat="false" ht="15.75" hidden="false" customHeight="false" outlineLevel="0" collapsed="false">
      <c r="A30" s="79" t="s">
        <v>162</v>
      </c>
      <c r="B30" s="125" t="n">
        <f aca="false">C30/$C$60</f>
        <v>0.0524003462165997</v>
      </c>
      <c r="C30" s="127" t="n">
        <f aca="false">'Cost Details'!D108</f>
        <v>11188.4</v>
      </c>
      <c r="D30" s="72" t="n">
        <f aca="false">C30/$H$68</f>
        <v>32.1505747126437</v>
      </c>
      <c r="E30" s="31"/>
      <c r="F30" s="131" t="s">
        <v>163</v>
      </c>
      <c r="G30" s="108" t="n">
        <v>36571</v>
      </c>
      <c r="H30" s="148"/>
      <c r="I30" s="146"/>
      <c r="J30" s="147"/>
      <c r="L30" s="79" t="s">
        <v>164</v>
      </c>
      <c r="M30" s="31"/>
      <c r="N30" s="123" t="n">
        <f aca="false">(C34*0.7)*0.025</f>
        <v>3330.01505626983</v>
      </c>
      <c r="O30" s="112" t="n">
        <f aca="false">N30/$H$68</f>
        <v>9.56900878238457</v>
      </c>
      <c r="P30" s="150" t="n">
        <v>0</v>
      </c>
      <c r="R30" s="143"/>
    </row>
    <row r="31" customFormat="false" ht="15.75" hidden="false" customHeight="false" outlineLevel="0" collapsed="false">
      <c r="A31" s="79" t="s">
        <v>165</v>
      </c>
      <c r="B31" s="125" t="n">
        <f aca="false">C31/$C$60</f>
        <v>0.00717199179308492</v>
      </c>
      <c r="C31" s="127" t="n">
        <f aca="false">'Cost Details'!D94</f>
        <v>1531.347</v>
      </c>
      <c r="D31" s="72" t="n">
        <f aca="false">C31/$H$68</f>
        <v>4.4004224137931</v>
      </c>
      <c r="E31" s="31"/>
      <c r="F31" s="30"/>
      <c r="G31" s="31"/>
      <c r="H31" s="110"/>
      <c r="I31" s="146"/>
      <c r="J31" s="147"/>
      <c r="L31" s="79" t="s">
        <v>166</v>
      </c>
      <c r="M31" s="31"/>
      <c r="N31" s="111" t="n">
        <f aca="false">IS!C24/IS!C6</f>
        <v>0</v>
      </c>
      <c r="O31" s="112" t="n">
        <f aca="false">N31/$H$68</f>
        <v>0</v>
      </c>
      <c r="P31" s="32"/>
      <c r="R31" s="143"/>
    </row>
    <row r="32" customFormat="false" ht="15.75" hidden="false" customHeight="false" outlineLevel="0" collapsed="false">
      <c r="A32" s="79" t="s">
        <v>167</v>
      </c>
      <c r="B32" s="125" t="n">
        <f aca="false">C32/$C$60</f>
        <v>0</v>
      </c>
      <c r="C32" s="127" t="n">
        <v>0</v>
      </c>
      <c r="D32" s="72" t="n">
        <f aca="false">C32/$H$68</f>
        <v>0</v>
      </c>
      <c r="E32" s="31"/>
      <c r="F32" s="151" t="s">
        <v>168</v>
      </c>
      <c r="G32" s="152" t="n">
        <f aca="false">Debt!B19</f>
        <v>84092.2306130835</v>
      </c>
      <c r="H32" s="152"/>
      <c r="I32" s="146"/>
      <c r="J32" s="147"/>
      <c r="L32" s="79" t="s">
        <v>169</v>
      </c>
      <c r="M32" s="31"/>
      <c r="N32" s="111" t="n">
        <f aca="false">IS!C25/IS!C6</f>
        <v>0</v>
      </c>
      <c r="O32" s="112" t="n">
        <f aca="false">N32/$H$68</f>
        <v>0</v>
      </c>
      <c r="P32" s="32"/>
      <c r="Q32" s="153"/>
      <c r="R32" s="143"/>
    </row>
    <row r="33" customFormat="false" ht="16.5" hidden="false" customHeight="false" outlineLevel="0" collapsed="false">
      <c r="A33" s="79" t="s">
        <v>170</v>
      </c>
      <c r="B33" s="154" t="n">
        <f aca="false">C33/$C$60</f>
        <v>0.0426552980965175</v>
      </c>
      <c r="C33" s="155" t="n">
        <f aca="false">'Cost Details'!D69</f>
        <v>9107.66</v>
      </c>
      <c r="D33" s="156" t="n">
        <f aca="false">C33/$H$68</f>
        <v>26.1714367816092</v>
      </c>
      <c r="E33" s="31"/>
      <c r="F33" s="151" t="s">
        <v>171</v>
      </c>
      <c r="G33" s="157" t="n">
        <v>30</v>
      </c>
      <c r="H33" s="152"/>
      <c r="I33" s="146"/>
      <c r="J33" s="147"/>
      <c r="L33" s="158" t="s">
        <v>172</v>
      </c>
      <c r="M33" s="34"/>
      <c r="N33" s="159" t="n">
        <f aca="false">IS!C26/IS!C6</f>
        <v>0</v>
      </c>
      <c r="O33" s="160" t="n">
        <f aca="false">N33/$H$68</f>
        <v>0</v>
      </c>
      <c r="P33" s="35"/>
      <c r="R33" s="143"/>
    </row>
    <row r="34" customFormat="false" ht="16.5" hidden="false" customHeight="false" outlineLevel="0" collapsed="false">
      <c r="A34" s="79" t="s">
        <v>173</v>
      </c>
      <c r="B34" s="125" t="n">
        <f aca="false">SUM(B20:B33)</f>
        <v>0.891198240294942</v>
      </c>
      <c r="C34" s="71" t="n">
        <f aca="false">SUM(C20:C33)</f>
        <v>190286.57464399</v>
      </c>
      <c r="D34" s="72" t="n">
        <f aca="false">SUM(D20:D33)</f>
        <v>546.800501850547</v>
      </c>
      <c r="E34" s="31"/>
      <c r="F34" s="151" t="s">
        <v>174</v>
      </c>
      <c r="G34" s="148" t="n">
        <v>44287</v>
      </c>
      <c r="H34" s="148"/>
      <c r="I34" s="146"/>
      <c r="J34" s="147"/>
      <c r="N34" s="161"/>
      <c r="R34" s="143"/>
    </row>
    <row r="35" customFormat="false" ht="15.75" hidden="false" customHeight="false" outlineLevel="0" collapsed="false">
      <c r="A35" s="30"/>
      <c r="B35" s="31"/>
      <c r="C35" s="31"/>
      <c r="D35" s="32"/>
      <c r="E35" s="31"/>
      <c r="F35" s="151" t="s">
        <v>175</v>
      </c>
      <c r="G35" s="162" t="n">
        <f aca="false">Debt!E66</f>
        <v>10.0112297427901</v>
      </c>
      <c r="H35" s="163" t="str">
        <f aca="false">IF(H32,#REF!," ")</f>
        <v> </v>
      </c>
      <c r="I35" s="146"/>
      <c r="J35" s="147"/>
      <c r="L35" s="44" t="s">
        <v>176</v>
      </c>
      <c r="M35" s="46"/>
      <c r="N35" s="164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51"/>
      <c r="G36" s="31"/>
      <c r="H36" s="31"/>
      <c r="I36" s="146"/>
      <c r="J36" s="147"/>
      <c r="L36" s="30"/>
      <c r="M36" s="165"/>
      <c r="N36" s="31"/>
      <c r="O36" s="31"/>
      <c r="P36" s="32"/>
      <c r="R36" s="3"/>
    </row>
    <row r="37" customFormat="false" ht="15.75" hidden="false" customHeight="false" outlineLevel="0" collapsed="false">
      <c r="A37" s="69" t="s">
        <v>177</v>
      </c>
      <c r="B37" s="31"/>
      <c r="C37" s="166"/>
      <c r="D37" s="167"/>
      <c r="E37" s="31"/>
      <c r="F37" s="79" t="s">
        <v>178</v>
      </c>
      <c r="G37" s="168" t="n">
        <v>0.06</v>
      </c>
      <c r="H37" s="168" t="n">
        <v>0.06</v>
      </c>
      <c r="I37" s="146"/>
      <c r="J37" s="147"/>
      <c r="L37" s="79"/>
      <c r="M37" s="31"/>
      <c r="N37" s="165" t="s">
        <v>179</v>
      </c>
      <c r="O37" s="165" t="s">
        <v>180</v>
      </c>
      <c r="P37" s="169" t="s">
        <v>181</v>
      </c>
      <c r="R37" s="31"/>
    </row>
    <row r="38" customFormat="false" ht="15.75" hidden="false" customHeight="false" outlineLevel="0" collapsed="false">
      <c r="A38" s="79" t="s">
        <v>182</v>
      </c>
      <c r="B38" s="125" t="n">
        <f aca="false">C38/$C$60</f>
        <v>0.0174087556499374</v>
      </c>
      <c r="C38" s="127" t="n">
        <f aca="false">'Cost Details'!D113</f>
        <v>3717.077</v>
      </c>
      <c r="D38" s="72" t="n">
        <f aca="false">C38/$H$68</f>
        <v>10.6812557471264</v>
      </c>
      <c r="E38" s="31"/>
      <c r="F38" s="79" t="s">
        <v>183</v>
      </c>
      <c r="G38" s="170" t="n">
        <v>0.01</v>
      </c>
      <c r="H38" s="170" t="n">
        <v>0.01</v>
      </c>
      <c r="I38" s="146"/>
      <c r="J38" s="147"/>
      <c r="L38" s="128" t="s">
        <v>184</v>
      </c>
      <c r="M38" s="31"/>
      <c r="N38" s="171"/>
      <c r="O38" s="171"/>
      <c r="P38" s="172"/>
      <c r="R38" s="31"/>
    </row>
    <row r="39" customFormat="false" ht="15.75" hidden="false" customHeight="false" outlineLevel="0" collapsed="false">
      <c r="A39" s="69" t="s">
        <v>185</v>
      </c>
      <c r="B39" s="125" t="n">
        <f aca="false">C39/$C$60</f>
        <v>0</v>
      </c>
      <c r="C39" s="127" t="n">
        <v>0</v>
      </c>
      <c r="D39" s="72" t="n">
        <f aca="false">C39/$H$68</f>
        <v>0</v>
      </c>
      <c r="E39" s="31"/>
      <c r="F39" s="151" t="s">
        <v>186</v>
      </c>
      <c r="G39" s="173" t="n">
        <f aca="false">Debt!E64</f>
        <v>0.07</v>
      </c>
      <c r="H39" s="173" t="n">
        <f aca="false">SUM(H37:H38)</f>
        <v>0.07</v>
      </c>
      <c r="I39" s="146"/>
      <c r="J39" s="147"/>
      <c r="L39" s="53" t="s">
        <v>187</v>
      </c>
      <c r="M39" s="31"/>
      <c r="N39" s="174" t="n">
        <v>15</v>
      </c>
      <c r="O39" s="175" t="s">
        <v>188</v>
      </c>
      <c r="P39" s="176" t="n">
        <v>0</v>
      </c>
      <c r="R39" s="143"/>
    </row>
    <row r="40" customFormat="false" ht="15.75" hidden="false" customHeight="false" outlineLevel="0" collapsed="false">
      <c r="A40" s="69" t="s">
        <v>189</v>
      </c>
      <c r="B40" s="125" t="n">
        <f aca="false">C40/$C$60</f>
        <v>0.0107224754067999</v>
      </c>
      <c r="C40" s="177" t="n">
        <v>2289.438</v>
      </c>
      <c r="D40" s="72" t="n">
        <f aca="false">C40/$H$68</f>
        <v>6.57884482758621</v>
      </c>
      <c r="E40" s="31"/>
      <c r="F40" s="79"/>
      <c r="G40" s="86"/>
      <c r="H40" s="86"/>
      <c r="I40" s="86"/>
      <c r="J40" s="178"/>
      <c r="L40" s="53" t="s">
        <v>190</v>
      </c>
      <c r="M40" s="31"/>
      <c r="N40" s="174" t="n">
        <v>5</v>
      </c>
      <c r="O40" s="175" t="s">
        <v>191</v>
      </c>
      <c r="P40" s="176" t="n">
        <v>0</v>
      </c>
      <c r="R40" s="143"/>
    </row>
    <row r="41" customFormat="false" ht="15.75" hidden="false" customHeight="false" outlineLevel="0" collapsed="false">
      <c r="A41" s="69" t="s">
        <v>192</v>
      </c>
      <c r="B41" s="125" t="n">
        <f aca="false">C41/$C$60</f>
        <v>0</v>
      </c>
      <c r="C41" s="127" t="n">
        <v>0</v>
      </c>
      <c r="D41" s="72" t="n">
        <f aca="false">C41/$H$68</f>
        <v>0</v>
      </c>
      <c r="E41" s="31"/>
      <c r="F41" s="79" t="s">
        <v>193</v>
      </c>
      <c r="G41" s="157" t="n">
        <v>0</v>
      </c>
      <c r="H41" s="157" t="n">
        <v>0</v>
      </c>
      <c r="I41" s="86" t="s">
        <v>194</v>
      </c>
      <c r="J41" s="119"/>
      <c r="L41" s="53" t="s">
        <v>195</v>
      </c>
      <c r="M41" s="31"/>
      <c r="N41" s="174" t="n">
        <v>20</v>
      </c>
      <c r="O41" s="175" t="s">
        <v>191</v>
      </c>
      <c r="P41" s="176" t="n">
        <v>0</v>
      </c>
      <c r="R41" s="149"/>
    </row>
    <row r="42" customFormat="false" ht="15.75" hidden="false" customHeight="false" outlineLevel="0" collapsed="false">
      <c r="A42" s="79" t="s">
        <v>196</v>
      </c>
      <c r="B42" s="125" t="n">
        <f aca="false">C42/$C$60</f>
        <v>0</v>
      </c>
      <c r="C42" s="127" t="n">
        <v>0</v>
      </c>
      <c r="D42" s="72" t="n">
        <f aca="false">C42/$H$68</f>
        <v>0</v>
      </c>
      <c r="E42" s="31"/>
      <c r="F42" s="79" t="s">
        <v>197</v>
      </c>
      <c r="G42" s="179" t="n">
        <v>0.02</v>
      </c>
      <c r="H42" s="86"/>
      <c r="I42" s="86"/>
      <c r="J42" s="119"/>
      <c r="L42" s="53"/>
      <c r="M42" s="31"/>
      <c r="N42" s="180"/>
      <c r="O42" s="180"/>
      <c r="P42" s="181"/>
      <c r="R42" s="182"/>
    </row>
    <row r="43" customFormat="false" ht="15.75" hidden="false" customHeight="false" outlineLevel="0" collapsed="false">
      <c r="A43" s="69" t="s">
        <v>198</v>
      </c>
      <c r="B43" s="125" t="n">
        <f aca="false">C43/$C$60</f>
        <v>0</v>
      </c>
      <c r="C43" s="127" t="n">
        <v>0</v>
      </c>
      <c r="D43" s="72" t="n">
        <f aca="false">C43/$H$68</f>
        <v>0</v>
      </c>
      <c r="E43" s="31"/>
      <c r="F43" s="79" t="s">
        <v>199</v>
      </c>
      <c r="G43" s="179" t="n">
        <v>0</v>
      </c>
      <c r="H43" s="31"/>
      <c r="I43" s="31"/>
      <c r="J43" s="32"/>
      <c r="L43" s="128" t="s">
        <v>13</v>
      </c>
      <c r="M43" s="31"/>
      <c r="N43" s="180"/>
      <c r="O43" s="180"/>
      <c r="P43" s="176"/>
    </row>
    <row r="44" customFormat="false" ht="15.75" hidden="false" customHeight="false" outlineLevel="0" collapsed="false">
      <c r="A44" s="69" t="s">
        <v>200</v>
      </c>
      <c r="B44" s="125" t="n">
        <f aca="false">C44/$C$60</f>
        <v>0</v>
      </c>
      <c r="C44" s="127" t="n">
        <v>0</v>
      </c>
      <c r="D44" s="72" t="n">
        <f aca="false">C44/$H$68</f>
        <v>0</v>
      </c>
      <c r="E44" s="31"/>
      <c r="F44" s="30"/>
      <c r="G44" s="31"/>
      <c r="H44" s="31"/>
      <c r="I44" s="31"/>
      <c r="J44" s="32"/>
      <c r="L44" s="53" t="s">
        <v>187</v>
      </c>
      <c r="M44" s="31"/>
      <c r="N44" s="174" t="n">
        <v>30</v>
      </c>
      <c r="O44" s="175" t="s">
        <v>191</v>
      </c>
      <c r="P44" s="176" t="n">
        <v>0.1</v>
      </c>
    </row>
    <row r="45" customFormat="false" ht="15.75" hidden="false" customHeight="false" outlineLevel="0" collapsed="false">
      <c r="A45" s="69" t="s">
        <v>201</v>
      </c>
      <c r="B45" s="125" t="n">
        <f aca="false">C45/$C$60</f>
        <v>0</v>
      </c>
      <c r="C45" s="127" t="n">
        <v>0</v>
      </c>
      <c r="D45" s="72" t="n">
        <f aca="false">C45/$H$68</f>
        <v>0</v>
      </c>
      <c r="E45" s="31"/>
      <c r="F45" s="144" t="s">
        <v>202</v>
      </c>
      <c r="G45" s="31"/>
      <c r="H45" s="31"/>
      <c r="I45" s="31"/>
      <c r="J45" s="32"/>
      <c r="L45" s="53" t="s">
        <v>190</v>
      </c>
      <c r="M45" s="31"/>
      <c r="N45" s="174" t="n">
        <v>5</v>
      </c>
      <c r="O45" s="175" t="s">
        <v>191</v>
      </c>
      <c r="P45" s="176" t="n">
        <v>0</v>
      </c>
    </row>
    <row r="46" customFormat="false" ht="16.5" hidden="false" customHeight="false" outlineLevel="0" collapsed="false">
      <c r="A46" s="69" t="s">
        <v>203</v>
      </c>
      <c r="B46" s="125" t="n">
        <f aca="false">C46/$C$60</f>
        <v>0</v>
      </c>
      <c r="C46" s="127" t="n">
        <v>0</v>
      </c>
      <c r="D46" s="72" t="n">
        <f aca="false">C46/$H$68</f>
        <v>0</v>
      </c>
      <c r="E46" s="31"/>
      <c r="F46" s="131" t="s">
        <v>204</v>
      </c>
      <c r="G46" s="108" t="n">
        <v>36617</v>
      </c>
      <c r="H46" s="31"/>
      <c r="I46" s="31"/>
      <c r="J46" s="32"/>
      <c r="L46" s="183" t="s">
        <v>195</v>
      </c>
      <c r="M46" s="34"/>
      <c r="N46" s="184" t="n">
        <v>20</v>
      </c>
      <c r="O46" s="185" t="s">
        <v>191</v>
      </c>
      <c r="P46" s="186" t="n">
        <v>0</v>
      </c>
    </row>
    <row r="47" customFormat="false" ht="16.5" hidden="false" customHeight="false" outlineLevel="0" collapsed="false">
      <c r="A47" s="69" t="s">
        <v>205</v>
      </c>
      <c r="B47" s="125" t="n">
        <f aca="false">C47/$C$60</f>
        <v>0</v>
      </c>
      <c r="C47" s="127" t="n">
        <v>0</v>
      </c>
      <c r="D47" s="72" t="n">
        <f aca="false">C47/$H$68</f>
        <v>0</v>
      </c>
      <c r="E47" s="31"/>
      <c r="F47" s="79" t="s">
        <v>206</v>
      </c>
      <c r="G47" s="187" t="n">
        <v>0</v>
      </c>
      <c r="H47" s="84" t="n">
        <f aca="false">G47*C11</f>
        <v>0</v>
      </c>
      <c r="I47" s="31"/>
      <c r="J47" s="32"/>
    </row>
    <row r="48" customFormat="false" ht="16.5" hidden="false" customHeight="false" outlineLevel="0" collapsed="false">
      <c r="A48" s="79" t="s">
        <v>207</v>
      </c>
      <c r="B48" s="125" t="n">
        <f aca="false">C48/$C$60</f>
        <v>0.0188971552727265</v>
      </c>
      <c r="C48" s="71" t="n">
        <f aca="false">IDC!H34</f>
        <v>4034.87662427688</v>
      </c>
      <c r="D48" s="72" t="n">
        <f aca="false">C48/$H$68</f>
        <v>11.5944730582669</v>
      </c>
      <c r="E48" s="188"/>
      <c r="F48" s="158" t="s">
        <v>208</v>
      </c>
      <c r="G48" s="189" t="n">
        <f aca="false">1-G47</f>
        <v>1</v>
      </c>
      <c r="H48" s="190" t="n">
        <f aca="false">G48*C11</f>
        <v>64055.3019654802</v>
      </c>
      <c r="I48" s="34"/>
      <c r="J48" s="35"/>
      <c r="L48" s="44" t="s">
        <v>209</v>
      </c>
      <c r="M48" s="46"/>
      <c r="N48" s="191"/>
      <c r="O48" s="192"/>
      <c r="P48" s="193"/>
    </row>
    <row r="49" customFormat="false" ht="16.5" hidden="false" customHeight="false" outlineLevel="0" collapsed="false">
      <c r="A49" s="79" t="s">
        <v>210</v>
      </c>
      <c r="B49" s="125" t="n">
        <f aca="false">C49/$C$60</f>
        <v>0.0266353970342603</v>
      </c>
      <c r="C49" s="127" t="n">
        <f aca="false">'Cost Details'!D118</f>
        <v>5687.128</v>
      </c>
      <c r="D49" s="72" t="n">
        <f aca="false">C49/$H$68</f>
        <v>16.3423218390805</v>
      </c>
      <c r="E49" s="194"/>
      <c r="L49" s="195"/>
      <c r="M49" s="54"/>
      <c r="N49" s="196"/>
      <c r="O49" s="110"/>
      <c r="P49" s="141"/>
    </row>
    <row r="50" customFormat="false" ht="15.75" hidden="false" customHeight="false" outlineLevel="0" collapsed="false">
      <c r="A50" s="79" t="s">
        <v>211</v>
      </c>
      <c r="B50" s="125" t="n">
        <f aca="false">C50/$C$60</f>
        <v>0.0173810434240087</v>
      </c>
      <c r="C50" s="71" t="n">
        <f aca="false">SUM(C25:C33)*N55</f>
        <v>3711.15995</v>
      </c>
      <c r="D50" s="72" t="n">
        <f aca="false">C50/$H$68</f>
        <v>10.6642527298851</v>
      </c>
      <c r="E50" s="31"/>
      <c r="F50" s="44" t="s">
        <v>212</v>
      </c>
      <c r="G50" s="45"/>
      <c r="H50" s="49"/>
      <c r="I50" s="197"/>
      <c r="J50" s="48"/>
      <c r="L50" s="53" t="s">
        <v>213</v>
      </c>
      <c r="M50" s="110"/>
      <c r="N50" s="171" t="n">
        <v>0.35</v>
      </c>
      <c r="O50" s="110"/>
      <c r="P50" s="141"/>
    </row>
    <row r="51" customFormat="false" ht="15.75" hidden="false" customHeight="false" outlineLevel="0" collapsed="false">
      <c r="A51" s="59" t="s">
        <v>214</v>
      </c>
      <c r="B51" s="154" t="n">
        <f aca="false">C51/$C$60</f>
        <v>0.0177569329173246</v>
      </c>
      <c r="C51" s="155" t="n">
        <f aca="false">'Cost Details'!D117</f>
        <v>3791.419</v>
      </c>
      <c r="D51" s="156" t="n">
        <f aca="false">C51/$H$68</f>
        <v>10.894882183908</v>
      </c>
      <c r="E51" s="198"/>
      <c r="F51" s="30"/>
      <c r="G51" s="31"/>
      <c r="H51" s="31"/>
      <c r="I51" s="118"/>
      <c r="J51" s="32"/>
      <c r="L51" s="53" t="s">
        <v>215</v>
      </c>
      <c r="M51" s="110"/>
      <c r="N51" s="74" t="n">
        <v>0.07</v>
      </c>
      <c r="O51" s="199" t="s">
        <v>216</v>
      </c>
      <c r="P51" s="141"/>
    </row>
    <row r="52" customFormat="false" ht="15.75" hidden="false" customHeight="false" outlineLevel="0" collapsed="false">
      <c r="A52" s="79" t="s">
        <v>173</v>
      </c>
      <c r="B52" s="125" t="n">
        <f aca="false">SUM(B38:B51)</f>
        <v>0.108801759705057</v>
      </c>
      <c r="C52" s="71" t="n">
        <f aca="false">SUM(C38:C51)</f>
        <v>23231.0985742769</v>
      </c>
      <c r="D52" s="72" t="n">
        <f aca="false">C52/$H$68</f>
        <v>66.7560303858531</v>
      </c>
      <c r="E52" s="198"/>
      <c r="F52" s="101" t="s">
        <v>217</v>
      </c>
      <c r="G52" s="31"/>
      <c r="H52" s="31"/>
      <c r="I52" s="31"/>
      <c r="J52" s="32"/>
      <c r="L52" s="53" t="s">
        <v>218</v>
      </c>
      <c r="M52" s="110"/>
      <c r="N52" s="74" t="n">
        <v>0</v>
      </c>
      <c r="O52" s="199" t="s">
        <v>216</v>
      </c>
      <c r="P52" s="141"/>
    </row>
    <row r="53" customFormat="false" ht="15.75" hidden="false" customHeight="false" outlineLevel="0" collapsed="false">
      <c r="A53" s="30"/>
      <c r="B53" s="31"/>
      <c r="C53" s="166"/>
      <c r="D53" s="32"/>
      <c r="E53" s="31"/>
      <c r="F53" s="79" t="s">
        <v>219</v>
      </c>
      <c r="G53" s="31"/>
      <c r="H53" s="123" t="n">
        <v>30</v>
      </c>
      <c r="I53" s="118"/>
      <c r="J53" s="32"/>
      <c r="L53" s="53" t="s">
        <v>220</v>
      </c>
      <c r="M53" s="110"/>
      <c r="N53" s="74" t="n">
        <v>0</v>
      </c>
      <c r="O53" s="199" t="s">
        <v>216</v>
      </c>
      <c r="P53" s="141"/>
    </row>
    <row r="54" customFormat="false" ht="15.75" hidden="false" customHeight="false" outlineLevel="0" collapsed="false">
      <c r="A54" s="69" t="s">
        <v>221</v>
      </c>
      <c r="B54" s="31"/>
      <c r="C54" s="71"/>
      <c r="D54" s="96"/>
      <c r="E54" s="31"/>
      <c r="F54" s="79" t="s">
        <v>222</v>
      </c>
      <c r="G54" s="31"/>
      <c r="H54" s="200" t="n">
        <v>6.39863928893547</v>
      </c>
      <c r="I54" s="31"/>
      <c r="J54" s="32"/>
      <c r="L54" s="53" t="s">
        <v>223</v>
      </c>
      <c r="M54" s="31"/>
      <c r="N54" s="74" t="n">
        <v>0.015</v>
      </c>
      <c r="O54" s="199" t="s">
        <v>216</v>
      </c>
      <c r="P54" s="32"/>
    </row>
    <row r="55" customFormat="false" ht="16.5" hidden="false" customHeight="false" outlineLevel="0" collapsed="false">
      <c r="A55" s="69" t="s">
        <v>224</v>
      </c>
      <c r="B55" s="125" t="n">
        <f aca="false">C55/$C$60</f>
        <v>0</v>
      </c>
      <c r="C55" s="127" t="n">
        <v>0</v>
      </c>
      <c r="D55" s="72" t="n">
        <f aca="false">C55/$H$68</f>
        <v>0</v>
      </c>
      <c r="E55" s="31"/>
      <c r="F55" s="30"/>
      <c r="G55" s="31"/>
      <c r="H55" s="31"/>
      <c r="I55" s="31"/>
      <c r="J55" s="32"/>
      <c r="L55" s="183" t="s">
        <v>225</v>
      </c>
      <c r="M55" s="34"/>
      <c r="N55" s="201" t="n">
        <v>0.05</v>
      </c>
      <c r="O55" s="202" t="s">
        <v>216</v>
      </c>
      <c r="P55" s="35"/>
    </row>
    <row r="56" customFormat="false" ht="15.75" hidden="false" customHeight="false" outlineLevel="0" collapsed="false">
      <c r="A56" s="69" t="s">
        <v>226</v>
      </c>
      <c r="B56" s="125" t="n">
        <f aca="false">C56/$C$60</f>
        <v>0</v>
      </c>
      <c r="C56" s="127" t="n">
        <v>0</v>
      </c>
      <c r="D56" s="72" t="n">
        <f aca="false">C56/$H$68</f>
        <v>0</v>
      </c>
      <c r="E56" s="31"/>
      <c r="F56" s="101" t="s">
        <v>227</v>
      </c>
      <c r="G56" s="31"/>
      <c r="H56" s="31"/>
      <c r="I56" s="31"/>
      <c r="J56" s="32"/>
    </row>
    <row r="57" customFormat="false" ht="15.75" hidden="false" customHeight="false" outlineLevel="0" collapsed="false">
      <c r="A57" s="101" t="s">
        <v>228</v>
      </c>
      <c r="B57" s="154" t="n">
        <f aca="false">C57/$C$60</f>
        <v>0</v>
      </c>
      <c r="C57" s="155" t="n">
        <v>0</v>
      </c>
      <c r="D57" s="72" t="n">
        <f aca="false">C57/$H$68</f>
        <v>0</v>
      </c>
      <c r="E57" s="31"/>
      <c r="F57" s="79" t="s">
        <v>219</v>
      </c>
      <c r="G57" s="31"/>
      <c r="H57" s="111" t="n">
        <f aca="false">H19-H53</f>
        <v>0</v>
      </c>
      <c r="I57" s="118"/>
      <c r="J57" s="32"/>
    </row>
    <row r="58" customFormat="false" ht="15.75" hidden="false" customHeight="false" outlineLevel="0" collapsed="false">
      <c r="A58" s="79" t="s">
        <v>173</v>
      </c>
      <c r="B58" s="125" t="n">
        <f aca="false">SUM(B55:B57)</f>
        <v>0</v>
      </c>
      <c r="C58" s="71" t="n">
        <f aca="false">SUM(C55:C57)</f>
        <v>0</v>
      </c>
      <c r="D58" s="72" t="n">
        <f aca="false">C58/$H$68</f>
        <v>0</v>
      </c>
      <c r="E58" s="31"/>
      <c r="F58" s="79" t="s">
        <v>222</v>
      </c>
      <c r="G58" s="86"/>
      <c r="H58" s="203"/>
      <c r="I58" s="118"/>
      <c r="J58" s="32"/>
    </row>
    <row r="59" customFormat="false" ht="12.75" hidden="false" customHeight="false" outlineLevel="0" collapsed="false">
      <c r="A59" s="30"/>
      <c r="B59" s="31"/>
      <c r="C59" s="166"/>
      <c r="D59" s="167"/>
      <c r="E59" s="31"/>
      <c r="F59" s="30"/>
      <c r="G59" s="31"/>
      <c r="H59" s="31"/>
      <c r="I59" s="31"/>
      <c r="J59" s="32"/>
    </row>
    <row r="60" customFormat="false" ht="16.5" hidden="false" customHeight="false" outlineLevel="0" collapsed="false">
      <c r="A60" s="204" t="s">
        <v>229</v>
      </c>
      <c r="B60" s="205" t="n">
        <f aca="false">B58+B52+B34</f>
        <v>1</v>
      </c>
      <c r="C60" s="206" t="n">
        <f aca="false">C58+C52+C34</f>
        <v>213517.673218267</v>
      </c>
      <c r="D60" s="207" t="n">
        <f aca="false">C60/$H$68</f>
        <v>613.5565322364</v>
      </c>
      <c r="E60" s="31"/>
      <c r="F60" s="79" t="s">
        <v>230</v>
      </c>
      <c r="G60" s="86"/>
      <c r="H60" s="203" t="n">
        <f aca="false">P17</f>
        <v>0.716</v>
      </c>
      <c r="I60" s="118"/>
      <c r="J60" s="32"/>
    </row>
    <row r="61" customFormat="false" ht="15.75" hidden="false" customHeight="false" outlineLevel="0" collapsed="false">
      <c r="E61" s="31"/>
      <c r="F61" s="79"/>
      <c r="G61" s="31"/>
      <c r="H61" s="171"/>
      <c r="I61" s="118"/>
      <c r="J61" s="32"/>
    </row>
    <row r="62" customFormat="false" ht="16.5" hidden="false" customHeight="false" outlineLevel="0" collapsed="false">
      <c r="E62" s="31"/>
      <c r="F62" s="158" t="s">
        <v>231</v>
      </c>
      <c r="G62" s="34"/>
      <c r="H62" s="159" t="n">
        <f aca="false">H68*H72</f>
        <v>870000</v>
      </c>
      <c r="I62" s="208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232</v>
      </c>
      <c r="B64" s="49"/>
      <c r="C64" s="197"/>
      <c r="D64" s="209"/>
      <c r="E64" s="31"/>
      <c r="F64" s="44" t="s">
        <v>233</v>
      </c>
      <c r="G64" s="47"/>
      <c r="H64" s="197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95"/>
      <c r="G65" s="210"/>
      <c r="H65" s="118"/>
      <c r="I65" s="31"/>
      <c r="J65" s="32"/>
    </row>
    <row r="66" customFormat="false" ht="15.75" hidden="false" customHeight="false" outlineLevel="0" collapsed="false">
      <c r="A66" s="211" t="s">
        <v>234</v>
      </c>
      <c r="B66" s="212"/>
      <c r="C66" s="213" t="n">
        <f aca="false">D60</f>
        <v>613.5565322364</v>
      </c>
      <c r="D66" s="32"/>
      <c r="E66" s="31"/>
      <c r="F66" s="79" t="s">
        <v>235</v>
      </c>
      <c r="G66" s="31"/>
      <c r="H66" s="214" t="n">
        <f aca="false">(H12*H13)+(I12*I13)</f>
        <v>348</v>
      </c>
      <c r="I66" s="31"/>
      <c r="J66" s="32"/>
    </row>
    <row r="67" customFormat="false" ht="15.75" hidden="false" customHeight="false" outlineLevel="0" collapsed="false">
      <c r="A67" s="215"/>
      <c r="B67" s="146"/>
      <c r="C67" s="146"/>
      <c r="D67" s="32"/>
      <c r="E67" s="31"/>
      <c r="F67" s="101" t="s">
        <v>236</v>
      </c>
      <c r="G67" s="31"/>
      <c r="H67" s="216" t="n">
        <v>0</v>
      </c>
      <c r="I67" s="31"/>
      <c r="J67" s="32"/>
    </row>
    <row r="68" customFormat="false" ht="15.75" hidden="false" customHeight="false" outlineLevel="0" collapsed="false">
      <c r="A68" s="79"/>
      <c r="B68" s="86"/>
      <c r="C68" s="60" t="s">
        <v>237</v>
      </c>
      <c r="D68" s="169" t="s">
        <v>238</v>
      </c>
      <c r="E68" s="31"/>
      <c r="F68" s="55" t="s">
        <v>239</v>
      </c>
      <c r="G68" s="194"/>
      <c r="H68" s="217" t="n">
        <f aca="false">SUM(H66:H67)</f>
        <v>348</v>
      </c>
      <c r="I68" s="31"/>
      <c r="J68" s="32"/>
    </row>
    <row r="69" customFormat="false" ht="15.75" hidden="false" customHeight="false" outlineLevel="0" collapsed="false">
      <c r="A69" s="101" t="s">
        <v>62</v>
      </c>
      <c r="B69" s="218"/>
      <c r="C69" s="219" t="n">
        <f aca="false">Debt!E68</f>
        <v>1.3</v>
      </c>
      <c r="D69" s="220" t="n">
        <f aca="false">Debt!E69</f>
        <v>1.3</v>
      </c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30"/>
      <c r="B70" s="86"/>
      <c r="C70" s="31"/>
      <c r="D70" s="32"/>
      <c r="E70" s="31"/>
      <c r="F70" s="79" t="s">
        <v>240</v>
      </c>
      <c r="G70" s="31"/>
      <c r="H70" s="77" t="n">
        <v>140</v>
      </c>
      <c r="I70" s="31"/>
      <c r="J70" s="32"/>
    </row>
    <row r="71" customFormat="false" ht="15.75" hidden="false" customHeight="false" outlineLevel="0" collapsed="false">
      <c r="A71" s="101" t="s">
        <v>241</v>
      </c>
      <c r="B71" s="31"/>
      <c r="C71" s="221" t="s">
        <v>242</v>
      </c>
      <c r="D71" s="222" t="s">
        <v>243</v>
      </c>
      <c r="E71" s="31"/>
      <c r="F71" s="79" t="s">
        <v>244</v>
      </c>
      <c r="G71" s="31"/>
      <c r="H71" s="77" t="n">
        <v>400</v>
      </c>
      <c r="I71" s="31"/>
      <c r="J71" s="32"/>
    </row>
    <row r="72" customFormat="false" ht="16.5" hidden="false" customHeight="false" outlineLevel="0" collapsed="false">
      <c r="A72" s="79" t="s">
        <v>245</v>
      </c>
      <c r="B72" s="86"/>
      <c r="C72" s="223" t="n">
        <f aca="false">'Returns Analysis'!C39</f>
        <v>0.0920228198111426</v>
      </c>
      <c r="D72" s="224" t="n">
        <f aca="false">'Returns Analysis'!C40</f>
        <v>-6374.34910425542</v>
      </c>
      <c r="E72" s="31"/>
      <c r="F72" s="158" t="s">
        <v>246</v>
      </c>
      <c r="G72" s="34"/>
      <c r="H72" s="225" t="n">
        <v>2500</v>
      </c>
      <c r="I72" s="34"/>
      <c r="J72" s="35"/>
    </row>
    <row r="73" customFormat="false" ht="15.75" hidden="false" customHeight="false" outlineLevel="0" collapsed="false">
      <c r="A73" s="79" t="str">
        <f aca="false">CONCATENATE("20 Yrs After-Tax Cashflow with ",H23,"x EBITDA Exit Multiple Residual Value")</f>
        <v>20 Yrs After-Tax Cashflow with 5x EBITDA Exit Multiple Residual Value</v>
      </c>
      <c r="B73" s="31"/>
      <c r="C73" s="223" t="n">
        <f aca="false">'Returns Analysis'!C46</f>
        <v>0.127288568831539</v>
      </c>
      <c r="D73" s="224" t="n">
        <f aca="false">'Returns Analysis'!C47</f>
        <v>10001.5445233334</v>
      </c>
    </row>
    <row r="74" customFormat="false" ht="15.75" hidden="false" customHeight="false" outlineLevel="0" collapsed="false">
      <c r="A74" s="79" t="str">
        <f aca="false">CONCATENATE("20 Yrs After-Tax Cashflow with ",H24*100,"% Initial Project Cost Residual Value")</f>
        <v>20 Yrs After-Tax Cashflow with 10% Initial Project Cost Residual Value</v>
      </c>
      <c r="B74" s="31"/>
      <c r="C74" s="226" t="n">
        <f aca="false">'Returns Analysis'!C53</f>
        <v>0.110537785756771</v>
      </c>
      <c r="D74" s="227" t="n">
        <f aca="false">'Returns Analysis'!C54</f>
        <v>-1.70530256582424E-011</v>
      </c>
      <c r="E74" s="86"/>
    </row>
    <row r="75" customFormat="false" ht="15.75" hidden="false" customHeight="false" outlineLevel="0" collapsed="false">
      <c r="A75" s="79" t="str">
        <f aca="false">CONCATENATE("20 Yrs After-Tax Cashflow with $",H25,"/kW Residual Value")</f>
        <v>20 Yrs After-Tax Cashflow with $200/kW Residual Value</v>
      </c>
      <c r="B75" s="31"/>
      <c r="C75" s="223" t="n">
        <f aca="false">'Returns Analysis'!C60</f>
        <v>0.123042242828969</v>
      </c>
      <c r="D75" s="224" t="n">
        <f aca="false">'Returns Analysis'!C61</f>
        <v>7035.74034382051</v>
      </c>
      <c r="E75" s="86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101" t="s">
        <v>247</v>
      </c>
      <c r="B77" s="60" t="n">
        <f aca="false">IS!C7</f>
        <v>2001</v>
      </c>
      <c r="C77" s="60" t="n">
        <f aca="false">IS!D7</f>
        <v>2002</v>
      </c>
      <c r="D77" s="169" t="n">
        <f aca="false">IS!E7</f>
        <v>2003</v>
      </c>
      <c r="E77" s="31"/>
    </row>
    <row r="78" customFormat="false" ht="15.75" hidden="false" customHeight="false" outlineLevel="0" collapsed="false">
      <c r="A78" s="79" t="s">
        <v>248</v>
      </c>
      <c r="B78" s="228" t="n">
        <f aca="false">IS!C32</f>
        <v>12560.3147241265</v>
      </c>
      <c r="C78" s="228" t="n">
        <f aca="false">IS!D32</f>
        <v>20447.7751543247</v>
      </c>
      <c r="D78" s="229" t="n">
        <f aca="false">IS!E32</f>
        <v>20406.0118051247</v>
      </c>
      <c r="E78" s="31"/>
    </row>
    <row r="79" customFormat="false" ht="15.75" hidden="false" customHeight="false" outlineLevel="0" collapsed="false">
      <c r="A79" s="79" t="s">
        <v>249</v>
      </c>
      <c r="B79" s="228" t="n">
        <f aca="false">IS!C45</f>
        <v>437.559820700147</v>
      </c>
      <c r="C79" s="228" t="n">
        <f aca="false">IS!D45</f>
        <v>904.345617334685</v>
      </c>
      <c r="D79" s="229" t="n">
        <f aca="false">IS!E45</f>
        <v>950.740144093352</v>
      </c>
      <c r="E79" s="31"/>
    </row>
    <row r="80" customFormat="false" ht="15.75" hidden="false" customHeight="false" outlineLevel="0" collapsed="false">
      <c r="A80" s="79" t="s">
        <v>250</v>
      </c>
      <c r="B80" s="228" t="n">
        <f aca="false">'Returns Analysis'!C13</f>
        <v>6457.26789797104</v>
      </c>
      <c r="C80" s="228" t="n">
        <f aca="false">'Returns Analysis'!D13</f>
        <v>10096.1679946563</v>
      </c>
      <c r="D80" s="229" t="n">
        <f aca="false">'Returns Analysis'!E13</f>
        <v>10172.9165914448</v>
      </c>
      <c r="E80" s="31"/>
    </row>
    <row r="81" customFormat="false" ht="16.5" hidden="false" customHeight="false" outlineLevel="0" collapsed="false">
      <c r="A81" s="158" t="s">
        <v>251</v>
      </c>
      <c r="B81" s="230" t="n">
        <f aca="false">'Returns Analysis'!C21</f>
        <v>4874.99892616154</v>
      </c>
      <c r="C81" s="230" t="n">
        <f aca="false">'Returns Analysis'!D21</f>
        <v>8403.14019482009</v>
      </c>
      <c r="D81" s="231" t="n">
        <f aca="false">'Returns Analysis'!E21</f>
        <v>8361.37684562008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6"/>
    </row>
    <row r="87" customFormat="false" ht="15.75" hidden="false" customHeight="false" outlineLevel="0" collapsed="false">
      <c r="E87" s="86"/>
    </row>
    <row r="88" customFormat="false" ht="15.75" hidden="false" customHeight="false" outlineLevel="0" collapsed="false">
      <c r="E88" s="86"/>
    </row>
    <row r="89" customFormat="false" ht="15.75" hidden="false" customHeight="false" outlineLevel="0" collapsed="false">
      <c r="E89" s="86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6"/>
    </row>
    <row r="92" customFormat="false" ht="15.75" hidden="false" customHeight="false" outlineLevel="0" collapsed="false">
      <c r="E92" s="86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32"/>
    </row>
    <row r="95" customFormat="false" ht="15.75" hidden="false" customHeight="false" outlineLevel="0" collapsed="false">
      <c r="E95" s="86"/>
    </row>
    <row r="96" customFormat="false" ht="15.75" hidden="false" customHeight="false" outlineLevel="0" collapsed="false">
      <c r="E96" s="86"/>
    </row>
    <row r="97" customFormat="false" ht="15.75" hidden="false" customHeight="false" outlineLevel="0" collapsed="false">
      <c r="E97" s="86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228"/>
    </row>
    <row r="100" customFormat="false" ht="15.75" hidden="false" customHeight="false" outlineLevel="0" collapsed="false">
      <c r="E100" s="228"/>
    </row>
    <row r="101" customFormat="false" ht="15.75" hidden="false" customHeight="false" outlineLevel="0" collapsed="false">
      <c r="E101" s="228"/>
    </row>
    <row r="102" customFormat="false" ht="15.75" hidden="false" customHeight="false" outlineLevel="0" collapsed="false">
      <c r="E102" s="228"/>
    </row>
    <row r="118" customFormat="false" ht="15.75" hidden="false" customHeight="false" outlineLevel="0" collapsed="false">
      <c r="I118" s="232"/>
    </row>
    <row r="119" customFormat="false" ht="15.75" hidden="false" customHeight="false" outlineLevel="0" collapsed="false">
      <c r="I119" s="232"/>
    </row>
    <row r="120" customFormat="false" ht="15.75" hidden="false" customHeight="false" outlineLevel="0" collapsed="false">
      <c r="I120" s="232"/>
    </row>
    <row r="121" customFormat="false" ht="15.75" hidden="false" customHeight="false" outlineLevel="0" collapsed="false">
      <c r="I121" s="232"/>
    </row>
    <row r="122" customFormat="false" ht="15.75" hidden="false" customHeight="false" outlineLevel="0" collapsed="false">
      <c r="I122" s="232"/>
    </row>
    <row r="123" customFormat="false" ht="15.75" hidden="false" customHeight="false" outlineLevel="0" collapsed="false">
      <c r="I123" s="232"/>
    </row>
    <row r="124" customFormat="false" ht="15.75" hidden="false" customHeight="false" outlineLevel="0" collapsed="false">
      <c r="I124" s="232"/>
    </row>
    <row r="125" customFormat="false" ht="15.75" hidden="false" customHeight="false" outlineLevel="0" collapsed="false">
      <c r="I125" s="23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3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3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3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35"/>
      <c r="M137" s="236"/>
      <c r="N137" s="23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6"/>
      <c r="K138" s="236"/>
      <c r="L138" s="237"/>
      <c r="M138" s="196"/>
      <c r="N138" s="19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6"/>
      <c r="K139" s="196"/>
      <c r="L139" s="237"/>
      <c r="M139" s="196"/>
      <c r="N139" s="19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6"/>
      <c r="K140" s="19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0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36"/>
    </row>
    <row r="152" customFormat="false" ht="15.75" hidden="false" customHeight="false" outlineLevel="0" collapsed="false">
      <c r="J152" s="196"/>
    </row>
    <row r="153" customFormat="false" ht="15.75" hidden="false" customHeight="false" outlineLevel="0" collapsed="false">
      <c r="J153" s="1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121"/>
  <sheetViews>
    <sheetView showFormulas="false" showGridLines="true" showRowColHeaders="true" showZeros="true" rightToLeft="false" tabSelected="false" showOutlineSymbols="true" defaultGridColor="true" view="normal" topLeftCell="A81" colorId="64" zoomScale="75" zoomScaleNormal="75" zoomScalePageLayoutView="100" workbookViewId="0">
      <selection pane="topLeft" activeCell="D113" activeCellId="0" sqref="D1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56"/>
    <col collapsed="false" customWidth="true" hidden="false" outlineLevel="0" max="3" min="3" style="0" width="0.99"/>
    <col collapsed="false" customWidth="true" hidden="false" outlineLevel="0" max="4" min="4" style="0" width="20.28"/>
    <col collapsed="false" customWidth="true" hidden="false" outlineLevel="0" max="5" min="5" style="0" width="13.7"/>
  </cols>
  <sheetData>
    <row r="2" customFormat="false" ht="12.75" hidden="false" customHeight="false" outlineLevel="0" collapsed="false">
      <c r="D2" s="238" t="s">
        <v>252</v>
      </c>
    </row>
    <row r="4" customFormat="false" ht="12.75" hidden="false" customHeight="false" outlineLevel="0" collapsed="false">
      <c r="B4" s="0" t="s">
        <v>253</v>
      </c>
      <c r="D4" s="0" t="n">
        <v>6</v>
      </c>
    </row>
    <row r="5" customFormat="false" ht="12.75" hidden="false" customHeight="false" outlineLevel="0" collapsed="false">
      <c r="B5" s="0" t="s">
        <v>254</v>
      </c>
      <c r="D5" s="0" t="n">
        <v>345</v>
      </c>
    </row>
    <row r="7" customFormat="false" ht="12.75" hidden="false" customHeight="false" outlineLevel="0" collapsed="false">
      <c r="D7" s="239" t="s">
        <v>255</v>
      </c>
    </row>
    <row r="8" customFormat="false" ht="12.75" hidden="false" customHeight="false" outlineLevel="0" collapsed="false">
      <c r="B8" s="240" t="s">
        <v>256</v>
      </c>
    </row>
    <row r="9" customFormat="false" ht="12.75" hidden="false" customHeight="false" outlineLevel="0" collapsed="false">
      <c r="B9" s="0" t="s">
        <v>257</v>
      </c>
      <c r="D9" s="241" t="n">
        <v>840.938</v>
      </c>
    </row>
    <row r="10" customFormat="false" ht="12.75" hidden="false" customHeight="false" outlineLevel="0" collapsed="false">
      <c r="B10" s="0" t="s">
        <v>258</v>
      </c>
      <c r="D10" s="241" t="n">
        <v>1105.873</v>
      </c>
    </row>
    <row r="11" customFormat="false" ht="12.75" hidden="false" customHeight="false" outlineLevel="0" collapsed="false">
      <c r="B11" s="0" t="s">
        <v>259</v>
      </c>
      <c r="D11" s="242" t="n">
        <v>255.216</v>
      </c>
    </row>
    <row r="12" customFormat="false" ht="12.75" hidden="false" customHeight="false" outlineLevel="0" collapsed="false">
      <c r="D12" s="243" t="n">
        <f aca="false">SUM(D9:D11)</f>
        <v>2202.027</v>
      </c>
    </row>
    <row r="14" customFormat="false" ht="12.75" hidden="false" customHeight="false" outlineLevel="0" collapsed="false">
      <c r="B14" s="240" t="s">
        <v>260</v>
      </c>
    </row>
    <row r="15" customFormat="false" ht="12.75" hidden="false" customHeight="false" outlineLevel="0" collapsed="false">
      <c r="B15" s="0" t="s">
        <v>261</v>
      </c>
      <c r="D15" s="241" t="n">
        <v>741.602</v>
      </c>
    </row>
    <row r="16" customFormat="false" ht="12.75" hidden="false" customHeight="false" outlineLevel="0" collapsed="false">
      <c r="B16" s="0" t="s">
        <v>262</v>
      </c>
      <c r="D16" s="241" t="n">
        <v>296.922</v>
      </c>
    </row>
    <row r="17" customFormat="false" ht="12.75" hidden="false" customHeight="false" outlineLevel="0" collapsed="false">
      <c r="B17" s="0" t="s">
        <v>263</v>
      </c>
      <c r="D17" s="241" t="n">
        <v>293.856</v>
      </c>
    </row>
    <row r="18" customFormat="false" ht="12.75" hidden="false" customHeight="false" outlineLevel="0" collapsed="false">
      <c r="B18" s="0" t="s">
        <v>264</v>
      </c>
      <c r="D18" s="241" t="n">
        <v>926.821</v>
      </c>
    </row>
    <row r="19" customFormat="false" ht="12.75" hidden="false" customHeight="false" outlineLevel="0" collapsed="false">
      <c r="B19" s="0" t="s">
        <v>265</v>
      </c>
      <c r="D19" s="241" t="n">
        <v>630</v>
      </c>
    </row>
    <row r="20" customFormat="false" ht="12.75" hidden="false" customHeight="false" outlineLevel="0" collapsed="false">
      <c r="B20" s="0" t="s">
        <v>266</v>
      </c>
      <c r="D20" s="242" t="n">
        <v>9.45</v>
      </c>
    </row>
    <row r="21" customFormat="false" ht="12.75" hidden="false" customHeight="false" outlineLevel="0" collapsed="false">
      <c r="D21" s="243" t="n">
        <f aca="false">SUM(D15:D20)</f>
        <v>2898.651</v>
      </c>
    </row>
    <row r="22" customFormat="false" ht="12.75" hidden="false" customHeight="false" outlineLevel="0" collapsed="false">
      <c r="D22" s="243"/>
    </row>
    <row r="23" customFormat="false" ht="12.75" hidden="false" customHeight="false" outlineLevel="0" collapsed="false">
      <c r="B23" s="240" t="s">
        <v>267</v>
      </c>
    </row>
    <row r="24" customFormat="false" ht="12.75" hidden="false" customHeight="false" outlineLevel="0" collapsed="false">
      <c r="B24" s="0" t="s">
        <v>268</v>
      </c>
      <c r="D24" s="243" t="n">
        <v>1717.066</v>
      </c>
    </row>
    <row r="26" customFormat="false" ht="12.75" hidden="false" customHeight="false" outlineLevel="0" collapsed="false">
      <c r="B26" s="240" t="s">
        <v>269</v>
      </c>
    </row>
    <row r="27" customFormat="false" ht="12.75" hidden="false" customHeight="false" outlineLevel="0" collapsed="false">
      <c r="B27" s="240" t="s">
        <v>270</v>
      </c>
    </row>
    <row r="28" customFormat="false" ht="12.75" hidden="false" customHeight="false" outlineLevel="0" collapsed="false">
      <c r="B28" s="0" t="s">
        <v>271</v>
      </c>
      <c r="D28" s="241" t="n">
        <v>86040</v>
      </c>
    </row>
    <row r="29" customFormat="false" ht="12.75" hidden="false" customHeight="false" outlineLevel="0" collapsed="false">
      <c r="B29" s="0" t="s">
        <v>143</v>
      </c>
      <c r="D29" s="241" t="n">
        <v>600</v>
      </c>
    </row>
    <row r="30" customFormat="false" ht="12.75" hidden="false" customHeight="false" outlineLevel="0" collapsed="false">
      <c r="B30" s="0" t="s">
        <v>272</v>
      </c>
      <c r="D30" s="244" t="n">
        <v>5000</v>
      </c>
    </row>
    <row r="31" customFormat="false" ht="12.75" hidden="false" customHeight="false" outlineLevel="0" collapsed="false">
      <c r="B31" s="0" t="s">
        <v>273</v>
      </c>
      <c r="D31" s="241" t="n">
        <v>1680</v>
      </c>
    </row>
    <row r="32" customFormat="false" ht="12.75" hidden="false" customHeight="false" outlineLevel="0" collapsed="false">
      <c r="B32" s="0" t="s">
        <v>274</v>
      </c>
      <c r="D32" s="241" t="n">
        <v>16800</v>
      </c>
    </row>
    <row r="33" customFormat="false" ht="15" hidden="false" customHeight="false" outlineLevel="0" collapsed="false">
      <c r="B33" s="0" t="s">
        <v>275</v>
      </c>
      <c r="D33" s="245" t="n">
        <v>8000</v>
      </c>
    </row>
    <row r="34" customFormat="false" ht="12.75" hidden="false" customHeight="false" outlineLevel="0" collapsed="false">
      <c r="D34" s="246" t="n">
        <f aca="false">SUM(D28:D33)</f>
        <v>118120</v>
      </c>
    </row>
    <row r="35" customFormat="false" ht="12.75" hidden="false" customHeight="false" outlineLevel="0" collapsed="false">
      <c r="D35" s="246"/>
    </row>
    <row r="36" customFormat="false" ht="12.75" hidden="false" customHeight="false" outlineLevel="0" collapsed="false">
      <c r="B36" s="240" t="s">
        <v>276</v>
      </c>
    </row>
    <row r="37" customFormat="false" ht="12.75" hidden="false" customHeight="false" outlineLevel="0" collapsed="false">
      <c r="B37" s="0" t="s">
        <v>277</v>
      </c>
      <c r="D37" s="241" t="n">
        <v>787.5</v>
      </c>
    </row>
    <row r="38" customFormat="false" ht="12.75" hidden="false" customHeight="false" outlineLevel="0" collapsed="false">
      <c r="B38" s="0" t="s">
        <v>278</v>
      </c>
      <c r="D38" s="241" t="n">
        <v>854.296</v>
      </c>
    </row>
    <row r="39" customFormat="false" ht="12.75" hidden="false" customHeight="false" outlineLevel="0" collapsed="false">
      <c r="B39" s="0" t="s">
        <v>279</v>
      </c>
      <c r="D39" s="241" t="n">
        <v>460</v>
      </c>
    </row>
    <row r="40" customFormat="false" ht="12.75" hidden="false" customHeight="false" outlineLevel="0" collapsed="false">
      <c r="B40" s="0" t="s">
        <v>280</v>
      </c>
      <c r="D40" s="241" t="n">
        <v>24.88</v>
      </c>
    </row>
    <row r="41" customFormat="false" ht="12.75" hidden="false" customHeight="false" outlineLevel="0" collapsed="false">
      <c r="B41" s="0" t="s">
        <v>281</v>
      </c>
      <c r="D41" s="241" t="n">
        <v>2872</v>
      </c>
    </row>
    <row r="42" customFormat="false" ht="12.75" hidden="false" customHeight="false" outlineLevel="0" collapsed="false">
      <c r="B42" s="0" t="s">
        <v>282</v>
      </c>
      <c r="D42" s="241" t="n">
        <v>1160.044</v>
      </c>
    </row>
    <row r="43" customFormat="false" ht="12.75" hidden="false" customHeight="false" outlineLevel="0" collapsed="false">
      <c r="B43" s="0" t="s">
        <v>283</v>
      </c>
      <c r="D43" s="241" t="n">
        <v>140.506</v>
      </c>
    </row>
    <row r="44" customFormat="false" ht="12.75" hidden="false" customHeight="false" outlineLevel="0" collapsed="false">
      <c r="B44" s="0" t="s">
        <v>284</v>
      </c>
      <c r="D44" s="241" t="n">
        <v>139.506</v>
      </c>
    </row>
    <row r="45" customFormat="false" ht="12.75" hidden="false" customHeight="false" outlineLevel="0" collapsed="false">
      <c r="B45" s="0" t="s">
        <v>285</v>
      </c>
      <c r="D45" s="241" t="n">
        <v>222.761</v>
      </c>
    </row>
    <row r="46" customFormat="false" ht="12.75" hidden="false" customHeight="false" outlineLevel="0" collapsed="false">
      <c r="B46" s="0" t="s">
        <v>286</v>
      </c>
      <c r="D46" s="241" t="n">
        <v>1512.058</v>
      </c>
    </row>
    <row r="47" customFormat="false" ht="12.75" hidden="false" customHeight="false" outlineLevel="0" collapsed="false">
      <c r="B47" s="0" t="s">
        <v>287</v>
      </c>
      <c r="D47" s="241" t="n">
        <v>466.6</v>
      </c>
    </row>
    <row r="48" customFormat="false" ht="12.75" hidden="false" customHeight="false" outlineLevel="0" collapsed="false">
      <c r="B48" s="0" t="s">
        <v>288</v>
      </c>
      <c r="D48" s="241" t="n">
        <v>66.064</v>
      </c>
    </row>
    <row r="49" customFormat="false" ht="12.75" hidden="false" customHeight="false" outlineLevel="0" collapsed="false">
      <c r="B49" s="0" t="s">
        <v>289</v>
      </c>
      <c r="D49" s="241" t="n">
        <v>662.025</v>
      </c>
    </row>
    <row r="50" customFormat="false" ht="12.75" hidden="false" customHeight="false" outlineLevel="0" collapsed="false">
      <c r="B50" s="0" t="s">
        <v>290</v>
      </c>
      <c r="D50" s="241" t="n">
        <v>62.337</v>
      </c>
    </row>
    <row r="51" customFormat="false" ht="12.75" hidden="false" customHeight="false" outlineLevel="0" collapsed="false">
      <c r="B51" s="0" t="s">
        <v>291</v>
      </c>
      <c r="D51" s="241" t="n">
        <v>201.556</v>
      </c>
    </row>
    <row r="52" customFormat="false" ht="12.75" hidden="false" customHeight="false" outlineLevel="0" collapsed="false">
      <c r="B52" s="0" t="s">
        <v>292</v>
      </c>
      <c r="D52" s="241" t="n">
        <v>0</v>
      </c>
    </row>
    <row r="53" customFormat="false" ht="12.75" hidden="false" customHeight="false" outlineLevel="0" collapsed="false">
      <c r="B53" s="0" t="s">
        <v>293</v>
      </c>
      <c r="D53" s="241" t="n">
        <v>427.5</v>
      </c>
    </row>
    <row r="54" customFormat="false" ht="12.75" hidden="false" customHeight="false" outlineLevel="0" collapsed="false">
      <c r="B54" s="0" t="s">
        <v>294</v>
      </c>
      <c r="D54" s="241" t="n">
        <v>1509.248</v>
      </c>
    </row>
    <row r="55" customFormat="false" ht="12.75" hidden="false" customHeight="false" outlineLevel="0" collapsed="false">
      <c r="B55" s="0" t="s">
        <v>295</v>
      </c>
      <c r="D55" s="241" t="n">
        <v>2060.5</v>
      </c>
    </row>
    <row r="56" customFormat="false" ht="12.75" hidden="false" customHeight="false" outlineLevel="0" collapsed="false">
      <c r="B56" s="0" t="s">
        <v>296</v>
      </c>
      <c r="D56" s="241" t="n">
        <v>0</v>
      </c>
    </row>
    <row r="57" customFormat="false" ht="12.75" hidden="false" customHeight="false" outlineLevel="0" collapsed="false">
      <c r="B57" s="0" t="s">
        <v>297</v>
      </c>
      <c r="D57" s="241" t="n">
        <v>0</v>
      </c>
    </row>
    <row r="58" customFormat="false" ht="12.75" hidden="false" customHeight="false" outlineLevel="0" collapsed="false">
      <c r="B58" s="0" t="s">
        <v>298</v>
      </c>
      <c r="D58" s="241" t="n">
        <v>2120</v>
      </c>
    </row>
    <row r="59" customFormat="false" ht="12.75" hidden="false" customHeight="false" outlineLevel="0" collapsed="false">
      <c r="B59" s="0" t="s">
        <v>299</v>
      </c>
      <c r="D59" s="241" t="n">
        <v>168</v>
      </c>
    </row>
    <row r="60" customFormat="false" ht="12.75" hidden="false" customHeight="false" outlineLevel="0" collapsed="false">
      <c r="B60" s="0" t="s">
        <v>300</v>
      </c>
      <c r="D60" s="241" t="n">
        <v>5571</v>
      </c>
    </row>
    <row r="61" customFormat="false" ht="12.75" hidden="false" customHeight="false" outlineLevel="0" collapsed="false">
      <c r="B61" s="0" t="s">
        <v>301</v>
      </c>
      <c r="D61" s="241" t="n">
        <v>626.4</v>
      </c>
    </row>
    <row r="62" customFormat="false" ht="12.75" hidden="false" customHeight="false" outlineLevel="0" collapsed="false">
      <c r="B62" s="0" t="s">
        <v>302</v>
      </c>
      <c r="D62" s="241" t="n">
        <v>82.35</v>
      </c>
    </row>
    <row r="63" customFormat="false" ht="12.75" hidden="false" customHeight="false" outlineLevel="0" collapsed="false">
      <c r="B63" s="0" t="s">
        <v>303</v>
      </c>
      <c r="D63" s="241" t="n">
        <v>547.125</v>
      </c>
    </row>
    <row r="64" customFormat="false" ht="12.75" hidden="false" customHeight="false" outlineLevel="0" collapsed="false">
      <c r="B64" s="0" t="s">
        <v>304</v>
      </c>
      <c r="D64" s="241" t="n">
        <v>2250</v>
      </c>
    </row>
    <row r="65" customFormat="false" ht="12.75" hidden="false" customHeight="false" outlineLevel="0" collapsed="false">
      <c r="B65" s="0" t="s">
        <v>305</v>
      </c>
      <c r="D65" s="241" t="n">
        <v>532.5</v>
      </c>
    </row>
    <row r="66" customFormat="false" ht="15" hidden="false" customHeight="false" outlineLevel="0" collapsed="false">
      <c r="B66" s="0" t="s">
        <v>306</v>
      </c>
      <c r="D66" s="245" t="n">
        <v>566.544</v>
      </c>
    </row>
    <row r="67" customFormat="false" ht="12.75" hidden="false" customHeight="false" outlineLevel="0" collapsed="false">
      <c r="D67" s="246" t="n">
        <f aca="false">SUM(D37:D66)</f>
        <v>26093.3</v>
      </c>
    </row>
    <row r="68" customFormat="false" ht="12.75" hidden="false" customHeight="false" outlineLevel="0" collapsed="false">
      <c r="D68" s="247"/>
    </row>
    <row r="69" customFormat="false" ht="12.75" hidden="false" customHeight="false" outlineLevel="0" collapsed="false">
      <c r="B69" s="0" t="s">
        <v>170</v>
      </c>
      <c r="D69" s="243" t="n">
        <v>9107.66</v>
      </c>
    </row>
    <row r="71" customFormat="false" ht="12.75" hidden="false" customHeight="false" outlineLevel="0" collapsed="false">
      <c r="B71" s="240" t="s">
        <v>307</v>
      </c>
    </row>
    <row r="72" customFormat="false" ht="12.75" hidden="false" customHeight="false" outlineLevel="0" collapsed="false">
      <c r="B72" s="0" t="s">
        <v>308</v>
      </c>
      <c r="D72" s="241" t="n">
        <v>1113.327</v>
      </c>
    </row>
    <row r="73" customFormat="false" ht="12.75" hidden="false" customHeight="false" outlineLevel="0" collapsed="false">
      <c r="B73" s="0" t="s">
        <v>309</v>
      </c>
      <c r="D73" s="241" t="n">
        <v>939.472</v>
      </c>
    </row>
    <row r="74" customFormat="false" ht="12.75" hidden="false" customHeight="false" outlineLevel="0" collapsed="false">
      <c r="B74" s="0" t="s">
        <v>310</v>
      </c>
      <c r="D74" s="241" t="n">
        <v>1271.476</v>
      </c>
    </row>
    <row r="75" customFormat="false" ht="12.75" hidden="false" customHeight="false" outlineLevel="0" collapsed="false">
      <c r="B75" s="0" t="s">
        <v>311</v>
      </c>
      <c r="D75" s="241" t="n">
        <v>2447.188</v>
      </c>
    </row>
    <row r="76" customFormat="false" ht="12.75" hidden="false" customHeight="false" outlineLevel="0" collapsed="false">
      <c r="B76" s="0" t="s">
        <v>312</v>
      </c>
      <c r="D76" s="241" t="n">
        <v>103.705</v>
      </c>
    </row>
    <row r="77" customFormat="false" ht="12.75" hidden="false" customHeight="false" outlineLevel="0" collapsed="false">
      <c r="B77" s="0" t="s">
        <v>313</v>
      </c>
      <c r="D77" s="241" t="n">
        <v>268.83</v>
      </c>
    </row>
    <row r="78" customFormat="false" ht="12.75" hidden="false" customHeight="false" outlineLevel="0" collapsed="false">
      <c r="B78" s="0" t="s">
        <v>314</v>
      </c>
      <c r="D78" s="241" t="n">
        <v>16.344</v>
      </c>
    </row>
    <row r="79" customFormat="false" ht="12.75" hidden="false" customHeight="false" outlineLevel="0" collapsed="false">
      <c r="B79" s="0" t="s">
        <v>315</v>
      </c>
      <c r="D79" s="241" t="n">
        <v>315.099</v>
      </c>
    </row>
    <row r="80" customFormat="false" ht="12.75" hidden="false" customHeight="false" outlineLevel="0" collapsed="false">
      <c r="B80" s="0" t="s">
        <v>316</v>
      </c>
      <c r="D80" s="241" t="n">
        <v>3979.895</v>
      </c>
    </row>
    <row r="81" customFormat="false" ht="12.75" hidden="false" customHeight="false" outlineLevel="0" collapsed="false">
      <c r="B81" s="0" t="s">
        <v>317</v>
      </c>
      <c r="D81" s="241" t="n">
        <v>2414.858</v>
      </c>
    </row>
    <row r="82" customFormat="false" ht="12.75" hidden="false" customHeight="false" outlineLevel="0" collapsed="false">
      <c r="B82" s="0" t="s">
        <v>318</v>
      </c>
      <c r="D82" s="241" t="n">
        <v>620.356</v>
      </c>
    </row>
    <row r="83" customFormat="false" ht="12.75" hidden="false" customHeight="false" outlineLevel="0" collapsed="false">
      <c r="B83" s="0" t="s">
        <v>319</v>
      </c>
      <c r="D83" s="241" t="n">
        <v>986.442</v>
      </c>
    </row>
    <row r="84" customFormat="false" ht="12.75" hidden="false" customHeight="false" outlineLevel="0" collapsed="false">
      <c r="B84" s="0" t="s">
        <v>320</v>
      </c>
      <c r="D84" s="241" t="n">
        <v>65.679</v>
      </c>
    </row>
    <row r="85" customFormat="false" ht="12.75" hidden="false" customHeight="false" outlineLevel="0" collapsed="false">
      <c r="B85" s="0" t="s">
        <v>321</v>
      </c>
      <c r="D85" s="245" t="n">
        <v>3362.755</v>
      </c>
    </row>
    <row r="86" customFormat="false" ht="12.75" hidden="false" customHeight="false" outlineLevel="0" collapsed="false">
      <c r="D86" s="243" t="n">
        <f aca="false">SUM(D72:D85)</f>
        <v>17905.426</v>
      </c>
    </row>
    <row r="88" customFormat="false" ht="12.75" hidden="false" customHeight="false" outlineLevel="0" collapsed="false">
      <c r="B88" s="240" t="s">
        <v>322</v>
      </c>
    </row>
    <row r="89" customFormat="false" ht="12.75" hidden="false" customHeight="false" outlineLevel="0" collapsed="false">
      <c r="B89" s="0" t="s">
        <v>323</v>
      </c>
      <c r="D89" s="241" t="n">
        <v>1107.645</v>
      </c>
    </row>
    <row r="90" customFormat="false" ht="12.75" hidden="false" customHeight="false" outlineLevel="0" collapsed="false">
      <c r="B90" s="0" t="s">
        <v>324</v>
      </c>
      <c r="D90" s="241" t="n">
        <v>17.5</v>
      </c>
    </row>
    <row r="91" customFormat="false" ht="12.75" hidden="false" customHeight="false" outlineLevel="0" collapsed="false">
      <c r="B91" s="0" t="s">
        <v>325</v>
      </c>
      <c r="D91" s="241" t="n">
        <v>191.25</v>
      </c>
    </row>
    <row r="92" customFormat="false" ht="12.75" hidden="false" customHeight="false" outlineLevel="0" collapsed="false">
      <c r="B92" s="0" t="s">
        <v>326</v>
      </c>
      <c r="D92" s="241" t="n">
        <v>49</v>
      </c>
    </row>
    <row r="93" customFormat="false" ht="15" hidden="false" customHeight="false" outlineLevel="0" collapsed="false">
      <c r="B93" s="0" t="s">
        <v>327</v>
      </c>
      <c r="D93" s="245" t="n">
        <v>165.952</v>
      </c>
    </row>
    <row r="94" customFormat="false" ht="12.75" hidden="false" customHeight="false" outlineLevel="0" collapsed="false">
      <c r="D94" s="243" t="n">
        <f aca="false">SUM(D89:D93)</f>
        <v>1531.347</v>
      </c>
    </row>
    <row r="96" customFormat="false" ht="12.75" hidden="false" customHeight="false" outlineLevel="0" collapsed="false">
      <c r="B96" s="240" t="s">
        <v>328</v>
      </c>
      <c r="D96" s="243" t="n">
        <v>100</v>
      </c>
    </row>
    <row r="98" customFormat="false" ht="12.75" hidden="false" customHeight="false" outlineLevel="0" collapsed="false">
      <c r="B98" s="240" t="s">
        <v>329</v>
      </c>
    </row>
    <row r="99" customFormat="false" ht="12.75" hidden="false" customHeight="false" outlineLevel="0" collapsed="false">
      <c r="B99" s="0" t="s">
        <v>330</v>
      </c>
      <c r="D99" s="241" t="n">
        <v>0</v>
      </c>
    </row>
    <row r="100" customFormat="false" ht="12.75" hidden="false" customHeight="false" outlineLevel="0" collapsed="false">
      <c r="B100" s="0" t="s">
        <v>331</v>
      </c>
      <c r="D100" s="241" t="n">
        <v>0</v>
      </c>
    </row>
    <row r="101" customFormat="false" ht="12.75" hidden="false" customHeight="false" outlineLevel="0" collapsed="false">
      <c r="B101" s="0" t="s">
        <v>332</v>
      </c>
      <c r="D101" s="241" t="n">
        <v>0</v>
      </c>
    </row>
    <row r="102" customFormat="false" ht="12.75" hidden="false" customHeight="false" outlineLevel="0" collapsed="false">
      <c r="B102" s="0" t="s">
        <v>333</v>
      </c>
      <c r="D102" s="241" t="n">
        <v>188.4</v>
      </c>
    </row>
    <row r="103" customFormat="false" ht="12.75" hidden="false" customHeight="false" outlineLevel="0" collapsed="false">
      <c r="B103" s="0" t="s">
        <v>334</v>
      </c>
      <c r="D103" s="241" t="n">
        <v>7500</v>
      </c>
    </row>
    <row r="104" customFormat="false" ht="12.75" hidden="false" customHeight="false" outlineLevel="0" collapsed="false">
      <c r="B104" s="0" t="s">
        <v>335</v>
      </c>
      <c r="D104" s="241" t="n">
        <v>1500</v>
      </c>
    </row>
    <row r="105" customFormat="false" ht="12.75" hidden="false" customHeight="false" outlineLevel="0" collapsed="false">
      <c r="B105" s="0" t="s">
        <v>336</v>
      </c>
      <c r="D105" s="241" t="n">
        <v>1400</v>
      </c>
    </row>
    <row r="106" customFormat="false" ht="12.75" hidden="false" customHeight="false" outlineLevel="0" collapsed="false">
      <c r="B106" s="0" t="s">
        <v>337</v>
      </c>
      <c r="D106" s="241" t="n">
        <v>600</v>
      </c>
    </row>
    <row r="107" customFormat="false" ht="15" hidden="false" customHeight="false" outlineLevel="0" collapsed="false">
      <c r="B107" s="0" t="s">
        <v>338</v>
      </c>
      <c r="D107" s="245" t="n">
        <v>0</v>
      </c>
    </row>
    <row r="108" customFormat="false" ht="12.75" hidden="false" customHeight="false" outlineLevel="0" collapsed="false">
      <c r="D108" s="246" t="n">
        <f aca="false">SUM(D99:D107)</f>
        <v>11188.4</v>
      </c>
    </row>
    <row r="111" customFormat="false" ht="12.75" hidden="false" customHeight="false" outlineLevel="0" collapsed="false">
      <c r="B111" s="240" t="s">
        <v>339</v>
      </c>
      <c r="D111" s="246" t="n">
        <f aca="false">D108+D96+D86+D69+D67+D34+D24+D21+D12</f>
        <v>189332.53</v>
      </c>
    </row>
    <row r="112" customFormat="false" ht="12.75" hidden="false" customHeight="false" outlineLevel="0" collapsed="false">
      <c r="B112" s="240"/>
    </row>
    <row r="113" customFormat="false" ht="12.75" hidden="false" customHeight="false" outlineLevel="0" collapsed="false">
      <c r="B113" s="240" t="s">
        <v>182</v>
      </c>
      <c r="D113" s="243" t="n">
        <v>3717.077</v>
      </c>
    </row>
    <row r="115" customFormat="false" ht="12.75" hidden="false" customHeight="false" outlineLevel="0" collapsed="false">
      <c r="B115" s="240" t="s">
        <v>340</v>
      </c>
      <c r="D115" s="243" t="n">
        <f aca="false">D113+D111</f>
        <v>193049.607</v>
      </c>
    </row>
    <row r="117" customFormat="false" ht="12.75" hidden="false" customHeight="false" outlineLevel="0" collapsed="false">
      <c r="B117" s="0" t="s">
        <v>214</v>
      </c>
      <c r="D117" s="241" t="n">
        <v>3791.419</v>
      </c>
    </row>
    <row r="118" customFormat="false" ht="15" hidden="false" customHeight="false" outlineLevel="0" collapsed="false">
      <c r="B118" s="0" t="s">
        <v>341</v>
      </c>
      <c r="D118" s="245" t="n">
        <v>5687.128</v>
      </c>
    </row>
    <row r="119" customFormat="false" ht="12.75" hidden="false" customHeight="false" outlineLevel="0" collapsed="false">
      <c r="D119" s="246" t="n">
        <f aca="false">SUM(D117:D118)</f>
        <v>9478.547</v>
      </c>
    </row>
    <row r="121" customFormat="false" ht="12.75" hidden="false" customHeight="false" outlineLevel="0" collapsed="false">
      <c r="B121" s="0" t="s">
        <v>342</v>
      </c>
      <c r="D121" s="243" t="n">
        <f aca="false">D119+D115</f>
        <v>202528.154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7" activeCellId="0" sqref="D7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Homestead, Florida</v>
      </c>
    </row>
    <row r="3" customFormat="false" ht="12" hidden="false" customHeight="true" outlineLevel="0" collapsed="false">
      <c r="B3" s="248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</row>
    <row r="4" customFormat="false" ht="18.75" hidden="false" customHeight="false" outlineLevel="0" collapsed="false">
      <c r="B4" s="2" t="s">
        <v>343</v>
      </c>
      <c r="C4" s="250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</row>
    <row r="5" customFormat="false" ht="18.75" hidden="false" customHeight="false" outlineLevel="0" collapsed="false">
      <c r="B5" s="6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</row>
    <row r="6" customFormat="false" ht="15.75" hidden="false" customHeight="false" outlineLevel="0" collapsed="false">
      <c r="B6" s="25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customFormat="false" ht="15.75" hidden="false" customHeight="false" outlineLevel="0" collapsed="false">
      <c r="B7" s="253"/>
      <c r="C7" s="86"/>
      <c r="D7" s="254" t="n">
        <f aca="false">(Assumptions!H18/12)</f>
        <v>0.666666666666667</v>
      </c>
      <c r="E7" s="254" t="n">
        <f aca="false">D7+1</f>
        <v>1.66666666666667</v>
      </c>
      <c r="F7" s="254" t="n">
        <f aca="false">E7+1</f>
        <v>2.66666666666667</v>
      </c>
      <c r="G7" s="254" t="n">
        <f aca="false">F7+1</f>
        <v>3.66666666666667</v>
      </c>
      <c r="H7" s="254" t="n">
        <f aca="false">G7+1</f>
        <v>4.66666666666667</v>
      </c>
      <c r="I7" s="254" t="n">
        <f aca="false">H7+1</f>
        <v>5.66666666666667</v>
      </c>
      <c r="J7" s="254" t="n">
        <f aca="false">I7+1</f>
        <v>6.66666666666667</v>
      </c>
      <c r="K7" s="254" t="n">
        <f aca="false">J7+1</f>
        <v>7.66666666666667</v>
      </c>
      <c r="L7" s="254" t="n">
        <f aca="false">K7+1</f>
        <v>8.66666666666667</v>
      </c>
      <c r="M7" s="254" t="n">
        <f aca="false">L7+1</f>
        <v>9.66666666666667</v>
      </c>
      <c r="N7" s="254" t="n">
        <f aca="false">M7+1</f>
        <v>10.6666666666667</v>
      </c>
      <c r="O7" s="254" t="n">
        <f aca="false">N7+1</f>
        <v>11.6666666666667</v>
      </c>
      <c r="P7" s="254" t="n">
        <f aca="false">O7+1</f>
        <v>12.6666666666667</v>
      </c>
      <c r="Q7" s="254" t="n">
        <f aca="false">P7+1</f>
        <v>13.6666666666667</v>
      </c>
      <c r="R7" s="254" t="n">
        <f aca="false">Q7+1</f>
        <v>14.6666666666667</v>
      </c>
      <c r="S7" s="254" t="n">
        <f aca="false">R7+1</f>
        <v>15.6666666666667</v>
      </c>
      <c r="T7" s="254" t="n">
        <f aca="false">S7+1</f>
        <v>16.6666666666667</v>
      </c>
      <c r="U7" s="254" t="n">
        <f aca="false">T7+1</f>
        <v>17.6666666666667</v>
      </c>
      <c r="V7" s="254" t="n">
        <f aca="false">U7+1</f>
        <v>18.6666666666667</v>
      </c>
      <c r="W7" s="254" t="n">
        <f aca="false">V7+1</f>
        <v>19.6666666666667</v>
      </c>
      <c r="X7" s="254" t="n">
        <f aca="false">W7+1</f>
        <v>20.6666666666667</v>
      </c>
      <c r="Y7" s="254" t="n">
        <f aca="false">X7+1</f>
        <v>21.6666666666667</v>
      </c>
      <c r="Z7" s="254" t="n">
        <f aca="false">Y7+1</f>
        <v>22.6666666666667</v>
      </c>
      <c r="AA7" s="254" t="n">
        <f aca="false">Z7+1</f>
        <v>23.6666666666667</v>
      </c>
      <c r="AB7" s="254" t="n">
        <f aca="false">AA7+1</f>
        <v>24.6666666666667</v>
      </c>
      <c r="AC7" s="254" t="n">
        <f aca="false">AB7+1</f>
        <v>25.6666666666667</v>
      </c>
      <c r="AD7" s="254" t="n">
        <f aca="false">AC7+1</f>
        <v>26.6666666666667</v>
      </c>
      <c r="AE7" s="254" t="n">
        <f aca="false">AD7+1</f>
        <v>27.6666666666667</v>
      </c>
      <c r="AF7" s="254" t="n">
        <f aca="false">AE7+1</f>
        <v>28.6666666666667</v>
      </c>
      <c r="AG7" s="254" t="n">
        <f aca="false">AF7+1</f>
        <v>29.6666666666667</v>
      </c>
      <c r="AH7" s="254" t="n">
        <f aca="false">AG7+1</f>
        <v>30.6666666666667</v>
      </c>
    </row>
    <row r="8" customFormat="false" ht="16.5" hidden="false" customHeight="false" outlineLevel="0" collapsed="false">
      <c r="B8" s="255"/>
      <c r="C8" s="255"/>
      <c r="D8" s="256" t="n">
        <f aca="false">YEAR(Assumptions!H17)</f>
        <v>2001</v>
      </c>
      <c r="E8" s="256" t="n">
        <f aca="false">D8+1</f>
        <v>2002</v>
      </c>
      <c r="F8" s="256" t="n">
        <f aca="false">E8+1</f>
        <v>2003</v>
      </c>
      <c r="G8" s="256" t="n">
        <f aca="false">F8+1</f>
        <v>2004</v>
      </c>
      <c r="H8" s="256" t="n">
        <f aca="false">G8+1</f>
        <v>2005</v>
      </c>
      <c r="I8" s="256" t="n">
        <f aca="false">H8+1</f>
        <v>2006</v>
      </c>
      <c r="J8" s="256" t="n">
        <f aca="false">I8+1</f>
        <v>2007</v>
      </c>
      <c r="K8" s="256" t="n">
        <f aca="false">J8+1</f>
        <v>2008</v>
      </c>
      <c r="L8" s="256" t="n">
        <f aca="false">K8+1</f>
        <v>2009</v>
      </c>
      <c r="M8" s="256" t="n">
        <f aca="false">L8+1</f>
        <v>2010</v>
      </c>
      <c r="N8" s="256" t="n">
        <f aca="false">M8+1</f>
        <v>2011</v>
      </c>
      <c r="O8" s="256" t="n">
        <f aca="false">N8+1</f>
        <v>2012</v>
      </c>
      <c r="P8" s="256" t="n">
        <f aca="false">O8+1</f>
        <v>2013</v>
      </c>
      <c r="Q8" s="256" t="n">
        <f aca="false">P8+1</f>
        <v>2014</v>
      </c>
      <c r="R8" s="256" t="n">
        <f aca="false">Q8+1</f>
        <v>2015</v>
      </c>
      <c r="S8" s="256" t="n">
        <f aca="false">R8+1</f>
        <v>2016</v>
      </c>
      <c r="T8" s="256" t="n">
        <f aca="false">S8+1</f>
        <v>2017</v>
      </c>
      <c r="U8" s="256" t="n">
        <f aca="false">T8+1</f>
        <v>2018</v>
      </c>
      <c r="V8" s="256" t="n">
        <f aca="false">U8+1</f>
        <v>2019</v>
      </c>
      <c r="W8" s="256" t="n">
        <f aca="false">V8+1</f>
        <v>2020</v>
      </c>
      <c r="X8" s="256" t="n">
        <f aca="false">W8+1</f>
        <v>2021</v>
      </c>
      <c r="Y8" s="256" t="n">
        <f aca="false">X8+1</f>
        <v>2022</v>
      </c>
      <c r="Z8" s="256" t="n">
        <f aca="false">Y8+1</f>
        <v>2023</v>
      </c>
      <c r="AA8" s="256" t="n">
        <f aca="false">Z8+1</f>
        <v>2024</v>
      </c>
      <c r="AB8" s="256" t="n">
        <f aca="false">AA8+1</f>
        <v>2025</v>
      </c>
      <c r="AC8" s="256" t="n">
        <f aca="false">AB8+1</f>
        <v>2026</v>
      </c>
      <c r="AD8" s="256" t="n">
        <f aca="false">AC8+1</f>
        <v>2027</v>
      </c>
      <c r="AE8" s="256" t="n">
        <f aca="false">AD8+1</f>
        <v>2028</v>
      </c>
      <c r="AF8" s="256" t="n">
        <f aca="false">AE8+1</f>
        <v>2029</v>
      </c>
      <c r="AG8" s="256" t="n">
        <f aca="false">AF8+1</f>
        <v>2030</v>
      </c>
      <c r="AH8" s="256" t="n">
        <f aca="false">AG8+1</f>
        <v>2031</v>
      </c>
    </row>
    <row r="9" customFormat="false" ht="15.75" hidden="false" customHeight="false" outlineLevel="0" collapsed="false">
      <c r="B9" s="86"/>
      <c r="C9" s="8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customFormat="false" ht="15.75" hidden="false" customHeight="false" outlineLevel="0" collapsed="false">
      <c r="A10" s="1"/>
      <c r="B10" s="258" t="s">
        <v>344</v>
      </c>
      <c r="C10" s="31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59"/>
      <c r="C11" s="31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7" t="s">
        <v>345</v>
      </c>
      <c r="C12" s="31"/>
      <c r="D12" s="260" t="n">
        <f aca="false">Assumptions!$H$54</f>
        <v>6.39863928893547</v>
      </c>
      <c r="E12" s="260" t="n">
        <f aca="false">Assumptions!$H$54</f>
        <v>6.39863928893547</v>
      </c>
      <c r="F12" s="260" t="n">
        <f aca="false">Assumptions!$H$54</f>
        <v>6.39863928893547</v>
      </c>
      <c r="G12" s="260" t="n">
        <f aca="false">Assumptions!$H$54</f>
        <v>6.39863928893547</v>
      </c>
      <c r="H12" s="260" t="n">
        <f aca="false">Assumptions!$H$54</f>
        <v>6.39863928893547</v>
      </c>
      <c r="I12" s="260" t="n">
        <f aca="false">Assumptions!$H$54</f>
        <v>6.39863928893547</v>
      </c>
      <c r="J12" s="260" t="n">
        <f aca="false">Assumptions!$H$54</f>
        <v>6.39863928893547</v>
      </c>
      <c r="K12" s="260" t="n">
        <f aca="false">Assumptions!$H$54</f>
        <v>6.39863928893547</v>
      </c>
      <c r="L12" s="260" t="n">
        <f aca="false">Assumptions!$H$54</f>
        <v>6.39863928893547</v>
      </c>
      <c r="M12" s="260" t="n">
        <f aca="false">Assumptions!$H$54</f>
        <v>6.39863928893547</v>
      </c>
      <c r="N12" s="260" t="n">
        <f aca="false">Assumptions!$H$54</f>
        <v>6.39863928893547</v>
      </c>
      <c r="O12" s="260" t="n">
        <f aca="false">Assumptions!$H$54</f>
        <v>6.39863928893547</v>
      </c>
      <c r="P12" s="260" t="n">
        <f aca="false">Assumptions!$H$54</f>
        <v>6.39863928893547</v>
      </c>
      <c r="Q12" s="260" t="n">
        <f aca="false">Assumptions!$H$54</f>
        <v>6.39863928893547</v>
      </c>
      <c r="R12" s="260" t="n">
        <f aca="false">Assumptions!$H$54</f>
        <v>6.39863928893547</v>
      </c>
      <c r="S12" s="260" t="n">
        <f aca="false">Assumptions!$H$54</f>
        <v>6.39863928893547</v>
      </c>
      <c r="T12" s="260" t="n">
        <f aca="false">Assumptions!$H$54</f>
        <v>6.39863928893547</v>
      </c>
      <c r="U12" s="260" t="n">
        <f aca="false">Assumptions!$H$54</f>
        <v>6.39863928893547</v>
      </c>
      <c r="V12" s="260" t="n">
        <f aca="false">Assumptions!$H$54</f>
        <v>6.39863928893547</v>
      </c>
      <c r="W12" s="260" t="n">
        <f aca="false">Assumptions!$H$54</f>
        <v>6.39863928893547</v>
      </c>
      <c r="X12" s="260" t="n">
        <f aca="false">Assumptions!$H$54</f>
        <v>6.39863928893547</v>
      </c>
      <c r="Y12" s="260" t="n">
        <f aca="false">Assumptions!$H$54</f>
        <v>6.39863928893547</v>
      </c>
      <c r="Z12" s="260" t="n">
        <f aca="false">Assumptions!$H$54</f>
        <v>6.39863928893547</v>
      </c>
      <c r="AA12" s="260" t="n">
        <f aca="false">Assumptions!$H$54</f>
        <v>6.39863928893547</v>
      </c>
      <c r="AB12" s="260" t="n">
        <f aca="false">Assumptions!$H$54</f>
        <v>6.39863928893547</v>
      </c>
      <c r="AC12" s="260" t="n">
        <f aca="false">Assumptions!$H$54</f>
        <v>6.39863928893547</v>
      </c>
      <c r="AD12" s="260" t="n">
        <f aca="false">Assumptions!$H$54</f>
        <v>6.39863928893547</v>
      </c>
      <c r="AE12" s="260" t="n">
        <f aca="false">Assumptions!$H$54</f>
        <v>6.39863928893547</v>
      </c>
      <c r="AF12" s="260" t="n">
        <f aca="false">Assumptions!$H$54</f>
        <v>6.39863928893547</v>
      </c>
      <c r="AG12" s="260" t="n">
        <f aca="false">Assumptions!$H$54</f>
        <v>6.39863928893547</v>
      </c>
      <c r="AH12" s="260" t="n">
        <f aca="false">Assumptions!$H$54</f>
        <v>6.39863928893547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7"/>
      <c r="C13" s="31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7" t="s">
        <v>346</v>
      </c>
      <c r="C14" s="31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85</v>
      </c>
      <c r="C15" s="1"/>
      <c r="D15" s="261" t="n">
        <v>5.49333333333333</v>
      </c>
      <c r="E15" s="261" t="n">
        <v>5.65813333333333</v>
      </c>
      <c r="F15" s="261" t="n">
        <v>5.64575616666667</v>
      </c>
      <c r="G15" s="261" t="n">
        <v>5.72133645083333</v>
      </c>
      <c r="H15" s="261" t="n">
        <v>5.69976419864167</v>
      </c>
      <c r="I15" s="261" t="n">
        <v>5.77125276655683</v>
      </c>
      <c r="J15" s="261" t="n">
        <v>5.84190086076813</v>
      </c>
      <c r="K15" s="261" t="n">
        <v>5.91159371314221</v>
      </c>
      <c r="L15" s="261" t="n">
        <v>6.08894152453647</v>
      </c>
      <c r="M15" s="261" t="n">
        <v>6.15961673866056</v>
      </c>
      <c r="N15" s="261" t="n">
        <v>6.34440524082038</v>
      </c>
      <c r="O15" s="261" t="n">
        <v>6.4159239908078</v>
      </c>
      <c r="P15" s="261" t="n">
        <v>6.60840171053204</v>
      </c>
      <c r="Q15" s="261" t="n">
        <v>6.68060461811007</v>
      </c>
      <c r="R15" s="261" t="n">
        <v>6.75119213860331</v>
      </c>
      <c r="S15" s="261" t="n">
        <v>6.82000236616985</v>
      </c>
      <c r="T15" s="261" t="n">
        <v>6.88686513446563</v>
      </c>
      <c r="U15" s="261" t="n">
        <v>6.95160166672961</v>
      </c>
      <c r="V15" s="261" t="n">
        <v>7.0140242123084</v>
      </c>
      <c r="W15" s="261" t="n">
        <v>7.07393566912187</v>
      </c>
      <c r="X15" s="261" t="n">
        <v>7.13112919155307</v>
      </c>
      <c r="Y15" s="261" t="n">
        <v>7.18538778322793</v>
      </c>
      <c r="Z15" s="261" t="n">
        <v>7.23964637490278</v>
      </c>
      <c r="AA15" s="261" t="n">
        <v>7.29390496657765</v>
      </c>
      <c r="AB15" s="261" t="n">
        <v>7.34816355825251</v>
      </c>
      <c r="AC15" s="261" t="n">
        <v>7.40242214992737</v>
      </c>
      <c r="AD15" s="261" t="n">
        <v>7.45668074160222</v>
      </c>
      <c r="AE15" s="261" t="n">
        <v>7.51093933327709</v>
      </c>
      <c r="AF15" s="261" t="n">
        <v>7.56519792495195</v>
      </c>
      <c r="AG15" s="261" t="n">
        <v>7.61945651662681</v>
      </c>
      <c r="AH15" s="26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100</v>
      </c>
      <c r="C16" s="1"/>
      <c r="D16" s="261" t="n">
        <v>4.3775</v>
      </c>
      <c r="E16" s="261" t="n">
        <v>4.508825</v>
      </c>
      <c r="F16" s="261" t="n">
        <v>4.73515033333333</v>
      </c>
      <c r="G16" s="261" t="n">
        <v>4.87720484333333</v>
      </c>
      <c r="H16" s="261" t="n">
        <v>5.02352098863333</v>
      </c>
      <c r="I16" s="261" t="n">
        <v>5.17422661829233</v>
      </c>
      <c r="J16" s="261" t="n">
        <v>5.3294534168411</v>
      </c>
      <c r="K16" s="261" t="n">
        <v>5.2782086724484</v>
      </c>
      <c r="L16" s="261" t="n">
        <v>5.21909273531698</v>
      </c>
      <c r="M16" s="261" t="n">
        <v>5.03968642254046</v>
      </c>
      <c r="N16" s="261" t="n">
        <v>4.96017137009593</v>
      </c>
      <c r="O16" s="261" t="n">
        <v>4.87134969672444</v>
      </c>
      <c r="P16" s="261" t="n">
        <v>4.89511237817188</v>
      </c>
      <c r="Q16" s="261" t="n">
        <v>4.91591660577911</v>
      </c>
      <c r="R16" s="261" t="n">
        <v>4.80373286785236</v>
      </c>
      <c r="S16" s="261" t="n">
        <v>4.81411931729636</v>
      </c>
      <c r="T16" s="261" t="n">
        <v>4.82080559412594</v>
      </c>
      <c r="U16" s="261" t="n">
        <v>4.96542976194972</v>
      </c>
      <c r="V16" s="261" t="n">
        <v>5.11439265480821</v>
      </c>
      <c r="W16" s="261" t="n">
        <v>5.11731516489667</v>
      </c>
      <c r="X16" s="261" t="n">
        <v>5.27083461984357</v>
      </c>
      <c r="Y16" s="261" t="n">
        <v>5.42895965843888</v>
      </c>
      <c r="Z16" s="261" t="n">
        <v>5.58708469703418</v>
      </c>
      <c r="AA16" s="261" t="n">
        <v>5.74520973562949</v>
      </c>
      <c r="AB16" s="261" t="n">
        <v>5.9033347742248</v>
      </c>
      <c r="AC16" s="261" t="n">
        <v>6.06145981282011</v>
      </c>
      <c r="AD16" s="261" t="n">
        <v>6.21958485141541</v>
      </c>
      <c r="AE16" s="261" t="n">
        <v>6.37770989001072</v>
      </c>
      <c r="AF16" s="261" t="n">
        <v>6.53583492860603</v>
      </c>
      <c r="AG16" s="261" t="n">
        <v>6.69395996720133</v>
      </c>
      <c r="AH16" s="26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84</v>
      </c>
      <c r="C17" s="1"/>
      <c r="D17" s="262" t="n">
        <v>0</v>
      </c>
      <c r="E17" s="262" t="n">
        <v>0</v>
      </c>
      <c r="F17" s="262" t="n">
        <v>0</v>
      </c>
      <c r="G17" s="262" t="n">
        <v>0</v>
      </c>
      <c r="H17" s="262" t="n">
        <v>0</v>
      </c>
      <c r="I17" s="262" t="n">
        <v>0</v>
      </c>
      <c r="J17" s="262" t="n">
        <v>0</v>
      </c>
      <c r="K17" s="262" t="n">
        <v>0</v>
      </c>
      <c r="L17" s="262" t="n">
        <v>0</v>
      </c>
      <c r="M17" s="262" t="n">
        <v>0</v>
      </c>
      <c r="N17" s="262" t="n">
        <v>0</v>
      </c>
      <c r="O17" s="262" t="n">
        <v>0</v>
      </c>
      <c r="P17" s="262" t="n">
        <v>0</v>
      </c>
      <c r="Q17" s="262" t="n">
        <v>0</v>
      </c>
      <c r="R17" s="262" t="n">
        <v>0</v>
      </c>
      <c r="S17" s="262" t="n">
        <v>0</v>
      </c>
      <c r="T17" s="262" t="n">
        <v>0</v>
      </c>
      <c r="U17" s="262" t="n">
        <v>0</v>
      </c>
      <c r="V17" s="262" t="n">
        <v>0</v>
      </c>
      <c r="W17" s="262" t="n">
        <v>0</v>
      </c>
      <c r="X17" s="262" t="n">
        <v>0</v>
      </c>
      <c r="Y17" s="262" t="n">
        <v>0</v>
      </c>
      <c r="Z17" s="262" t="n">
        <v>0</v>
      </c>
      <c r="AA17" s="262" t="n">
        <v>0</v>
      </c>
      <c r="AB17" s="262" t="n">
        <v>0</v>
      </c>
      <c r="AC17" s="262" t="n">
        <v>0</v>
      </c>
      <c r="AD17" s="262" t="n">
        <v>0</v>
      </c>
      <c r="AE17" s="262" t="n">
        <v>0</v>
      </c>
      <c r="AF17" s="262" t="n">
        <v>0</v>
      </c>
      <c r="AG17" s="262" t="n">
        <v>0</v>
      </c>
      <c r="AH17" s="262" t="n">
        <v>0</v>
      </c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109</v>
      </c>
      <c r="C18" s="1"/>
      <c r="D18" s="264" t="n">
        <v>0</v>
      </c>
      <c r="E18" s="264" t="n">
        <v>0</v>
      </c>
      <c r="F18" s="264" t="n">
        <v>0</v>
      </c>
      <c r="G18" s="264" t="n">
        <v>0</v>
      </c>
      <c r="H18" s="264" t="n">
        <v>0</v>
      </c>
      <c r="I18" s="264" t="n">
        <v>0</v>
      </c>
      <c r="J18" s="264" t="n">
        <v>0</v>
      </c>
      <c r="K18" s="264" t="n">
        <v>0</v>
      </c>
      <c r="L18" s="264" t="n">
        <v>0</v>
      </c>
      <c r="M18" s="264" t="n">
        <v>0</v>
      </c>
      <c r="N18" s="264" t="n">
        <v>0</v>
      </c>
      <c r="O18" s="264" t="n">
        <v>0</v>
      </c>
      <c r="P18" s="264" t="n">
        <v>0</v>
      </c>
      <c r="Q18" s="264" t="n">
        <v>0</v>
      </c>
      <c r="R18" s="264" t="n">
        <v>0</v>
      </c>
      <c r="S18" s="264" t="n">
        <v>0</v>
      </c>
      <c r="T18" s="264" t="n">
        <v>0</v>
      </c>
      <c r="U18" s="264" t="n">
        <v>0</v>
      </c>
      <c r="V18" s="264" t="n">
        <v>0</v>
      </c>
      <c r="W18" s="264" t="n">
        <v>0</v>
      </c>
      <c r="X18" s="264" t="n">
        <v>0</v>
      </c>
      <c r="Y18" s="264" t="n">
        <v>0</v>
      </c>
      <c r="Z18" s="264" t="n">
        <v>0</v>
      </c>
      <c r="AA18" s="264" t="n">
        <v>0</v>
      </c>
      <c r="AB18" s="264" t="n">
        <v>0</v>
      </c>
      <c r="AC18" s="264" t="n">
        <v>0</v>
      </c>
      <c r="AD18" s="264" t="n">
        <v>0</v>
      </c>
      <c r="AE18" s="264" t="n">
        <v>0</v>
      </c>
      <c r="AF18" s="264" t="n">
        <v>0</v>
      </c>
      <c r="AG18" s="264" t="n">
        <v>0</v>
      </c>
      <c r="AH18" s="26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65" t="n">
        <v>1</v>
      </c>
      <c r="B19" s="31" t="s">
        <v>347</v>
      </c>
      <c r="C19" s="266"/>
      <c r="D19" s="267" t="n">
        <f aca="false">CHOOSE($A$19,D15,D16,D17,D18)</f>
        <v>5.49333333333333</v>
      </c>
      <c r="E19" s="267" t="n">
        <f aca="false">CHOOSE($A$19,E15,E16,E17,E18)</f>
        <v>5.65813333333333</v>
      </c>
      <c r="F19" s="267" t="n">
        <f aca="false">CHOOSE($A$19,F15,F16,F17,F18)</f>
        <v>5.64575616666667</v>
      </c>
      <c r="G19" s="267" t="n">
        <f aca="false">CHOOSE($A$19,G15,G16,G17,G18)</f>
        <v>5.72133645083333</v>
      </c>
      <c r="H19" s="267" t="n">
        <f aca="false">CHOOSE($A$19,H15,H16,H17,H18)</f>
        <v>5.69976419864167</v>
      </c>
      <c r="I19" s="267" t="n">
        <f aca="false">CHOOSE($A$19,I15,I16,I17,I18)</f>
        <v>5.77125276655683</v>
      </c>
      <c r="J19" s="267" t="n">
        <f aca="false">CHOOSE($A$19,J15,J16,J17,J18)</f>
        <v>5.84190086076813</v>
      </c>
      <c r="K19" s="267" t="n">
        <f aca="false">CHOOSE($A$19,K15,K16,K17,K18)</f>
        <v>5.91159371314221</v>
      </c>
      <c r="L19" s="267" t="n">
        <f aca="false">CHOOSE($A$19,L15,L16,L17,L18)</f>
        <v>6.08894152453647</v>
      </c>
      <c r="M19" s="267" t="n">
        <f aca="false">CHOOSE($A$19,M15,M16,M17,M18)</f>
        <v>6.15961673866056</v>
      </c>
      <c r="N19" s="267" t="n">
        <f aca="false">CHOOSE($A$19,N15,N16,N17,N18)</f>
        <v>6.34440524082038</v>
      </c>
      <c r="O19" s="267" t="n">
        <f aca="false">CHOOSE($A$19,O15,O16,O17,O18)</f>
        <v>6.4159239908078</v>
      </c>
      <c r="P19" s="267" t="n">
        <f aca="false">CHOOSE($A$19,P15,P16,P17,P18)</f>
        <v>6.60840171053204</v>
      </c>
      <c r="Q19" s="267" t="n">
        <f aca="false">CHOOSE($A$19,Q15,Q16,Q17,Q18)</f>
        <v>6.68060461811007</v>
      </c>
      <c r="R19" s="267" t="n">
        <f aca="false">CHOOSE($A$19,R15,R16,R17,R18)</f>
        <v>6.75119213860331</v>
      </c>
      <c r="S19" s="267" t="n">
        <f aca="false">CHOOSE($A$19,S15,S16,S17,S18)</f>
        <v>6.82000236616985</v>
      </c>
      <c r="T19" s="267" t="n">
        <f aca="false">CHOOSE($A$19,T15,T16,T17,T18)</f>
        <v>6.88686513446563</v>
      </c>
      <c r="U19" s="267" t="n">
        <f aca="false">CHOOSE($A$19,U15,U16,U17,U18)</f>
        <v>6.95160166672961</v>
      </c>
      <c r="V19" s="267" t="n">
        <f aca="false">CHOOSE($A$19,V15,V16,V17,V18)</f>
        <v>7.0140242123084</v>
      </c>
      <c r="W19" s="267" t="n">
        <f aca="false">CHOOSE($A$19,W15,W16,W17,W18)</f>
        <v>7.07393566912187</v>
      </c>
      <c r="X19" s="267" t="n">
        <f aca="false">CHOOSE($A$19,X15,X16,X17,X18)</f>
        <v>7.13112919155307</v>
      </c>
      <c r="Y19" s="267" t="n">
        <f aca="false">CHOOSE($A$19,Y15,Y16,Y17,Y18)</f>
        <v>7.18538778322793</v>
      </c>
      <c r="Z19" s="267" t="n">
        <f aca="false">CHOOSE($A$19,Z15,Z16,Z17,Z18)</f>
        <v>7.23964637490278</v>
      </c>
      <c r="AA19" s="267" t="n">
        <f aca="false">CHOOSE($A$19,AA15,AA16,AA17,AA18)</f>
        <v>7.29390496657765</v>
      </c>
      <c r="AB19" s="267" t="n">
        <f aca="false">CHOOSE($A$19,AB15,AB16,AB17,AB18)</f>
        <v>7.34816355825251</v>
      </c>
      <c r="AC19" s="267" t="n">
        <f aca="false">CHOOSE($A$19,AC15,AC16,AC17,AC18)</f>
        <v>7.40242214992737</v>
      </c>
      <c r="AD19" s="267" t="n">
        <f aca="false">CHOOSE($A$19,AD15,AD16,AD17,AD18)</f>
        <v>7.45668074160222</v>
      </c>
      <c r="AE19" s="267" t="n">
        <f aca="false">CHOOSE($A$19,AE15,AE16,AE17,AE18)</f>
        <v>7.51093933327709</v>
      </c>
      <c r="AF19" s="267" t="n">
        <f aca="false">CHOOSE($A$19,AF15,AF16,AF17,AF18)</f>
        <v>7.56519792495195</v>
      </c>
      <c r="AG19" s="267" t="n">
        <f aca="false">CHOOSE($A$19,AG15,AG16,AG17,AG18)</f>
        <v>7.61945651662681</v>
      </c>
      <c r="AH19" s="26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66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9"/>
      <c r="Z20" s="270"/>
      <c r="AA20" s="27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71" t="s">
        <v>348</v>
      </c>
      <c r="C21" s="266"/>
      <c r="D21" s="272" t="n">
        <f aca="false">IF(AND(C7&lt;$D$7+Assumptions!$H$53,D7&lt;$D$7+Assumptions!$H$53),D12,IF(AND(C7&lt;$D$7+Assumptions!$H$53,D7&gt;$D$7+Assumptions!$H$53),D12*(1-$D$7)+D19*$D$7,D19))</f>
        <v>6.39863928893547</v>
      </c>
      <c r="E21" s="273" t="n">
        <f aca="false">IF(AND(D7&lt;$D$7+Assumptions!$H$53,E7&lt;$D$7+Assumptions!$H$53),E12,IF(AND(D7&lt;$D$7+Assumptions!$H$53,E7&gt;=$D$7+Assumptions!$H$53),E12*(1-$D$7)+E19*$D$7,E19))</f>
        <v>6.39863928893547</v>
      </c>
      <c r="F21" s="273" t="n">
        <f aca="false">IF(AND(E7&lt;$D$7+Assumptions!$H$53,F7&lt;$D$7+Assumptions!$H$53),F12,IF(AND(E7&lt;$D$7+Assumptions!$H$53,F7&gt;=$D$7+Assumptions!$H$53),F12*(1-$D$7)+F19*$D$7,F19))</f>
        <v>6.39863928893547</v>
      </c>
      <c r="G21" s="273" t="n">
        <f aca="false">IF(AND(F7&lt;$D$7+Assumptions!$H$53,G7&lt;$D$7+Assumptions!$H$53),G12,IF(AND(F7&lt;$D$7+Assumptions!$H$53,G7&gt;=$D$7+Assumptions!$H$53),G12*(1-$D$7)+G19*$D$7,G19))</f>
        <v>6.39863928893547</v>
      </c>
      <c r="H21" s="273" t="n">
        <f aca="false">IF(AND(G7&lt;$D$7+Assumptions!$H$53,H7&lt;$D$7+Assumptions!$H$53),H12,IF(AND(G7&lt;$D$7+Assumptions!$H$53,H7&gt;=$D$7+Assumptions!$H$53),H12*(1-$D$7)+H19*$D$7,H19))</f>
        <v>6.39863928893547</v>
      </c>
      <c r="I21" s="273" t="n">
        <f aca="false">IF(AND(H7&lt;$D$7+Assumptions!$H$53,I7&lt;$D$7+Assumptions!$H$53),I12,IF(AND(H7&lt;$D$7+Assumptions!$H$53,I7&gt;=$D$7+Assumptions!$H$53),I12*(1-$D$7)+I19*$D$7,I19))</f>
        <v>6.39863928893547</v>
      </c>
      <c r="J21" s="273" t="n">
        <f aca="false">IF(AND(I7&lt;$D$7+Assumptions!$H$53,J7&lt;$D$7+Assumptions!$H$53),J12,IF(AND(I7&lt;$D$7+Assumptions!$H$53,J7&gt;=$D$7+Assumptions!$H$53),J12*(1-$D$7)+J19*$D$7,J19))</f>
        <v>6.39863928893547</v>
      </c>
      <c r="K21" s="273" t="n">
        <f aca="false">IF(AND(J7&lt;$D$7+Assumptions!$H$53,K7&lt;$D$7+Assumptions!$H$53),K12,IF(AND(J7&lt;$D$7+Assumptions!$H$53,K7&gt;=$D$7+Assumptions!$H$53),K12*(1-$D$7)+K19*$D$7,K19))</f>
        <v>6.39863928893547</v>
      </c>
      <c r="L21" s="273" t="n">
        <f aca="false">IF(AND(K7&lt;$D$7+Assumptions!$H$53,L7&lt;$D$7+Assumptions!$H$53),L12,IF(AND(K7&lt;$D$7+Assumptions!$H$53,L7&gt;=$D$7+Assumptions!$H$53),L12*(1-$D$7)+L19*$D$7,L19))</f>
        <v>6.39863928893547</v>
      </c>
      <c r="M21" s="273" t="n">
        <f aca="false">IF(AND(L7&lt;$D$7+Assumptions!$H$53,M7&lt;$D$7+Assumptions!$H$53),M12,IF(AND(L7&lt;$D$7+Assumptions!$H$53,M7&gt;=$D$7+Assumptions!$H$53),M12*(1-$D$7)+M19*$D$7,M19))</f>
        <v>6.39863928893547</v>
      </c>
      <c r="N21" s="273" t="n">
        <f aca="false">IF(AND(M7&lt;$D$7+Assumptions!$H$53,N7&lt;$D$7+Assumptions!$H$53),N12,IF(AND(M7&lt;$D$7+Assumptions!$H$53,N7&gt;=$D$7+Assumptions!$H$53),N12*(1-$D$7)+N19*$D$7,N19))</f>
        <v>6.39863928893547</v>
      </c>
      <c r="O21" s="273" t="n">
        <f aca="false">IF(AND(N7&lt;$D$7+Assumptions!$H$53,O7&lt;$D$7+Assumptions!$H$53),O12,IF(AND(N7&lt;$D$7+Assumptions!$H$53,O7&gt;=$D$7+Assumptions!$H$53),O12*(1-$D$7)+O19*$D$7,O19))</f>
        <v>6.39863928893547</v>
      </c>
      <c r="P21" s="273" t="n">
        <f aca="false">IF(AND(O7&lt;$D$7+Assumptions!$H$53,P7&lt;$D$7+Assumptions!$H$53),P12,IF(AND(O7&lt;$D$7+Assumptions!$H$53,P7&gt;=$D$7+Assumptions!$H$53),P12*(1-$D$7)+P19*$D$7,P19))</f>
        <v>6.39863928893547</v>
      </c>
      <c r="Q21" s="273" t="n">
        <f aca="false">IF(AND(P7&lt;$D$7+Assumptions!$H$53,Q7&lt;$D$7+Assumptions!$H$53),Q12,IF(AND(P7&lt;$D$7+Assumptions!$H$53,Q7&gt;=$D$7+Assumptions!$H$53),Q12*(1-$D$7)+Q19*$D$7,Q19))</f>
        <v>6.39863928893547</v>
      </c>
      <c r="R21" s="274" t="n">
        <f aca="false">IF(AND(Q7&lt;$D$7+Assumptions!$H$53,R7&lt;$D$7+Assumptions!$H$53),R12,IF(AND(Q7&lt;$D$7+Assumptions!$H$53,R7&gt;=$D$7+Assumptions!$H$53),R12*(1-$D$7)+R19*$D$7,R19))</f>
        <v>6.39863928893547</v>
      </c>
      <c r="S21" s="272" t="n">
        <f aca="false">IF(AND(R7&lt;$D$7+Assumptions!$H$53,S7&lt;$D$7+Assumptions!$H$53),S12,IF(AND(R7&lt;$D$7+Assumptions!$H$53,S7&gt;=$D$7+Assumptions!$H$53),S12*(1-$D$7)+S19*$D$7,S19))</f>
        <v>6.39863928893547</v>
      </c>
      <c r="T21" s="273" t="n">
        <f aca="false">IF(AND(S7&lt;$D$7+Assumptions!$H$53,T7&lt;$D$7+Assumptions!$H$53),T12,IF(AND(S7&lt;$D$7+Assumptions!$H$53,T7&gt;=$D$7+Assumptions!$H$53),T12*(1-$D$7)+T19*$D$7,T19))</f>
        <v>6.39863928893547</v>
      </c>
      <c r="U21" s="273" t="n">
        <f aca="false">IF(AND(T7&lt;$D$7+Assumptions!$H$53,U7&lt;$D$7+Assumptions!$H$53),U12,IF(AND(T7&lt;$D$7+Assumptions!$H$53,U7&gt;=$D$7+Assumptions!$H$53),U12*(1-$D$7)+U19*$D$7,U19))</f>
        <v>6.39863928893547</v>
      </c>
      <c r="V21" s="273" t="n">
        <f aca="false">IF(AND(U7&lt;$D$7+Assumptions!$H$53,V7&lt;$D$7+Assumptions!$H$53),V12,IF(AND(U7&lt;$D$7+Assumptions!$H$53,V7&gt;=$D$7+Assumptions!$H$53),V12*(1-$D$7)+V19*$D$7,V19))</f>
        <v>6.39863928893547</v>
      </c>
      <c r="W21" s="273" t="n">
        <f aca="false">IF(AND(V7&lt;$D$7+Assumptions!$H$53,W7&lt;$D$7+Assumptions!$H$53),W12,IF(AND(V7&lt;$D$7+Assumptions!$H$53,W7&gt;=$D$7+Assumptions!$H$53),W12*(1-$D$7)+W19*$D$7,W19))</f>
        <v>6.39863928893547</v>
      </c>
      <c r="X21" s="273" t="n">
        <f aca="false">IF(AND(W7&lt;$D$7+Assumptions!$H$53,X7&lt;$D$7+Assumptions!$H$53),X12,IF(AND(W7&lt;$D$7+Assumptions!$H$53,X7&gt;=$D$7+Assumptions!$H$53),X12*(1-$D$7)+X19*$D$7,X19))</f>
        <v>6.39863928893547</v>
      </c>
      <c r="Y21" s="273" t="n">
        <f aca="false">IF(AND(X7&lt;$D$7+Assumptions!$H$53,Y7&lt;$D$7+Assumptions!$H$53),Y12,IF(AND(X7&lt;$D$7+Assumptions!$H$53,Y7&gt;=$D$7+Assumptions!$H$53),Y12*(1-$D$7)+Y19*$D$7,Y19))</f>
        <v>6.39863928893547</v>
      </c>
      <c r="Z21" s="273" t="n">
        <f aca="false">IF(AND(Y7&lt;$D$7+Assumptions!$H$53,Z7&lt;$D$7+Assumptions!$H$53),Z12,IF(AND(Y7&lt;$D$7+Assumptions!$H$53,Z7&gt;=$D$7+Assumptions!$H$53),Z12*(1-$D$7)+Z19*$D$7,Z19))</f>
        <v>6.39863928893547</v>
      </c>
      <c r="AA21" s="273" t="n">
        <f aca="false">IF(AND(Z7&lt;$D$7+Assumptions!$H$53,AA7&lt;$D$7+Assumptions!$H$53),AA12,IF(AND(Z7&lt;$D$7+Assumptions!$H$53,AA7&gt;=$D$7+Assumptions!$H$53),AA12*(1-$D$7)+AA19*$D$7,AA19))</f>
        <v>6.39863928893547</v>
      </c>
      <c r="AB21" s="273" t="n">
        <f aca="false">IF(AND(AA7&lt;$D$7+Assumptions!$H$53,AB7&lt;$D$7+Assumptions!$H$53),AB12,IF(AND(AA7&lt;$D$7+Assumptions!$H$53,AB7&gt;=$D$7+Assumptions!$H$53),AB12*(1-$D$7)+AB19*$D$7,AB19))</f>
        <v>6.39863928893547</v>
      </c>
      <c r="AC21" s="273" t="n">
        <f aca="false">IF(AND(AB7&lt;$D$7+Assumptions!$H$53,AC7&lt;$D$7+Assumptions!$H$53),AC12,IF(AND(AB7&lt;$D$7+Assumptions!$H$53,AC7&gt;=$D$7+Assumptions!$H$53),AC12*(1-$D$7)+AC19*$D$7,AC19))</f>
        <v>6.39863928893547</v>
      </c>
      <c r="AD21" s="273" t="n">
        <f aca="false">IF(AND(AC7&lt;$D$7+Assumptions!$H$53,AD7&lt;$D$7+Assumptions!$H$53),AD12,IF(AND(AC7&lt;$D$7+Assumptions!$H$53,AD7&gt;=$D$7+Assumptions!$H$53),AD12*(1-$D$7)+AD19*$D$7,AD19))</f>
        <v>6.39863928893547</v>
      </c>
      <c r="AE21" s="273" t="n">
        <f aca="false">IF(AND(AD7&lt;$D$7+Assumptions!$H$53,AE7&lt;$D$7+Assumptions!$H$53),AE12,IF(AND(AD7&lt;$D$7+Assumptions!$H$53,AE7&gt;=$D$7+Assumptions!$H$53),AE12*(1-$D$7)+AE19*$D$7,AE19))</f>
        <v>6.39863928893547</v>
      </c>
      <c r="AF21" s="273" t="n">
        <f aca="false">IF(AND(AE7&lt;$D$7+Assumptions!$H$53,AF7&lt;$D$7+Assumptions!$H$53),AF12,IF(AND(AE7&lt;$D$7+Assumptions!$H$53,AF7&gt;=$D$7+Assumptions!$H$53),AF12*(1-$D$7)+AF19*$D$7,AF19))</f>
        <v>6.39863928893547</v>
      </c>
      <c r="AG21" s="273" t="n">
        <f aca="false">IF(AND(AF7&lt;$D$7+Assumptions!$H$53,AG7&lt;$D$7+Assumptions!$H$53),AG12,IF(AND(AF7&lt;$D$7+Assumptions!$H$53,AG7&gt;=$D$7+Assumptions!$H$53),AG12*(1-$D$7)+AG19*$D$7,AG19))</f>
        <v>6.39863928893547</v>
      </c>
      <c r="AH21" s="274" t="n">
        <f aca="false">IF(AND(AG7&lt;$D$7+Assumptions!$H$53,AH7&lt;$D$7+Assumptions!$H$53),AH12,IF(AND(AG7&lt;$D$7+Assumptions!$H$53,AH7&gt;=$D$7+Assumptions!$H$53),AH12*(1-$D$7)+AH19*$D$7,AH19))</f>
        <v>7.2486898351796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66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9"/>
      <c r="Z22" s="270"/>
      <c r="AA22" s="27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6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58" t="s">
        <v>349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350</v>
      </c>
      <c r="C25" s="275"/>
      <c r="D25" s="262" t="n">
        <f aca="false">'Fuel Oil Curve'!G4</f>
        <v>4.3843820861678</v>
      </c>
      <c r="E25" s="262" t="n">
        <f aca="false">'Fuel Oil Curve'!G5</f>
        <v>4.249929138322</v>
      </c>
      <c r="F25" s="262" t="n">
        <f aca="false">'Fuel Oil Curve'!G6</f>
        <v>4.19383503401361</v>
      </c>
      <c r="G25" s="262" t="n">
        <f aca="false">'Fuel Oil Curve'!G7</f>
        <v>4.17590702947846</v>
      </c>
      <c r="H25" s="262" t="n">
        <f aca="false">'Fuel Oil Curve'!G8</f>
        <v>4.17298752834467</v>
      </c>
      <c r="I25" s="262" t="n">
        <f aca="false">'Fuel Oil Curve'!G9</f>
        <v>4.23835034013605</v>
      </c>
      <c r="J25" s="262" t="n">
        <f aca="false">'Fuel Oil Curve'!G10</f>
        <v>4.34047619047619</v>
      </c>
      <c r="K25" s="262" t="n">
        <f aca="false">'Fuel Oil Curve'!G11</f>
        <v>4.34893707482993</v>
      </c>
      <c r="L25" s="262" t="n">
        <f aca="false">'Fuel Oil Curve'!G12</f>
        <v>4.34893707482993</v>
      </c>
      <c r="M25" s="262" t="n">
        <f aca="false">'Fuel Oil Curve'!G13</f>
        <v>4.34893707482993</v>
      </c>
      <c r="N25" s="262" t="n">
        <f aca="false">'Fuel Oil Curve'!G14</f>
        <v>4.34893707482993</v>
      </c>
      <c r="O25" s="262" t="n">
        <f aca="false">'Fuel Oil Curve'!G15</f>
        <v>4.34893707482993</v>
      </c>
      <c r="P25" s="262" t="n">
        <f aca="false">'Fuel Oil Curve'!G16</f>
        <v>4.34893707482993</v>
      </c>
      <c r="Q25" s="262" t="n">
        <f aca="false">'Fuel Oil Curve'!G17</f>
        <v>4.34893707482993</v>
      </c>
      <c r="R25" s="262" t="n">
        <f aca="false">'Fuel Oil Curve'!G18</f>
        <v>4.34893707482993</v>
      </c>
      <c r="S25" s="262" t="n">
        <f aca="false">'Fuel Oil Curve'!G19</f>
        <v>4.34893707482993</v>
      </c>
      <c r="T25" s="262" t="n">
        <f aca="false">'Fuel Oil Curve'!G20</f>
        <v>4.35</v>
      </c>
      <c r="U25" s="262" t="n">
        <f aca="false">'Fuel Oil Curve'!G21</f>
        <v>4.35</v>
      </c>
      <c r="V25" s="262" t="n">
        <f aca="false">'Fuel Oil Curve'!G22</f>
        <v>4.35</v>
      </c>
      <c r="W25" s="262" t="n">
        <f aca="false">'Fuel Oil Curve'!G23</f>
        <v>4.35</v>
      </c>
      <c r="X25" s="262" t="n">
        <f aca="false">'Fuel Oil Curve'!G24</f>
        <v>4.35</v>
      </c>
      <c r="Y25" s="262" t="n">
        <v>2.2</v>
      </c>
      <c r="Z25" s="262" t="n">
        <v>2.2</v>
      </c>
      <c r="AA25" s="262" t="n">
        <v>2.2</v>
      </c>
      <c r="AB25" s="262" t="n">
        <v>2.2</v>
      </c>
      <c r="AC25" s="262" t="n">
        <v>2.2</v>
      </c>
      <c r="AD25" s="262" t="n">
        <v>2.2</v>
      </c>
      <c r="AE25" s="262" t="n">
        <v>2.2</v>
      </c>
      <c r="AF25" s="262" t="n">
        <v>2.2</v>
      </c>
      <c r="AG25" s="262" t="n">
        <v>2.2</v>
      </c>
      <c r="AH25" s="26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99</v>
      </c>
      <c r="C26" s="31"/>
      <c r="D26" s="262" t="n">
        <v>2.5</v>
      </c>
      <c r="E26" s="262" t="n">
        <v>2.5</v>
      </c>
      <c r="F26" s="262" t="n">
        <v>2.5</v>
      </c>
      <c r="G26" s="262" t="n">
        <v>2.5</v>
      </c>
      <c r="H26" s="262" t="n">
        <v>2.5</v>
      </c>
      <c r="I26" s="262" t="n">
        <v>2.5</v>
      </c>
      <c r="J26" s="262" t="n">
        <v>2.5</v>
      </c>
      <c r="K26" s="262" t="n">
        <v>2.5</v>
      </c>
      <c r="L26" s="262" t="n">
        <v>2.5</v>
      </c>
      <c r="M26" s="262" t="n">
        <v>2.5</v>
      </c>
      <c r="N26" s="262" t="n">
        <v>2.5</v>
      </c>
      <c r="O26" s="262" t="n">
        <v>2.5</v>
      </c>
      <c r="P26" s="262" t="n">
        <v>2.5</v>
      </c>
      <c r="Q26" s="262" t="n">
        <v>2.5</v>
      </c>
      <c r="R26" s="262" t="n">
        <v>2.5</v>
      </c>
      <c r="S26" s="262" t="n">
        <v>2.5</v>
      </c>
      <c r="T26" s="262" t="n">
        <v>2.5</v>
      </c>
      <c r="U26" s="262" t="n">
        <v>2.5</v>
      </c>
      <c r="V26" s="262" t="n">
        <v>2.5</v>
      </c>
      <c r="W26" s="262" t="n">
        <v>2.5</v>
      </c>
      <c r="X26" s="262" t="n">
        <v>2.5</v>
      </c>
      <c r="Y26" s="262" t="n">
        <v>2.5</v>
      </c>
      <c r="Z26" s="262" t="n">
        <v>2.5</v>
      </c>
      <c r="AA26" s="262" t="n">
        <v>2.5</v>
      </c>
      <c r="AB26" s="262" t="n">
        <v>2.5</v>
      </c>
      <c r="AC26" s="262" t="n">
        <v>2.5</v>
      </c>
      <c r="AD26" s="262" t="n">
        <v>2.5</v>
      </c>
      <c r="AE26" s="262" t="n">
        <v>2.5</v>
      </c>
      <c r="AF26" s="262" t="n">
        <v>2.5</v>
      </c>
      <c r="AG26" s="262" t="n">
        <v>2.5</v>
      </c>
      <c r="AH26" s="26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109</v>
      </c>
      <c r="C27" s="31"/>
      <c r="D27" s="276" t="n">
        <v>1.5</v>
      </c>
      <c r="E27" s="276" t="n">
        <v>1.5</v>
      </c>
      <c r="F27" s="276" t="n">
        <v>1.5</v>
      </c>
      <c r="G27" s="276" t="n">
        <v>1.5</v>
      </c>
      <c r="H27" s="276" t="n">
        <v>1.5</v>
      </c>
      <c r="I27" s="276" t="n">
        <v>1.5</v>
      </c>
      <c r="J27" s="276" t="n">
        <v>1.5</v>
      </c>
      <c r="K27" s="276" t="n">
        <v>1.5</v>
      </c>
      <c r="L27" s="276" t="n">
        <v>1.5</v>
      </c>
      <c r="M27" s="276" t="n">
        <v>1.5</v>
      </c>
      <c r="N27" s="276" t="n">
        <v>1.5</v>
      </c>
      <c r="O27" s="276" t="n">
        <v>1.5</v>
      </c>
      <c r="P27" s="276" t="n">
        <v>1.5</v>
      </c>
      <c r="Q27" s="276" t="n">
        <v>1.5</v>
      </c>
      <c r="R27" s="276" t="n">
        <v>1.5</v>
      </c>
      <c r="S27" s="276" t="n">
        <v>1.5</v>
      </c>
      <c r="T27" s="276" t="n">
        <v>1.5</v>
      </c>
      <c r="U27" s="276" t="n">
        <v>1.5</v>
      </c>
      <c r="V27" s="276" t="n">
        <v>1.5</v>
      </c>
      <c r="W27" s="276" t="n">
        <v>1.5</v>
      </c>
      <c r="X27" s="276" t="n">
        <v>1.5</v>
      </c>
      <c r="Y27" s="276" t="n">
        <v>1.5</v>
      </c>
      <c r="Z27" s="276" t="n">
        <v>1.5</v>
      </c>
      <c r="AA27" s="276" t="n">
        <v>1.5</v>
      </c>
      <c r="AB27" s="276" t="n">
        <v>1.5</v>
      </c>
      <c r="AC27" s="276" t="n">
        <v>1.5</v>
      </c>
      <c r="AD27" s="276" t="n">
        <v>1.5</v>
      </c>
      <c r="AE27" s="276" t="n">
        <v>1.5</v>
      </c>
      <c r="AF27" s="276" t="n">
        <v>1.5</v>
      </c>
      <c r="AG27" s="276" t="n">
        <v>1.5</v>
      </c>
      <c r="AH27" s="27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351</v>
      </c>
      <c r="C28" s="31"/>
      <c r="D28" s="277" t="n">
        <f aca="false">Assumptions!$N$54</f>
        <v>0.015</v>
      </c>
      <c r="E28" s="277" t="n">
        <f aca="false">Assumptions!$N$54</f>
        <v>0.015</v>
      </c>
      <c r="F28" s="277" t="n">
        <f aca="false">Assumptions!$N$54</f>
        <v>0.015</v>
      </c>
      <c r="G28" s="277" t="n">
        <f aca="false">Assumptions!$N$54</f>
        <v>0.015</v>
      </c>
      <c r="H28" s="277" t="n">
        <f aca="false">Assumptions!$N$54</f>
        <v>0.015</v>
      </c>
      <c r="I28" s="277" t="n">
        <f aca="false">Assumptions!$N$54</f>
        <v>0.015</v>
      </c>
      <c r="J28" s="277" t="n">
        <f aca="false">Assumptions!$N$54</f>
        <v>0.015</v>
      </c>
      <c r="K28" s="277" t="n">
        <f aca="false">Assumptions!$N$54</f>
        <v>0.015</v>
      </c>
      <c r="L28" s="277" t="n">
        <f aca="false">Assumptions!$N$54</f>
        <v>0.015</v>
      </c>
      <c r="M28" s="277" t="n">
        <f aca="false">Assumptions!$N$54</f>
        <v>0.015</v>
      </c>
      <c r="N28" s="277" t="n">
        <f aca="false">Assumptions!$N$54</f>
        <v>0.015</v>
      </c>
      <c r="O28" s="277" t="n">
        <f aca="false">Assumptions!$N$54</f>
        <v>0.015</v>
      </c>
      <c r="P28" s="277" t="n">
        <f aca="false">Assumptions!$N$54</f>
        <v>0.015</v>
      </c>
      <c r="Q28" s="277" t="n">
        <f aca="false">Assumptions!$N$54</f>
        <v>0.015</v>
      </c>
      <c r="R28" s="277" t="n">
        <f aca="false">Assumptions!$N$54</f>
        <v>0.015</v>
      </c>
      <c r="S28" s="277" t="n">
        <f aca="false">Assumptions!$N$54</f>
        <v>0.015</v>
      </c>
      <c r="T28" s="277" t="n">
        <f aca="false">Assumptions!$N$54</f>
        <v>0.015</v>
      </c>
      <c r="U28" s="277" t="n">
        <f aca="false">Assumptions!$N$54</f>
        <v>0.015</v>
      </c>
      <c r="V28" s="277" t="n">
        <f aca="false">Assumptions!$N$54</f>
        <v>0.015</v>
      </c>
      <c r="W28" s="277" t="n">
        <f aca="false">Assumptions!$N$54</f>
        <v>0.015</v>
      </c>
      <c r="X28" s="277" t="n">
        <f aca="false">Assumptions!$N$54</f>
        <v>0.015</v>
      </c>
      <c r="Y28" s="277" t="n">
        <f aca="false">Assumptions!$N$54</f>
        <v>0.015</v>
      </c>
      <c r="Z28" s="277" t="n">
        <f aca="false">Assumptions!$N$54</f>
        <v>0.015</v>
      </c>
      <c r="AA28" s="277" t="n">
        <f aca="false">Assumptions!$N$54</f>
        <v>0.015</v>
      </c>
      <c r="AB28" s="277" t="n">
        <f aca="false">Assumptions!$N$54</f>
        <v>0.015</v>
      </c>
      <c r="AC28" s="277" t="n">
        <f aca="false">Assumptions!$N$54</f>
        <v>0.015</v>
      </c>
      <c r="AD28" s="277" t="n">
        <f aca="false">Assumptions!$N$54</f>
        <v>0.015</v>
      </c>
      <c r="AE28" s="277" t="n">
        <f aca="false">Assumptions!$N$54</f>
        <v>0.015</v>
      </c>
      <c r="AF28" s="277" t="n">
        <f aca="false">Assumptions!$N$54</f>
        <v>0.015</v>
      </c>
      <c r="AG28" s="277" t="n">
        <f aca="false">Assumptions!$N$54</f>
        <v>0.015</v>
      </c>
      <c r="AH28" s="27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65" t="n">
        <f aca="false">Assumptions!U13</f>
        <v>1</v>
      </c>
      <c r="B30" s="194" t="s">
        <v>352</v>
      </c>
      <c r="C30" s="1"/>
      <c r="D30" s="27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4.45014781746032</v>
      </c>
      <c r="E30" s="27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4.31367807539683</v>
      </c>
      <c r="F30" s="27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4.25674255952381</v>
      </c>
      <c r="G30" s="27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4.23854563492063</v>
      </c>
      <c r="H30" s="27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4.23558234126984</v>
      </c>
      <c r="I30" s="27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4.30192559523809</v>
      </c>
      <c r="J30" s="27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4.40558333333333</v>
      </c>
      <c r="K30" s="27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4.41417113095238</v>
      </c>
      <c r="L30" s="27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4.41417113095238</v>
      </c>
      <c r="M30" s="27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4.41417113095238</v>
      </c>
      <c r="N30" s="27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4.41417113095238</v>
      </c>
      <c r="O30" s="27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4.41417113095238</v>
      </c>
      <c r="P30" s="27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4.41417113095238</v>
      </c>
      <c r="Q30" s="27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4.41417113095238</v>
      </c>
      <c r="R30" s="28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4.41417113095238</v>
      </c>
      <c r="S30" s="27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4.41417113095238</v>
      </c>
      <c r="T30" s="27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4.41525</v>
      </c>
      <c r="U30" s="27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4.41525</v>
      </c>
      <c r="V30" s="27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4.41525</v>
      </c>
      <c r="W30" s="27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4.41525</v>
      </c>
      <c r="X30" s="27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4.41525</v>
      </c>
      <c r="Y30" s="27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7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7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7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7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7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7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7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7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8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58" t="s">
        <v>353</v>
      </c>
      <c r="C33" s="31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263" t="n">
        <f aca="false">D44*'Price_Technical Assumption'!D30/1000</f>
        <v>37.5614726532738</v>
      </c>
      <c r="E34" s="263" t="n">
        <f aca="false">E44*'Price_Technical Assumption'!E30/1000</f>
        <v>36.4095997953869</v>
      </c>
      <c r="F34" s="263" t="n">
        <f aca="false">F44*'Price_Technical Assumption'!F30/1000</f>
        <v>35.9290355736607</v>
      </c>
      <c r="G34" s="263" t="n">
        <f aca="false">G44*'Price_Technical Assumption'!G30/1000</f>
        <v>35.7754444315476</v>
      </c>
      <c r="H34" s="263" t="n">
        <f aca="false">H44*'Price_Technical Assumption'!H30/1000</f>
        <v>35.7504327514881</v>
      </c>
      <c r="I34" s="263" t="n">
        <f aca="false">I44*'Price_Technical Assumption'!I30/1000</f>
        <v>36.3104029866071</v>
      </c>
      <c r="J34" s="263" t="n">
        <f aca="false">J44*'Price_Technical Assumption'!J30/1000</f>
        <v>37.185326125</v>
      </c>
      <c r="K34" s="263" t="n">
        <f aca="false">K44*'Price_Technical Assumption'!K30/1000</f>
        <v>37.2578114308036</v>
      </c>
      <c r="L34" s="263" t="n">
        <f aca="false">L44*'Price_Technical Assumption'!L30/1000</f>
        <v>37.2578114308036</v>
      </c>
      <c r="M34" s="263" t="n">
        <f aca="false">M44*'Price_Technical Assumption'!M30/1000</f>
        <v>37.2578114308036</v>
      </c>
      <c r="N34" s="263" t="n">
        <f aca="false">N44*'Price_Technical Assumption'!N30/1000</f>
        <v>37.2578114308036</v>
      </c>
      <c r="O34" s="263" t="n">
        <f aca="false">O44*'Price_Technical Assumption'!O30/1000</f>
        <v>37.2578114308036</v>
      </c>
      <c r="P34" s="263" t="n">
        <f aca="false">P44*'Price_Technical Assumption'!P30/1000</f>
        <v>37.2578114308036</v>
      </c>
      <c r="Q34" s="263" t="n">
        <f aca="false">Q44*'Price_Technical Assumption'!Q30/1000</f>
        <v>37.2578114308036</v>
      </c>
      <c r="R34" s="263" t="n">
        <f aca="false">R44*'Price_Technical Assumption'!R30/1000</f>
        <v>37.2578114308036</v>
      </c>
      <c r="S34" s="263" t="n">
        <f aca="false">S44*'Price_Technical Assumption'!S30/1000</f>
        <v>37.2578114308036</v>
      </c>
      <c r="T34" s="263" t="n">
        <f aca="false">T44*'Price_Technical Assumption'!T30/1000</f>
        <v>37.266917625</v>
      </c>
      <c r="U34" s="263" t="n">
        <f aca="false">U44*'Price_Technical Assumption'!U30/1000</f>
        <v>37.266917625</v>
      </c>
      <c r="V34" s="263" t="n">
        <f aca="false">V44*'Price_Technical Assumption'!V30/1000</f>
        <v>37.266917625</v>
      </c>
      <c r="W34" s="263" t="n">
        <f aca="false">W44*'Price_Technical Assumption'!W30/1000</f>
        <v>37.266917625</v>
      </c>
      <c r="X34" s="263" t="n">
        <f aca="false">X44*'Price_Technical Assumption'!X30/1000</f>
        <v>37.266917625</v>
      </c>
      <c r="Y34" s="263" t="n">
        <f aca="false">Y44*'Price_Technical Assumption'!Y30/1000</f>
        <v>18.8476365</v>
      </c>
      <c r="Z34" s="263" t="n">
        <f aca="false">Z44*'Price_Technical Assumption'!Z30/1000</f>
        <v>18.8476365</v>
      </c>
      <c r="AA34" s="263" t="n">
        <f aca="false">AA44*'Price_Technical Assumption'!AA30/1000</f>
        <v>18.8476365</v>
      </c>
      <c r="AB34" s="263" t="n">
        <f aca="false">AB44*'Price_Technical Assumption'!AB30/1000</f>
        <v>18.8476365</v>
      </c>
      <c r="AC34" s="263" t="n">
        <f aca="false">AC44*'Price_Technical Assumption'!AC30/1000</f>
        <v>18.8476365</v>
      </c>
      <c r="AD34" s="263" t="n">
        <f aca="false">AD44*'Price_Technical Assumption'!AD30/1000</f>
        <v>18.8476365</v>
      </c>
      <c r="AE34" s="263" t="n">
        <f aca="false">AE44*'Price_Technical Assumption'!AE30/1000</f>
        <v>18.8476365</v>
      </c>
      <c r="AF34" s="263" t="n">
        <f aca="false">AF44*'Price_Technical Assumption'!AF30/1000</f>
        <v>18.8476365</v>
      </c>
      <c r="AG34" s="263" t="n">
        <f aca="false">AG44*'Price_Technical Assumption'!AG30/1000</f>
        <v>18.8476365</v>
      </c>
      <c r="AH34" s="263" t="n">
        <f aca="false">AH44*'Price_Technical Assumption'!AH30/1000</f>
        <v>18.8476365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354</v>
      </c>
      <c r="C35" s="12"/>
      <c r="D35" s="281" t="n">
        <f aca="false">Assumptions!$H$60*(1+Assumptions!$N$11)^(D7)</f>
        <v>0.725515124051935</v>
      </c>
      <c r="E35" s="281" t="n">
        <f aca="false">Assumptions!$H$60*(1+Assumptions!$N$11)^(E7)</f>
        <v>0.740025426532973</v>
      </c>
      <c r="F35" s="281" t="n">
        <f aca="false">Assumptions!$H$60*(1+Assumptions!$N$11)^(F7)</f>
        <v>0.754825935063633</v>
      </c>
      <c r="G35" s="281" t="n">
        <f aca="false">Assumptions!$H$60*(1+Assumptions!$N$11)^(G7)</f>
        <v>0.769922453764906</v>
      </c>
      <c r="H35" s="281" t="n">
        <f aca="false">Assumptions!$H$60*(1+Assumptions!$N$11)^(H7)</f>
        <v>0.785320902840204</v>
      </c>
      <c r="I35" s="281" t="n">
        <f aca="false">Assumptions!$H$60*(1+Assumptions!$N$11)^(I7)</f>
        <v>0.801027320897008</v>
      </c>
      <c r="J35" s="281" t="n">
        <f aca="false">Assumptions!$H$60*(1+Assumptions!$N$11)^(J7)</f>
        <v>0.817047867314948</v>
      </c>
      <c r="K35" s="281" t="n">
        <f aca="false">Assumptions!$H$60*(1+Assumptions!$N$11)^(K7)</f>
        <v>0.833388824661247</v>
      </c>
      <c r="L35" s="281" t="n">
        <f aca="false">Assumptions!$H$60*(1+Assumptions!$N$11)^(L7)</f>
        <v>0.850056601154472</v>
      </c>
      <c r="M35" s="281" t="n">
        <f aca="false">Assumptions!$H$60*(1+Assumptions!$N$11)^(M7)</f>
        <v>0.867057733177561</v>
      </c>
      <c r="N35" s="281" t="n">
        <f aca="false">Assumptions!$H$60*(1+Assumptions!$N$11)^(N7)</f>
        <v>0.884398887841113</v>
      </c>
      <c r="O35" s="281" t="n">
        <f aca="false">Assumptions!$H$60*(1+Assumptions!$N$11)^(O7)</f>
        <v>0.902086865597935</v>
      </c>
      <c r="P35" s="281" t="n">
        <f aca="false">Assumptions!$H$60*(1+Assumptions!$N$11)^(P7)</f>
        <v>0.920128602909894</v>
      </c>
      <c r="Q35" s="281" t="n">
        <f aca="false">Assumptions!$H$60*(1+Assumptions!$N$11)^(Q7)</f>
        <v>0.938531174968092</v>
      </c>
      <c r="R35" s="281" t="n">
        <f aca="false">Assumptions!$H$60*(1+Assumptions!$N$11)^(R7)</f>
        <v>0.957301798467453</v>
      </c>
      <c r="S35" s="281" t="n">
        <f aca="false">Assumptions!$H$60*(1+Assumptions!$N$11)^(S7)</f>
        <v>0.976447834436802</v>
      </c>
      <c r="T35" s="281" t="n">
        <f aca="false">Assumptions!$H$60*(1+Assumptions!$N$11)^(T7)</f>
        <v>0.995976791125538</v>
      </c>
      <c r="U35" s="281" t="n">
        <f aca="false">Assumptions!$H$60*(1+Assumptions!$N$11)^(U7)</f>
        <v>1.01589632694805</v>
      </c>
      <c r="V35" s="281" t="n">
        <f aca="false">Assumptions!$H$60*(1+Assumptions!$N$11)^(V7)</f>
        <v>1.03621425348701</v>
      </c>
      <c r="W35" s="281" t="n">
        <f aca="false">Assumptions!$H$60*(1+Assumptions!$N$11)^(W7)</f>
        <v>1.05693853855675</v>
      </c>
      <c r="X35" s="281" t="n">
        <f aca="false">Assumptions!$H$60*(1+Assumptions!$N$11)^(X7)</f>
        <v>1.07807730932789</v>
      </c>
      <c r="Y35" s="281" t="n">
        <f aca="false">Assumptions!$H$60*(1+Assumptions!$N$11)^(Y7)</f>
        <v>1.09963885551444</v>
      </c>
      <c r="Z35" s="281" t="n">
        <f aca="false">Assumptions!$H$60*(1+Assumptions!$N$11)^(Z7)</f>
        <v>1.12163163262473</v>
      </c>
      <c r="AA35" s="281" t="n">
        <f aca="false">Assumptions!$H$60*(1+Assumptions!$N$11)^(AA7)</f>
        <v>1.14406426527723</v>
      </c>
      <c r="AB35" s="281" t="n">
        <f aca="false">Assumptions!$H$60*(1+Assumptions!$N$11)^(AB7)</f>
        <v>1.16694555058277</v>
      </c>
      <c r="AC35" s="281" t="n">
        <f aca="false">Assumptions!$H$60*(1+Assumptions!$N$11)^(AC7)</f>
        <v>1.19028446159443</v>
      </c>
      <c r="AD35" s="281" t="n">
        <f aca="false">Assumptions!$H$60*(1+Assumptions!$N$11)^(AD7)</f>
        <v>1.21409015082632</v>
      </c>
      <c r="AE35" s="281" t="n">
        <f aca="false">Assumptions!$H$60*(1+Assumptions!$N$11)^(AE7)</f>
        <v>1.23837195384284</v>
      </c>
      <c r="AF35" s="281" t="n">
        <f aca="false">Assumptions!$H$60*(1+Assumptions!$N$11)^(AF7)</f>
        <v>1.2631393929197</v>
      </c>
      <c r="AG35" s="281" t="n">
        <f aca="false">Assumptions!$H$60*(1+Assumptions!$N$11)^(AG7)</f>
        <v>1.28840218077809</v>
      </c>
      <c r="AH35" s="281" t="n">
        <f aca="false">Assumptions!$H$60*(1+Assumptions!$N$11)^(AH7)</f>
        <v>1.31417022439365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355</v>
      </c>
      <c r="C36" s="1"/>
      <c r="D36" s="260" t="n">
        <f aca="false">SUM(D34:D35)</f>
        <v>38.2869877773257</v>
      </c>
      <c r="E36" s="260" t="n">
        <f aca="false">SUM(E34:E35)</f>
        <v>37.1496252219199</v>
      </c>
      <c r="F36" s="260" t="n">
        <f aca="false">SUM(F34:F35)</f>
        <v>36.6838615087243</v>
      </c>
      <c r="G36" s="260" t="n">
        <f aca="false">SUM(G34:G35)</f>
        <v>36.5453668853125</v>
      </c>
      <c r="H36" s="260" t="n">
        <f aca="false">SUM(H34:H35)</f>
        <v>36.5357536543283</v>
      </c>
      <c r="I36" s="260" t="n">
        <f aca="false">SUM(I34:I35)</f>
        <v>37.1114303075041</v>
      </c>
      <c r="J36" s="260" t="n">
        <f aca="false">SUM(J34:J35)</f>
        <v>38.0023739923149</v>
      </c>
      <c r="K36" s="260" t="n">
        <f aca="false">SUM(K34:K35)</f>
        <v>38.0912002554648</v>
      </c>
      <c r="L36" s="260" t="n">
        <f aca="false">SUM(L34:L35)</f>
        <v>38.107868031958</v>
      </c>
      <c r="M36" s="260" t="n">
        <f aca="false">SUM(M34:M35)</f>
        <v>38.1248691639811</v>
      </c>
      <c r="N36" s="260" t="n">
        <f aca="false">SUM(N34:N35)</f>
        <v>38.1422103186447</v>
      </c>
      <c r="O36" s="260" t="n">
        <f aca="false">SUM(O34:O35)</f>
        <v>38.1598982964015</v>
      </c>
      <c r="P36" s="260" t="n">
        <f aca="false">SUM(P34:P35)</f>
        <v>38.1779400337135</v>
      </c>
      <c r="Q36" s="260" t="n">
        <f aca="false">SUM(Q34:Q35)</f>
        <v>38.1963426057717</v>
      </c>
      <c r="R36" s="260" t="n">
        <f aca="false">SUM(R34:R35)</f>
        <v>38.215113229271</v>
      </c>
      <c r="S36" s="260" t="n">
        <f aca="false">SUM(S34:S35)</f>
        <v>38.2342592652404</v>
      </c>
      <c r="T36" s="260" t="n">
        <f aca="false">SUM(T34:T35)</f>
        <v>38.2628944161255</v>
      </c>
      <c r="U36" s="260" t="n">
        <f aca="false">SUM(U34:U35)</f>
        <v>38.2828139519481</v>
      </c>
      <c r="V36" s="260" t="n">
        <f aca="false">SUM(V34:V35)</f>
        <v>38.303131878487</v>
      </c>
      <c r="W36" s="260" t="n">
        <f aca="false">SUM(W34:W35)</f>
        <v>38.3238561635568</v>
      </c>
      <c r="X36" s="260" t="n">
        <f aca="false">SUM(X34:X35)</f>
        <v>38.3449949343279</v>
      </c>
      <c r="Y36" s="260" t="n">
        <f aca="false">SUM(Y34:Y35)</f>
        <v>19.9472753555144</v>
      </c>
      <c r="Z36" s="260" t="n">
        <f aca="false">SUM(Z34:Z35)</f>
        <v>19.9692681326247</v>
      </c>
      <c r="AA36" s="260" t="n">
        <f aca="false">SUM(AA34:AA35)</f>
        <v>19.9917007652772</v>
      </c>
      <c r="AB36" s="260" t="n">
        <f aca="false">SUM(AB34:AB35)</f>
        <v>20.0145820505828</v>
      </c>
      <c r="AC36" s="260" t="n">
        <f aca="false">SUM(AC34:AC35)</f>
        <v>20.0379209615944</v>
      </c>
      <c r="AD36" s="260" t="n">
        <f aca="false">SUM(AD34:AD35)</f>
        <v>20.0617266508263</v>
      </c>
      <c r="AE36" s="260" t="n">
        <f aca="false">SUM(AE34:AE35)</f>
        <v>20.0860084538428</v>
      </c>
      <c r="AF36" s="260" t="n">
        <f aca="false">SUM(AF34:AF35)</f>
        <v>20.1107758929197</v>
      </c>
      <c r="AG36" s="260" t="n">
        <f aca="false">SUM(AG34:AG35)</f>
        <v>20.1360386807781</v>
      </c>
      <c r="AH36" s="260" t="n">
        <f aca="false">SUM(AH34:AH35)</f>
        <v>20.1618067243937</v>
      </c>
      <c r="AI36" s="263"/>
      <c r="AJ36" s="26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65" t="str">
        <f aca="false">Assumptions!W14</f>
        <v>Pass-through</v>
      </c>
      <c r="B38" s="194" t="s">
        <v>356</v>
      </c>
      <c r="C38" s="1"/>
      <c r="D38" s="278" t="n">
        <f aca="false">IF($A$38="Pass-through",D36,D34)</f>
        <v>38.2869877773257</v>
      </c>
      <c r="E38" s="279" t="n">
        <f aca="false">IF($A$38="Pass-through",E36,E34)</f>
        <v>37.1496252219199</v>
      </c>
      <c r="F38" s="279" t="n">
        <f aca="false">IF($A$38="Pass-through",F36,F34)</f>
        <v>36.6838615087243</v>
      </c>
      <c r="G38" s="279" t="n">
        <f aca="false">IF($A$38="Pass-through",G36,G34)</f>
        <v>36.5453668853125</v>
      </c>
      <c r="H38" s="279" t="n">
        <f aca="false">IF($A$38="Pass-through",H36,H34)</f>
        <v>36.5357536543283</v>
      </c>
      <c r="I38" s="279" t="n">
        <f aca="false">IF($A$38="Pass-through",I36,I34)</f>
        <v>37.1114303075041</v>
      </c>
      <c r="J38" s="279" t="n">
        <f aca="false">IF($A$38="Pass-through",J36,J34)</f>
        <v>38.0023739923149</v>
      </c>
      <c r="K38" s="279" t="n">
        <f aca="false">IF($A$38="Pass-through",K36,K34)</f>
        <v>38.0912002554648</v>
      </c>
      <c r="L38" s="279" t="n">
        <f aca="false">IF($A$38="Pass-through",L36,L34)</f>
        <v>38.107868031958</v>
      </c>
      <c r="M38" s="279" t="n">
        <f aca="false">IF($A$38="Pass-through",M36,M34)</f>
        <v>38.1248691639811</v>
      </c>
      <c r="N38" s="279" t="n">
        <f aca="false">IF($A$38="Pass-through",N36,N34)</f>
        <v>38.1422103186447</v>
      </c>
      <c r="O38" s="279" t="n">
        <f aca="false">IF($A$38="Pass-through",O36,O34)</f>
        <v>38.1598982964015</v>
      </c>
      <c r="P38" s="279" t="n">
        <f aca="false">IF($A$38="Pass-through",P36,P34)</f>
        <v>38.1779400337135</v>
      </c>
      <c r="Q38" s="279" t="n">
        <f aca="false">IF($A$38="Pass-through",Q36,Q34)</f>
        <v>38.1963426057717</v>
      </c>
      <c r="R38" s="280" t="n">
        <f aca="false">IF($A$38="Pass-through",R36,R34)</f>
        <v>38.215113229271</v>
      </c>
      <c r="S38" s="278" t="n">
        <f aca="false">IF($A$38="Pass-through",S36,S34)</f>
        <v>38.2342592652404</v>
      </c>
      <c r="T38" s="279" t="n">
        <f aca="false">IF($A$38="Pass-through",T36,T34)</f>
        <v>38.2628944161255</v>
      </c>
      <c r="U38" s="279" t="n">
        <f aca="false">IF($A$38="Pass-through",U36,U34)</f>
        <v>38.2828139519481</v>
      </c>
      <c r="V38" s="279" t="n">
        <f aca="false">IF($A$38="Pass-through",V36,V34)</f>
        <v>38.303131878487</v>
      </c>
      <c r="W38" s="279" t="n">
        <f aca="false">IF($A$38="Pass-through",W36,W34)</f>
        <v>38.3238561635568</v>
      </c>
      <c r="X38" s="279" t="n">
        <f aca="false">IF($A$38="Pass-through",X36,X34)</f>
        <v>38.3449949343279</v>
      </c>
      <c r="Y38" s="279" t="n">
        <f aca="false">IF($A$38="Pass-through",Y36,Y34)</f>
        <v>19.9472753555144</v>
      </c>
      <c r="Z38" s="279" t="n">
        <f aca="false">IF($A$38="Pass-through",Z36,Z34)</f>
        <v>19.9692681326247</v>
      </c>
      <c r="AA38" s="279" t="n">
        <f aca="false">IF($A$38="Pass-through",AA36,AA34)</f>
        <v>19.9917007652772</v>
      </c>
      <c r="AB38" s="279" t="n">
        <f aca="false">IF($A$38="Pass-through",AB36,AB34)</f>
        <v>20.0145820505828</v>
      </c>
      <c r="AC38" s="279" t="n">
        <f aca="false">IF($A$38="Pass-through",AC36,AC34)</f>
        <v>20.0379209615944</v>
      </c>
      <c r="AD38" s="279" t="n">
        <f aca="false">IF($A$38="Pass-through",AD36,AD34)</f>
        <v>20.0617266508263</v>
      </c>
      <c r="AE38" s="279" t="n">
        <f aca="false">IF($A$38="Pass-through",AE36,AE34)</f>
        <v>20.0860084538428</v>
      </c>
      <c r="AF38" s="279" t="n">
        <f aca="false">IF($A$38="Pass-through",AF36,AF34)</f>
        <v>20.1107758929197</v>
      </c>
      <c r="AG38" s="279" t="n">
        <f aca="false">IF($A$38="Pass-through",AG36,AG34)</f>
        <v>20.1360386807781</v>
      </c>
      <c r="AH38" s="280" t="n">
        <f aca="false">IF($A$38="Pass-through",AH36,AH34)</f>
        <v>20.1618067243937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8" t="s">
        <v>357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358</v>
      </c>
      <c r="C42" s="1"/>
      <c r="D42" s="282" t="n">
        <f aca="false">Assumptions!$J$14</f>
        <v>8275</v>
      </c>
      <c r="E42" s="282" t="n">
        <f aca="false">Assumptions!$J$14</f>
        <v>8275</v>
      </c>
      <c r="F42" s="282" t="n">
        <f aca="false">Assumptions!$J$14</f>
        <v>8275</v>
      </c>
      <c r="G42" s="282" t="n">
        <f aca="false">Assumptions!$J$14</f>
        <v>8275</v>
      </c>
      <c r="H42" s="282" t="n">
        <f aca="false">Assumptions!$J$14</f>
        <v>8275</v>
      </c>
      <c r="I42" s="282" t="n">
        <f aca="false">Assumptions!$J$14</f>
        <v>8275</v>
      </c>
      <c r="J42" s="282" t="n">
        <f aca="false">Assumptions!$J$14</f>
        <v>8275</v>
      </c>
      <c r="K42" s="282" t="n">
        <f aca="false">Assumptions!$J$14</f>
        <v>8275</v>
      </c>
      <c r="L42" s="282" t="n">
        <f aca="false">Assumptions!$J$14</f>
        <v>8275</v>
      </c>
      <c r="M42" s="282" t="n">
        <f aca="false">Assumptions!$J$14</f>
        <v>8275</v>
      </c>
      <c r="N42" s="282" t="n">
        <f aca="false">Assumptions!$J$14</f>
        <v>8275</v>
      </c>
      <c r="O42" s="282" t="n">
        <f aca="false">Assumptions!$J$14</f>
        <v>8275</v>
      </c>
      <c r="P42" s="282" t="n">
        <f aca="false">Assumptions!$J$14</f>
        <v>8275</v>
      </c>
      <c r="Q42" s="282" t="n">
        <f aca="false">Assumptions!$J$14</f>
        <v>8275</v>
      </c>
      <c r="R42" s="282" t="n">
        <f aca="false">Assumptions!$J$14</f>
        <v>8275</v>
      </c>
      <c r="S42" s="282" t="n">
        <f aca="false">Assumptions!$J$14</f>
        <v>8275</v>
      </c>
      <c r="T42" s="282" t="n">
        <f aca="false">Assumptions!$J$14</f>
        <v>8275</v>
      </c>
      <c r="U42" s="282" t="n">
        <f aca="false">Assumptions!$J$14</f>
        <v>8275</v>
      </c>
      <c r="V42" s="282" t="n">
        <f aca="false">Assumptions!$J$14</f>
        <v>8275</v>
      </c>
      <c r="W42" s="282" t="n">
        <f aca="false">Assumptions!$J$14</f>
        <v>8275</v>
      </c>
      <c r="X42" s="282" t="n">
        <f aca="false">Assumptions!$J$14</f>
        <v>8275</v>
      </c>
      <c r="Y42" s="282" t="n">
        <f aca="false">Assumptions!$J$14</f>
        <v>8275</v>
      </c>
      <c r="Z42" s="282" t="n">
        <f aca="false">Assumptions!$J$14</f>
        <v>8275</v>
      </c>
      <c r="AA42" s="282" t="n">
        <f aca="false">Assumptions!$J$14</f>
        <v>8275</v>
      </c>
      <c r="AB42" s="282" t="n">
        <f aca="false">Assumptions!$J$14</f>
        <v>8275</v>
      </c>
      <c r="AC42" s="282" t="n">
        <f aca="false">Assumptions!$J$14</f>
        <v>8275</v>
      </c>
      <c r="AD42" s="282" t="n">
        <f aca="false">Assumptions!$J$14</f>
        <v>8275</v>
      </c>
      <c r="AE42" s="282" t="n">
        <f aca="false">Assumptions!$J$14</f>
        <v>8275</v>
      </c>
      <c r="AF42" s="282" t="n">
        <f aca="false">Assumptions!$J$14</f>
        <v>8275</v>
      </c>
      <c r="AG42" s="282" t="n">
        <f aca="false">Assumptions!$J$14</f>
        <v>8275</v>
      </c>
      <c r="AH42" s="282" t="n">
        <f aca="false">Assumptions!$J$14</f>
        <v>8275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359</v>
      </c>
      <c r="C43" s="1"/>
      <c r="D43" s="283" t="n">
        <v>0.02</v>
      </c>
      <c r="E43" s="283" t="n">
        <v>0.02</v>
      </c>
      <c r="F43" s="283" t="n">
        <v>0.02</v>
      </c>
      <c r="G43" s="283" t="n">
        <v>0.02</v>
      </c>
      <c r="H43" s="283" t="n">
        <v>0.02</v>
      </c>
      <c r="I43" s="283" t="n">
        <v>0.02</v>
      </c>
      <c r="J43" s="283" t="n">
        <v>0.02</v>
      </c>
      <c r="K43" s="283" t="n">
        <v>0.02</v>
      </c>
      <c r="L43" s="283" t="n">
        <v>0.02</v>
      </c>
      <c r="M43" s="283" t="n">
        <v>0.02</v>
      </c>
      <c r="N43" s="283" t="n">
        <v>0.02</v>
      </c>
      <c r="O43" s="283" t="n">
        <v>0.02</v>
      </c>
      <c r="P43" s="283" t="n">
        <v>0.02</v>
      </c>
      <c r="Q43" s="283" t="n">
        <v>0.02</v>
      </c>
      <c r="R43" s="283" t="n">
        <v>0.02</v>
      </c>
      <c r="S43" s="283" t="n">
        <v>0.02</v>
      </c>
      <c r="T43" s="283" t="n">
        <v>0.02</v>
      </c>
      <c r="U43" s="283" t="n">
        <v>0.02</v>
      </c>
      <c r="V43" s="283" t="n">
        <v>0.02</v>
      </c>
      <c r="W43" s="283" t="n">
        <v>0.02</v>
      </c>
      <c r="X43" s="283" t="n">
        <v>0.02</v>
      </c>
      <c r="Y43" s="283" t="n">
        <v>0.02</v>
      </c>
      <c r="Z43" s="283" t="n">
        <v>0.02</v>
      </c>
      <c r="AA43" s="283" t="n">
        <v>0.02</v>
      </c>
      <c r="AB43" s="283" t="n">
        <v>0.02</v>
      </c>
      <c r="AC43" s="283" t="n">
        <v>0.02</v>
      </c>
      <c r="AD43" s="283" t="n">
        <v>0.02</v>
      </c>
      <c r="AE43" s="283" t="n">
        <v>0.02</v>
      </c>
      <c r="AF43" s="283" t="n">
        <v>0.02</v>
      </c>
      <c r="AG43" s="283" t="n">
        <v>0.02</v>
      </c>
      <c r="AH43" s="283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360</v>
      </c>
      <c r="C44" s="1"/>
      <c r="D44" s="284" t="n">
        <f aca="false">D42*(1+D43)</f>
        <v>8440.5</v>
      </c>
      <c r="E44" s="285" t="n">
        <f aca="false">E42*(1+E43)</f>
        <v>8440.5</v>
      </c>
      <c r="F44" s="285" t="n">
        <f aca="false">F42*(1+F43)</f>
        <v>8440.5</v>
      </c>
      <c r="G44" s="285" t="n">
        <f aca="false">G42*(1+G43)</f>
        <v>8440.5</v>
      </c>
      <c r="H44" s="285" t="n">
        <f aca="false">H42*(1+H43)</f>
        <v>8440.5</v>
      </c>
      <c r="I44" s="285" t="n">
        <f aca="false">I42*(1+I43)</f>
        <v>8440.5</v>
      </c>
      <c r="J44" s="285" t="n">
        <f aca="false">J42*(1+J43)</f>
        <v>8440.5</v>
      </c>
      <c r="K44" s="285" t="n">
        <f aca="false">K42*(1+K43)</f>
        <v>8440.5</v>
      </c>
      <c r="L44" s="285" t="n">
        <f aca="false">L42*(1+L43)</f>
        <v>8440.5</v>
      </c>
      <c r="M44" s="285" t="n">
        <f aca="false">M42*(1+M43)</f>
        <v>8440.5</v>
      </c>
      <c r="N44" s="285" t="n">
        <f aca="false">N42*(1+N43)</f>
        <v>8440.5</v>
      </c>
      <c r="O44" s="285" t="n">
        <f aca="false">O42*(1+O43)</f>
        <v>8440.5</v>
      </c>
      <c r="P44" s="285" t="n">
        <f aca="false">P42*(1+P43)</f>
        <v>8440.5</v>
      </c>
      <c r="Q44" s="285" t="n">
        <f aca="false">Q42*(1+Q43)</f>
        <v>8440.5</v>
      </c>
      <c r="R44" s="286" t="n">
        <f aca="false">R42*(1+R43)</f>
        <v>8440.5</v>
      </c>
      <c r="S44" s="284" t="n">
        <f aca="false">S42*(1+S43)</f>
        <v>8440.5</v>
      </c>
      <c r="T44" s="285" t="n">
        <f aca="false">T42*(1+T43)</f>
        <v>8440.5</v>
      </c>
      <c r="U44" s="285" t="n">
        <f aca="false">U42*(1+U43)</f>
        <v>8440.5</v>
      </c>
      <c r="V44" s="285" t="n">
        <f aca="false">V42*(1+V43)</f>
        <v>8440.5</v>
      </c>
      <c r="W44" s="285" t="n">
        <f aca="false">W42*(1+W43)</f>
        <v>8440.5</v>
      </c>
      <c r="X44" s="285" t="n">
        <f aca="false">X42*(1+X43)</f>
        <v>8440.5</v>
      </c>
      <c r="Y44" s="285" t="n">
        <f aca="false">Y42*(1+Y43)</f>
        <v>8440.5</v>
      </c>
      <c r="Z44" s="285" t="n">
        <f aca="false">Z42*(1+Z43)</f>
        <v>8440.5</v>
      </c>
      <c r="AA44" s="285" t="n">
        <f aca="false">AA42*(1+AA43)</f>
        <v>8440.5</v>
      </c>
      <c r="AB44" s="285" t="n">
        <f aca="false">AB42*(1+AB43)</f>
        <v>8440.5</v>
      </c>
      <c r="AC44" s="285" t="n">
        <f aca="false">AC42*(1+AC43)</f>
        <v>8440.5</v>
      </c>
      <c r="AD44" s="285" t="n">
        <f aca="false">AD42*(1+AD43)</f>
        <v>8440.5</v>
      </c>
      <c r="AE44" s="285" t="n">
        <f aca="false">AE42*(1+AE43)</f>
        <v>8440.5</v>
      </c>
      <c r="AF44" s="285" t="n">
        <f aca="false">AF42*(1+AF43)</f>
        <v>8440.5</v>
      </c>
      <c r="AG44" s="285" t="n">
        <f aca="false">AG42*(1+AG43)</f>
        <v>8440.5</v>
      </c>
      <c r="AH44" s="286" t="n">
        <f aca="false">AH42*(1+AH43)</f>
        <v>8440.5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7" width="9.14"/>
    <col collapsed="false" customWidth="true" hidden="false" outlineLevel="0" max="4" min="4" style="0" width="13.14"/>
  </cols>
  <sheetData>
    <row r="2" customFormat="false" ht="12.75" hidden="false" customHeight="false" outlineLevel="0" collapsed="false">
      <c r="B2" s="0" t="s">
        <v>361</v>
      </c>
      <c r="D2" s="238" t="s">
        <v>362</v>
      </c>
    </row>
    <row r="3" customFormat="false" ht="12.75" hidden="false" customHeight="false" outlineLevel="0" collapsed="false">
      <c r="A3" s="287" t="s">
        <v>363</v>
      </c>
      <c r="B3" s="0" t="s">
        <v>364</v>
      </c>
      <c r="F3" s="288" t="s">
        <v>179</v>
      </c>
      <c r="G3" s="288" t="s">
        <v>365</v>
      </c>
    </row>
    <row r="4" customFormat="false" ht="12.75" hidden="false" customHeight="false" outlineLevel="0" collapsed="false">
      <c r="A4" s="287" t="n">
        <v>37257</v>
      </c>
      <c r="B4" s="0" t="n">
        <v>4.59948979591837</v>
      </c>
      <c r="F4" s="0" t="n">
        <v>2002</v>
      </c>
      <c r="G4" s="289" t="n">
        <f aca="false">D15</f>
        <v>4.3843820861678</v>
      </c>
    </row>
    <row r="5" customFormat="false" ht="12.75" hidden="false" customHeight="false" outlineLevel="0" collapsed="false">
      <c r="A5" s="287" t="n">
        <v>37288</v>
      </c>
      <c r="B5" s="0" t="n">
        <v>4.48520408163265</v>
      </c>
      <c r="F5" s="0" t="n">
        <v>2003</v>
      </c>
      <c r="G5" s="289" t="n">
        <f aca="false">D27</f>
        <v>4.249929138322</v>
      </c>
    </row>
    <row r="6" customFormat="false" ht="12.75" hidden="false" customHeight="false" outlineLevel="0" collapsed="false">
      <c r="A6" s="287" t="n">
        <v>37316</v>
      </c>
      <c r="B6" s="0" t="n">
        <v>4.35374149659864</v>
      </c>
      <c r="F6" s="0" t="n">
        <v>2004</v>
      </c>
      <c r="G6" s="289" t="n">
        <f aca="false">D39</f>
        <v>4.19383503401361</v>
      </c>
    </row>
    <row r="7" customFormat="false" ht="12.75" hidden="false" customHeight="false" outlineLevel="0" collapsed="false">
      <c r="A7" s="287" t="n">
        <v>37347</v>
      </c>
      <c r="B7" s="0" t="n">
        <v>4.32721088435374</v>
      </c>
      <c r="F7" s="0" t="n">
        <v>2005</v>
      </c>
      <c r="G7" s="289" t="n">
        <f aca="false">D51</f>
        <v>4.17590702947846</v>
      </c>
    </row>
    <row r="8" customFormat="false" ht="12.75" hidden="false" customHeight="false" outlineLevel="0" collapsed="false">
      <c r="A8" s="287" t="n">
        <v>37377</v>
      </c>
      <c r="B8" s="0" t="n">
        <v>4.27159863945578</v>
      </c>
      <c r="F8" s="0" t="n">
        <v>2006</v>
      </c>
      <c r="G8" s="289" t="n">
        <f aca="false">D63</f>
        <v>4.17298752834467</v>
      </c>
    </row>
    <row r="9" customFormat="false" ht="12.75" hidden="false" customHeight="false" outlineLevel="0" collapsed="false">
      <c r="A9" s="287" t="n">
        <v>37408</v>
      </c>
      <c r="B9" s="0" t="n">
        <v>4.27942176870748</v>
      </c>
      <c r="F9" s="0" t="n">
        <v>2007</v>
      </c>
      <c r="G9" s="289" t="n">
        <f aca="false">D75</f>
        <v>4.23835034013605</v>
      </c>
    </row>
    <row r="10" customFormat="false" ht="12.75" hidden="false" customHeight="false" outlineLevel="0" collapsed="false">
      <c r="A10" s="287" t="n">
        <v>37438</v>
      </c>
      <c r="B10" s="0" t="n">
        <v>4.30085034013606</v>
      </c>
      <c r="F10" s="0" t="n">
        <v>2008</v>
      </c>
      <c r="G10" s="289" t="n">
        <f aca="false">D87</f>
        <v>4.34047619047619</v>
      </c>
    </row>
    <row r="11" customFormat="false" ht="12.75" hidden="false" customHeight="false" outlineLevel="0" collapsed="false">
      <c r="A11" s="287" t="n">
        <v>37469</v>
      </c>
      <c r="B11" s="0" t="n">
        <v>4.3515306122449</v>
      </c>
      <c r="F11" s="0" t="n">
        <v>2009</v>
      </c>
      <c r="G11" s="289" t="n">
        <f aca="false">D99</f>
        <v>4.34893707482993</v>
      </c>
    </row>
    <row r="12" customFormat="false" ht="12.75" hidden="false" customHeight="false" outlineLevel="0" collapsed="false">
      <c r="A12" s="287" t="n">
        <v>37500</v>
      </c>
      <c r="B12" s="0" t="n">
        <v>4.4030612244898</v>
      </c>
      <c r="F12" s="0" t="n">
        <v>2010</v>
      </c>
      <c r="G12" s="289" t="n">
        <f aca="false">D111</f>
        <v>4.34893707482993</v>
      </c>
    </row>
    <row r="13" customFormat="false" ht="12.75" hidden="false" customHeight="false" outlineLevel="0" collapsed="false">
      <c r="A13" s="287" t="n">
        <v>37530</v>
      </c>
      <c r="B13" s="0" t="n">
        <v>4.36020408163265</v>
      </c>
      <c r="F13" s="0" t="n">
        <v>2011</v>
      </c>
      <c r="G13" s="289" t="n">
        <f aca="false">D123</f>
        <v>4.34893707482993</v>
      </c>
    </row>
    <row r="14" customFormat="false" ht="12.75" hidden="false" customHeight="false" outlineLevel="0" collapsed="false">
      <c r="A14" s="287" t="n">
        <v>37561</v>
      </c>
      <c r="B14" s="0" t="n">
        <v>4.41938775510204</v>
      </c>
      <c r="F14" s="0" t="n">
        <v>2012</v>
      </c>
      <c r="G14" s="289" t="n">
        <f aca="false">D135</f>
        <v>4.34893707482993</v>
      </c>
    </row>
    <row r="15" customFormat="false" ht="12.75" hidden="false" customHeight="false" outlineLevel="0" collapsed="false">
      <c r="A15" s="287" t="n">
        <v>37591</v>
      </c>
      <c r="B15" s="0" t="n">
        <v>4.4608843537415</v>
      </c>
      <c r="D15" s="241" t="n">
        <f aca="false">AVERAGE(B4:B15)</f>
        <v>4.3843820861678</v>
      </c>
      <c r="F15" s="0" t="n">
        <v>2013</v>
      </c>
      <c r="G15" s="289" t="n">
        <f aca="false">D147</f>
        <v>4.34893707482993</v>
      </c>
    </row>
    <row r="16" customFormat="false" ht="12.75" hidden="false" customHeight="false" outlineLevel="0" collapsed="false">
      <c r="A16" s="287" t="n">
        <v>37622</v>
      </c>
      <c r="B16" s="0" t="n">
        <v>4.41581632653061</v>
      </c>
      <c r="F16" s="0" t="n">
        <v>2014</v>
      </c>
      <c r="G16" s="289" t="n">
        <f aca="false">D159</f>
        <v>4.34893707482993</v>
      </c>
    </row>
    <row r="17" customFormat="false" ht="12.75" hidden="false" customHeight="false" outlineLevel="0" collapsed="false">
      <c r="A17" s="287" t="n">
        <v>37653</v>
      </c>
      <c r="B17" s="0" t="n">
        <v>4.31377551020408</v>
      </c>
      <c r="F17" s="0" t="n">
        <v>2015</v>
      </c>
      <c r="G17" s="289" t="n">
        <f aca="false">D171</f>
        <v>4.34893707482993</v>
      </c>
    </row>
    <row r="18" customFormat="false" ht="12.75" hidden="false" customHeight="false" outlineLevel="0" collapsed="false">
      <c r="A18" s="287" t="n">
        <v>37681</v>
      </c>
      <c r="B18" s="0" t="n">
        <v>4.19234693877551</v>
      </c>
      <c r="F18" s="0" t="n">
        <v>2016</v>
      </c>
      <c r="G18" s="289" t="n">
        <f aca="false">D183</f>
        <v>4.34893707482993</v>
      </c>
    </row>
    <row r="19" customFormat="false" ht="12.75" hidden="false" customHeight="false" outlineLevel="0" collapsed="false">
      <c r="A19" s="287" t="n">
        <v>37712</v>
      </c>
      <c r="B19" s="0" t="n">
        <v>4.17448979591837</v>
      </c>
      <c r="F19" s="0" t="n">
        <v>2017</v>
      </c>
      <c r="G19" s="289" t="n">
        <f aca="false">D195</f>
        <v>4.34893707482993</v>
      </c>
    </row>
    <row r="20" customFormat="false" ht="12.75" hidden="false" customHeight="false" outlineLevel="0" collapsed="false">
      <c r="A20" s="287" t="n">
        <v>37742</v>
      </c>
      <c r="B20" s="0" t="n">
        <v>4.13010204081633</v>
      </c>
      <c r="F20" s="0" t="n">
        <v>2018</v>
      </c>
      <c r="G20" s="289" t="n">
        <v>4.35</v>
      </c>
    </row>
    <row r="21" customFormat="false" ht="12.75" hidden="false" customHeight="false" outlineLevel="0" collapsed="false">
      <c r="A21" s="287" t="n">
        <v>37773</v>
      </c>
      <c r="B21" s="0" t="n">
        <v>4.14591836734694</v>
      </c>
      <c r="F21" s="0" t="n">
        <v>2019</v>
      </c>
      <c r="G21" s="289" t="n">
        <v>4.35</v>
      </c>
    </row>
    <row r="22" customFormat="false" ht="12.75" hidden="false" customHeight="false" outlineLevel="0" collapsed="false">
      <c r="A22" s="287" t="n">
        <v>37803</v>
      </c>
      <c r="B22" s="0" t="n">
        <v>4.17448979591837</v>
      </c>
      <c r="F22" s="0" t="n">
        <v>2020</v>
      </c>
      <c r="G22" s="289" t="n">
        <v>4.35</v>
      </c>
    </row>
    <row r="23" customFormat="false" ht="12.75" hidden="false" customHeight="false" outlineLevel="0" collapsed="false">
      <c r="A23" s="287" t="n">
        <v>37834</v>
      </c>
      <c r="B23" s="0" t="n">
        <v>4.23299319727891</v>
      </c>
      <c r="F23" s="0" t="n">
        <v>2021</v>
      </c>
      <c r="G23" s="289" t="n">
        <v>4.35</v>
      </c>
    </row>
    <row r="24" customFormat="false" ht="12.75" hidden="false" customHeight="false" outlineLevel="0" collapsed="false">
      <c r="A24" s="287" t="n">
        <v>37865</v>
      </c>
      <c r="B24" s="0" t="n">
        <v>4.28877551020408</v>
      </c>
      <c r="F24" s="0" t="n">
        <v>2022</v>
      </c>
      <c r="G24" s="289" t="n">
        <v>4.35</v>
      </c>
    </row>
    <row r="25" customFormat="false" ht="12.75" hidden="false" customHeight="false" outlineLevel="0" collapsed="false">
      <c r="A25" s="287" t="n">
        <v>37895</v>
      </c>
      <c r="B25" s="0" t="n">
        <v>4.25085034013605</v>
      </c>
      <c r="G25" s="289"/>
    </row>
    <row r="26" customFormat="false" ht="12.75" hidden="false" customHeight="false" outlineLevel="0" collapsed="false">
      <c r="A26" s="287" t="n">
        <v>37926</v>
      </c>
      <c r="B26" s="0" t="n">
        <v>4.31581632653061</v>
      </c>
      <c r="G26" s="289"/>
    </row>
    <row r="27" customFormat="false" ht="12.75" hidden="false" customHeight="false" outlineLevel="0" collapsed="false">
      <c r="A27" s="287" t="n">
        <v>37956</v>
      </c>
      <c r="B27" s="0" t="n">
        <v>4.36377551020408</v>
      </c>
      <c r="D27" s="241" t="n">
        <f aca="false">AVERAGE(B16:B27)</f>
        <v>4.249929138322</v>
      </c>
      <c r="G27" s="289"/>
    </row>
    <row r="28" customFormat="false" ht="12.75" hidden="false" customHeight="false" outlineLevel="0" collapsed="false">
      <c r="A28" s="287" t="n">
        <v>37987</v>
      </c>
      <c r="B28" s="0" t="n">
        <v>4.32585034013605</v>
      </c>
      <c r="G28" s="289"/>
    </row>
    <row r="29" customFormat="false" ht="12.75" hidden="false" customHeight="false" outlineLevel="0" collapsed="false">
      <c r="A29" s="287" t="n">
        <v>38018</v>
      </c>
      <c r="B29" s="0" t="n">
        <v>4.22942176870748</v>
      </c>
      <c r="G29" s="289"/>
    </row>
    <row r="30" customFormat="false" ht="12.75" hidden="false" customHeight="false" outlineLevel="0" collapsed="false">
      <c r="A30" s="287" t="n">
        <v>38047</v>
      </c>
      <c r="B30" s="0" t="n">
        <v>4.11445578231293</v>
      </c>
    </row>
    <row r="31" customFormat="false" ht="12.75" hidden="false" customHeight="false" outlineLevel="0" collapsed="false">
      <c r="A31" s="287" t="n">
        <v>38078</v>
      </c>
      <c r="B31" s="0" t="n">
        <v>4.1030612244898</v>
      </c>
    </row>
    <row r="32" customFormat="false" ht="12.75" hidden="false" customHeight="false" outlineLevel="0" collapsed="false">
      <c r="A32" s="287" t="n">
        <v>38108</v>
      </c>
      <c r="B32" s="0" t="n">
        <v>4.06513605442177</v>
      </c>
    </row>
    <row r="33" customFormat="false" ht="12.75" hidden="false" customHeight="false" outlineLevel="0" collapsed="false">
      <c r="A33" s="287" t="n">
        <v>38139</v>
      </c>
      <c r="B33" s="0" t="n">
        <v>4.08656462585034</v>
      </c>
    </row>
    <row r="34" customFormat="false" ht="12.75" hidden="false" customHeight="false" outlineLevel="0" collapsed="false">
      <c r="A34" s="287" t="n">
        <v>38169</v>
      </c>
      <c r="B34" s="0" t="n">
        <v>4.12295918367347</v>
      </c>
    </row>
    <row r="35" customFormat="false" ht="12.75" hidden="false" customHeight="false" outlineLevel="0" collapsed="false">
      <c r="A35" s="287" t="n">
        <v>38200</v>
      </c>
      <c r="B35" s="0" t="n">
        <v>4.18724489795918</v>
      </c>
    </row>
    <row r="36" customFormat="false" ht="12.75" hidden="false" customHeight="false" outlineLevel="0" collapsed="false">
      <c r="A36" s="287" t="n">
        <v>38231</v>
      </c>
      <c r="B36" s="0" t="n">
        <v>4.24948979591837</v>
      </c>
    </row>
    <row r="37" customFormat="false" ht="12.75" hidden="false" customHeight="false" outlineLevel="0" collapsed="false">
      <c r="A37" s="287" t="n">
        <v>38261</v>
      </c>
      <c r="B37" s="0" t="n">
        <v>4.21802721088436</v>
      </c>
    </row>
    <row r="38" customFormat="false" ht="12.75" hidden="false" customHeight="false" outlineLevel="0" collapsed="false">
      <c r="A38" s="287" t="n">
        <v>38292</v>
      </c>
      <c r="B38" s="0" t="n">
        <v>4.28724489795918</v>
      </c>
    </row>
    <row r="39" customFormat="false" ht="12.75" hidden="false" customHeight="false" outlineLevel="0" collapsed="false">
      <c r="A39" s="287" t="n">
        <v>38322</v>
      </c>
      <c r="B39" s="0" t="n">
        <v>4.33656462585034</v>
      </c>
      <c r="D39" s="241" t="n">
        <f aca="false">AVERAGE(B28:B39)</f>
        <v>4.19383503401361</v>
      </c>
    </row>
    <row r="40" customFormat="false" ht="12.75" hidden="false" customHeight="false" outlineLevel="0" collapsed="false">
      <c r="A40" s="287" t="n">
        <v>38353</v>
      </c>
      <c r="B40" s="0" t="n">
        <v>4.30017006802721</v>
      </c>
    </row>
    <row r="41" customFormat="false" ht="12.75" hidden="false" customHeight="false" outlineLevel="0" collapsed="false">
      <c r="A41" s="287" t="n">
        <v>38384</v>
      </c>
      <c r="B41" s="0" t="n">
        <v>4.20510204081633</v>
      </c>
    </row>
    <row r="42" customFormat="false" ht="12.75" hidden="false" customHeight="false" outlineLevel="0" collapsed="false">
      <c r="A42" s="287" t="n">
        <v>38412</v>
      </c>
      <c r="B42" s="0" t="n">
        <v>4.09149659863946</v>
      </c>
    </row>
    <row r="43" customFormat="false" ht="12.75" hidden="false" customHeight="false" outlineLevel="0" collapsed="false">
      <c r="A43" s="287" t="n">
        <v>38443</v>
      </c>
      <c r="B43" s="0" t="n">
        <v>4.08163265306122</v>
      </c>
    </row>
    <row r="44" customFormat="false" ht="12.75" hidden="false" customHeight="false" outlineLevel="0" collapsed="false">
      <c r="A44" s="287" t="n">
        <v>38473</v>
      </c>
      <c r="B44" s="0" t="n">
        <v>4.04506802721089</v>
      </c>
    </row>
    <row r="45" customFormat="false" ht="12.75" hidden="false" customHeight="false" outlineLevel="0" collapsed="false">
      <c r="A45" s="287" t="n">
        <v>38504</v>
      </c>
      <c r="B45" s="0" t="n">
        <v>4.06802721088435</v>
      </c>
    </row>
    <row r="46" customFormat="false" ht="12.75" hidden="false" customHeight="false" outlineLevel="0" collapsed="false">
      <c r="A46" s="287" t="n">
        <v>38534</v>
      </c>
      <c r="B46" s="0" t="n">
        <v>4.10578231292517</v>
      </c>
    </row>
    <row r="47" customFormat="false" ht="12.75" hidden="false" customHeight="false" outlineLevel="0" collapsed="false">
      <c r="A47" s="287" t="n">
        <v>38565</v>
      </c>
      <c r="B47" s="0" t="n">
        <v>4.17159863945578</v>
      </c>
    </row>
    <row r="48" customFormat="false" ht="12.75" hidden="false" customHeight="false" outlineLevel="0" collapsed="false">
      <c r="A48" s="287" t="n">
        <v>38596</v>
      </c>
      <c r="B48" s="0" t="n">
        <v>4.23520408163265</v>
      </c>
    </row>
    <row r="49" customFormat="false" ht="12.75" hidden="false" customHeight="false" outlineLevel="0" collapsed="false">
      <c r="A49" s="287" t="n">
        <v>38626</v>
      </c>
      <c r="B49" s="0" t="n">
        <v>4.20510204081633</v>
      </c>
    </row>
    <row r="50" customFormat="false" ht="12.75" hidden="false" customHeight="false" outlineLevel="0" collapsed="false">
      <c r="A50" s="287" t="n">
        <v>38657</v>
      </c>
      <c r="B50" s="0" t="n">
        <v>4.27585034013606</v>
      </c>
    </row>
    <row r="51" customFormat="false" ht="12.75" hidden="false" customHeight="false" outlineLevel="0" collapsed="false">
      <c r="A51" s="287" t="n">
        <v>38687</v>
      </c>
      <c r="B51" s="0" t="n">
        <v>4.32585034013605</v>
      </c>
      <c r="D51" s="241" t="n">
        <f aca="false">AVERAGE(B40:B51)</f>
        <v>4.17590702947846</v>
      </c>
    </row>
    <row r="52" customFormat="false" ht="12.75" hidden="false" customHeight="false" outlineLevel="0" collapsed="false">
      <c r="A52" s="287" t="n">
        <v>38718</v>
      </c>
      <c r="B52" s="0" t="n">
        <v>4.29013605442177</v>
      </c>
    </row>
    <row r="53" customFormat="false" ht="12.75" hidden="false" customHeight="false" outlineLevel="0" collapsed="false">
      <c r="A53" s="287" t="n">
        <v>38749</v>
      </c>
      <c r="B53" s="0" t="n">
        <v>4.19659863945578</v>
      </c>
    </row>
    <row r="54" customFormat="false" ht="12.75" hidden="false" customHeight="false" outlineLevel="0" collapsed="false">
      <c r="A54" s="287" t="n">
        <v>38777</v>
      </c>
      <c r="B54" s="0" t="n">
        <v>4.0843537414966</v>
      </c>
    </row>
    <row r="55" customFormat="false" ht="12.75" hidden="false" customHeight="false" outlineLevel="0" collapsed="false">
      <c r="A55" s="287" t="n">
        <v>38808</v>
      </c>
      <c r="B55" s="0" t="n">
        <v>4.07517006802721</v>
      </c>
    </row>
    <row r="56" customFormat="false" ht="12.75" hidden="false" customHeight="false" outlineLevel="0" collapsed="false">
      <c r="A56" s="287" t="n">
        <v>38838</v>
      </c>
      <c r="B56" s="0" t="n">
        <v>4.03945578231293</v>
      </c>
    </row>
    <row r="57" customFormat="false" ht="12.75" hidden="false" customHeight="false" outlineLevel="0" collapsed="false">
      <c r="A57" s="287" t="n">
        <v>38869</v>
      </c>
      <c r="B57" s="0" t="n">
        <v>4.06377551020408</v>
      </c>
    </row>
    <row r="58" customFormat="false" ht="12.75" hidden="false" customHeight="false" outlineLevel="0" collapsed="false">
      <c r="A58" s="287" t="n">
        <v>38899</v>
      </c>
      <c r="B58" s="0" t="n">
        <v>4.10221088435374</v>
      </c>
    </row>
    <row r="59" customFormat="false" ht="12.75" hidden="false" customHeight="false" outlineLevel="0" collapsed="false">
      <c r="A59" s="287" t="n">
        <v>38930</v>
      </c>
      <c r="B59" s="0" t="n">
        <v>4.16938775510204</v>
      </c>
    </row>
    <row r="60" customFormat="false" ht="12.75" hidden="false" customHeight="false" outlineLevel="0" collapsed="false">
      <c r="A60" s="287" t="n">
        <v>38961</v>
      </c>
      <c r="B60" s="0" t="n">
        <v>4.23367346938776</v>
      </c>
    </row>
    <row r="61" customFormat="false" ht="12.75" hidden="false" customHeight="false" outlineLevel="0" collapsed="false">
      <c r="A61" s="287" t="n">
        <v>38991</v>
      </c>
      <c r="B61" s="0" t="n">
        <v>4.20442176870748</v>
      </c>
    </row>
    <row r="62" customFormat="false" ht="12.75" hidden="false" customHeight="false" outlineLevel="0" collapsed="false">
      <c r="A62" s="287" t="n">
        <v>39022</v>
      </c>
      <c r="B62" s="0" t="n">
        <v>4.27942176870748</v>
      </c>
    </row>
    <row r="63" customFormat="false" ht="12.75" hidden="false" customHeight="false" outlineLevel="0" collapsed="false">
      <c r="A63" s="287" t="n">
        <v>39052</v>
      </c>
      <c r="B63" s="0" t="n">
        <v>4.33724489795918</v>
      </c>
      <c r="D63" s="241" t="n">
        <f aca="false">AVERAGE(B52:B63)</f>
        <v>4.17298752834467</v>
      </c>
    </row>
    <row r="64" customFormat="false" ht="12.75" hidden="false" customHeight="false" outlineLevel="0" collapsed="false">
      <c r="A64" s="287" t="n">
        <v>39083</v>
      </c>
      <c r="B64" s="0" t="n">
        <v>4.3108843537415</v>
      </c>
    </row>
    <row r="65" customFormat="false" ht="12.75" hidden="false" customHeight="false" outlineLevel="0" collapsed="false">
      <c r="A65" s="287" t="n">
        <v>39114</v>
      </c>
      <c r="B65" s="0" t="n">
        <v>4.22448979591837</v>
      </c>
    </row>
    <row r="66" customFormat="false" ht="12.75" hidden="false" customHeight="false" outlineLevel="0" collapsed="false">
      <c r="A66" s="287" t="n">
        <v>39142</v>
      </c>
      <c r="B66" s="0" t="n">
        <v>4.12159863945578</v>
      </c>
    </row>
    <row r="67" customFormat="false" ht="12.75" hidden="false" customHeight="false" outlineLevel="0" collapsed="false">
      <c r="A67" s="287" t="n">
        <v>39173</v>
      </c>
      <c r="B67" s="0" t="n">
        <v>4.12006802721088</v>
      </c>
    </row>
    <row r="68" customFormat="false" ht="12.75" hidden="false" customHeight="false" outlineLevel="0" collapsed="false">
      <c r="A68" s="287" t="n">
        <v>39203</v>
      </c>
      <c r="B68" s="0" t="n">
        <v>4.0937074829932</v>
      </c>
    </row>
    <row r="69" customFormat="false" ht="12.75" hidden="false" customHeight="false" outlineLevel="0" collapsed="false">
      <c r="A69" s="287" t="n">
        <v>39234</v>
      </c>
      <c r="B69" s="0" t="n">
        <v>4.12585034013605</v>
      </c>
    </row>
    <row r="70" customFormat="false" ht="12.75" hidden="false" customHeight="false" outlineLevel="0" collapsed="false">
      <c r="A70" s="287" t="n">
        <v>39264</v>
      </c>
      <c r="B70" s="0" t="n">
        <v>4.17295918367347</v>
      </c>
    </row>
    <row r="71" customFormat="false" ht="12.75" hidden="false" customHeight="false" outlineLevel="0" collapsed="false">
      <c r="A71" s="287" t="n">
        <v>39295</v>
      </c>
      <c r="B71" s="0" t="n">
        <v>4.24863945578231</v>
      </c>
    </row>
    <row r="72" customFormat="false" ht="12.75" hidden="false" customHeight="false" outlineLevel="0" collapsed="false">
      <c r="A72" s="287" t="n">
        <v>39326</v>
      </c>
      <c r="B72" s="0" t="n">
        <v>4.32091836734694</v>
      </c>
    </row>
    <row r="73" customFormat="false" ht="12.75" hidden="false" customHeight="false" outlineLevel="0" collapsed="false">
      <c r="A73" s="287" t="n">
        <v>39356</v>
      </c>
      <c r="B73" s="0" t="n">
        <v>4.30085034013606</v>
      </c>
    </row>
    <row r="74" customFormat="false" ht="12.75" hidden="false" customHeight="false" outlineLevel="0" collapsed="false">
      <c r="A74" s="287" t="n">
        <v>39387</v>
      </c>
      <c r="B74" s="0" t="n">
        <v>4.38078231292517</v>
      </c>
    </row>
    <row r="75" customFormat="false" ht="12.75" hidden="false" customHeight="false" outlineLevel="0" collapsed="false">
      <c r="A75" s="287" t="n">
        <v>39417</v>
      </c>
      <c r="B75" s="0" t="n">
        <v>4.43945578231293</v>
      </c>
      <c r="D75" s="241" t="n">
        <f aca="false">AVERAGE(B64:B75)</f>
        <v>4.23835034013605</v>
      </c>
    </row>
    <row r="76" customFormat="false" ht="12.75" hidden="false" customHeight="false" outlineLevel="0" collapsed="false">
      <c r="A76" s="287" t="n">
        <v>39448</v>
      </c>
      <c r="B76" s="0" t="n">
        <v>4.41292517006803</v>
      </c>
    </row>
    <row r="77" customFormat="false" ht="12.75" hidden="false" customHeight="false" outlineLevel="0" collapsed="false">
      <c r="A77" s="287" t="n">
        <v>39479</v>
      </c>
      <c r="B77" s="0" t="n">
        <v>4.32721088435374</v>
      </c>
    </row>
    <row r="78" customFormat="false" ht="12.75" hidden="false" customHeight="false" outlineLevel="0" collapsed="false">
      <c r="A78" s="287" t="n">
        <v>39508</v>
      </c>
      <c r="B78" s="0" t="n">
        <v>4.22295918367347</v>
      </c>
    </row>
    <row r="79" customFormat="false" ht="12.75" hidden="false" customHeight="false" outlineLevel="0" collapsed="false">
      <c r="A79" s="287" t="n">
        <v>39539</v>
      </c>
      <c r="B79" s="0" t="n">
        <v>4.22295918367347</v>
      </c>
    </row>
    <row r="80" customFormat="false" ht="12.75" hidden="false" customHeight="false" outlineLevel="0" collapsed="false">
      <c r="A80" s="287" t="n">
        <v>39569</v>
      </c>
      <c r="B80" s="0" t="n">
        <v>4.19591836734694</v>
      </c>
    </row>
    <row r="81" customFormat="false" ht="12.75" hidden="false" customHeight="false" outlineLevel="0" collapsed="false">
      <c r="A81" s="287" t="n">
        <v>39600</v>
      </c>
      <c r="B81" s="0" t="n">
        <v>4.22721088435374</v>
      </c>
    </row>
    <row r="82" customFormat="false" ht="12.75" hidden="false" customHeight="false" outlineLevel="0" collapsed="false">
      <c r="A82" s="287" t="n">
        <v>39630</v>
      </c>
      <c r="B82" s="0" t="n">
        <v>4.27585034013606</v>
      </c>
    </row>
    <row r="83" customFormat="false" ht="12.75" hidden="false" customHeight="false" outlineLevel="0" collapsed="false">
      <c r="A83" s="287" t="n">
        <v>39661</v>
      </c>
      <c r="B83" s="0" t="n">
        <v>4.35017006802721</v>
      </c>
    </row>
    <row r="84" customFormat="false" ht="12.75" hidden="false" customHeight="false" outlineLevel="0" collapsed="false">
      <c r="A84" s="287" t="n">
        <v>39692</v>
      </c>
      <c r="B84" s="0" t="n">
        <v>4.42295918367347</v>
      </c>
    </row>
    <row r="85" customFormat="false" ht="12.75" hidden="false" customHeight="false" outlineLevel="0" collapsed="false">
      <c r="A85" s="287" t="n">
        <v>39722</v>
      </c>
      <c r="B85" s="0" t="n">
        <v>4.40374149659864</v>
      </c>
    </row>
    <row r="86" customFormat="false" ht="12.75" hidden="false" customHeight="false" outlineLevel="0" collapsed="false">
      <c r="A86" s="287" t="n">
        <v>39753</v>
      </c>
      <c r="B86" s="0" t="n">
        <v>4.48231292517007</v>
      </c>
    </row>
    <row r="87" customFormat="false" ht="12.75" hidden="false" customHeight="false" outlineLevel="0" collapsed="false">
      <c r="A87" s="287" t="n">
        <v>39783</v>
      </c>
      <c r="B87" s="0" t="n">
        <v>4.54149659863946</v>
      </c>
      <c r="D87" s="241" t="n">
        <f aca="false">AVERAGE(B76:B87)</f>
        <v>4.34047619047619</v>
      </c>
    </row>
    <row r="88" customFormat="false" ht="12.75" hidden="false" customHeight="false" outlineLevel="0" collapsed="false">
      <c r="A88" s="287" t="n">
        <v>39814</v>
      </c>
      <c r="B88" s="0" t="n">
        <v>4.51445578231293</v>
      </c>
    </row>
    <row r="89" customFormat="false" ht="12.75" hidden="false" customHeight="false" outlineLevel="0" collapsed="false">
      <c r="A89" s="287" t="n">
        <v>39845</v>
      </c>
      <c r="B89" s="0" t="n">
        <v>4.32721088435374</v>
      </c>
    </row>
    <row r="90" customFormat="false" ht="12.75" hidden="false" customHeight="false" outlineLevel="0" collapsed="false">
      <c r="A90" s="287" t="n">
        <v>39873</v>
      </c>
      <c r="B90" s="0" t="n">
        <v>4.22295918367347</v>
      </c>
    </row>
    <row r="91" customFormat="false" ht="12.75" hidden="false" customHeight="false" outlineLevel="0" collapsed="false">
      <c r="A91" s="287" t="n">
        <v>39904</v>
      </c>
      <c r="B91" s="0" t="n">
        <v>4.22295918367347</v>
      </c>
    </row>
    <row r="92" customFormat="false" ht="12.75" hidden="false" customHeight="false" outlineLevel="0" collapsed="false">
      <c r="A92" s="287" t="n">
        <v>39934</v>
      </c>
      <c r="B92" s="0" t="n">
        <v>4.19591836734694</v>
      </c>
    </row>
    <row r="93" customFormat="false" ht="12.75" hidden="false" customHeight="false" outlineLevel="0" collapsed="false">
      <c r="A93" s="287" t="n">
        <v>39965</v>
      </c>
      <c r="B93" s="0" t="n">
        <v>4.22721088435374</v>
      </c>
    </row>
    <row r="94" customFormat="false" ht="12.75" hidden="false" customHeight="false" outlineLevel="0" collapsed="false">
      <c r="A94" s="287" t="n">
        <v>39995</v>
      </c>
      <c r="B94" s="0" t="n">
        <v>4.27585034013606</v>
      </c>
    </row>
    <row r="95" customFormat="false" ht="12.75" hidden="false" customHeight="false" outlineLevel="0" collapsed="false">
      <c r="A95" s="287" t="n">
        <v>40026</v>
      </c>
      <c r="B95" s="0" t="n">
        <v>4.35017006802721</v>
      </c>
    </row>
    <row r="96" customFormat="false" ht="12.75" hidden="false" customHeight="false" outlineLevel="0" collapsed="false">
      <c r="A96" s="287" t="n">
        <v>40057</v>
      </c>
      <c r="B96" s="0" t="n">
        <v>4.42295918367347</v>
      </c>
    </row>
    <row r="97" customFormat="false" ht="12.75" hidden="false" customHeight="false" outlineLevel="0" collapsed="false">
      <c r="A97" s="287" t="n">
        <v>40087</v>
      </c>
      <c r="B97" s="0" t="n">
        <v>4.40374149659864</v>
      </c>
    </row>
    <row r="98" customFormat="false" ht="12.75" hidden="false" customHeight="false" outlineLevel="0" collapsed="false">
      <c r="A98" s="287" t="n">
        <v>40118</v>
      </c>
      <c r="B98" s="0" t="n">
        <v>4.48231292517007</v>
      </c>
    </row>
    <row r="99" customFormat="false" ht="12.75" hidden="false" customHeight="false" outlineLevel="0" collapsed="false">
      <c r="A99" s="287" t="n">
        <v>40148</v>
      </c>
      <c r="B99" s="0" t="n">
        <v>4.54149659863946</v>
      </c>
      <c r="D99" s="241" t="n">
        <f aca="false">AVERAGE(B88:B99)</f>
        <v>4.34893707482993</v>
      </c>
    </row>
    <row r="100" customFormat="false" ht="12.75" hidden="false" customHeight="false" outlineLevel="0" collapsed="false">
      <c r="A100" s="287" t="n">
        <v>40179</v>
      </c>
      <c r="B100" s="0" t="n">
        <v>4.51445578231293</v>
      </c>
    </row>
    <row r="101" customFormat="false" ht="12.75" hidden="false" customHeight="false" outlineLevel="0" collapsed="false">
      <c r="A101" s="287" t="n">
        <v>40210</v>
      </c>
      <c r="B101" s="0" t="n">
        <v>4.32721088435374</v>
      </c>
    </row>
    <row r="102" customFormat="false" ht="12.75" hidden="false" customHeight="false" outlineLevel="0" collapsed="false">
      <c r="A102" s="287" t="n">
        <v>40238</v>
      </c>
      <c r="B102" s="0" t="n">
        <v>4.22295918367347</v>
      </c>
    </row>
    <row r="103" customFormat="false" ht="12.75" hidden="false" customHeight="false" outlineLevel="0" collapsed="false">
      <c r="A103" s="287" t="n">
        <v>40269</v>
      </c>
      <c r="B103" s="0" t="n">
        <v>4.22295918367347</v>
      </c>
    </row>
    <row r="104" customFormat="false" ht="12.75" hidden="false" customHeight="false" outlineLevel="0" collapsed="false">
      <c r="A104" s="287" t="n">
        <v>40299</v>
      </c>
      <c r="B104" s="0" t="n">
        <v>4.19591836734694</v>
      </c>
    </row>
    <row r="105" customFormat="false" ht="12.75" hidden="false" customHeight="false" outlineLevel="0" collapsed="false">
      <c r="A105" s="287" t="n">
        <v>40330</v>
      </c>
      <c r="B105" s="0" t="n">
        <v>4.22721088435374</v>
      </c>
    </row>
    <row r="106" customFormat="false" ht="12.75" hidden="false" customHeight="false" outlineLevel="0" collapsed="false">
      <c r="A106" s="287" t="n">
        <v>40360</v>
      </c>
      <c r="B106" s="0" t="n">
        <v>4.27585034013606</v>
      </c>
    </row>
    <row r="107" customFormat="false" ht="12.75" hidden="false" customHeight="false" outlineLevel="0" collapsed="false">
      <c r="A107" s="287" t="n">
        <v>40391</v>
      </c>
      <c r="B107" s="0" t="n">
        <v>4.35017006802721</v>
      </c>
    </row>
    <row r="108" customFormat="false" ht="12.75" hidden="false" customHeight="false" outlineLevel="0" collapsed="false">
      <c r="A108" s="287" t="n">
        <v>40422</v>
      </c>
      <c r="B108" s="0" t="n">
        <v>4.42295918367347</v>
      </c>
    </row>
    <row r="109" customFormat="false" ht="12.75" hidden="false" customHeight="false" outlineLevel="0" collapsed="false">
      <c r="A109" s="287" t="n">
        <v>40452</v>
      </c>
      <c r="B109" s="0" t="n">
        <v>4.40374149659864</v>
      </c>
    </row>
    <row r="110" customFormat="false" ht="12.75" hidden="false" customHeight="false" outlineLevel="0" collapsed="false">
      <c r="A110" s="287" t="n">
        <v>40483</v>
      </c>
      <c r="B110" s="0" t="n">
        <v>4.48231292517007</v>
      </c>
    </row>
    <row r="111" customFormat="false" ht="12.75" hidden="false" customHeight="false" outlineLevel="0" collapsed="false">
      <c r="A111" s="287" t="n">
        <v>40513</v>
      </c>
      <c r="B111" s="0" t="n">
        <v>4.54149659863946</v>
      </c>
      <c r="D111" s="241" t="n">
        <f aca="false">AVERAGE(B100:B111)</f>
        <v>4.34893707482993</v>
      </c>
    </row>
    <row r="112" customFormat="false" ht="12.75" hidden="false" customHeight="false" outlineLevel="0" collapsed="false">
      <c r="A112" s="287" t="n">
        <v>40544</v>
      </c>
      <c r="B112" s="0" t="n">
        <v>4.51445578231293</v>
      </c>
    </row>
    <row r="113" customFormat="false" ht="12.75" hidden="false" customHeight="false" outlineLevel="0" collapsed="false">
      <c r="A113" s="287" t="n">
        <v>40575</v>
      </c>
      <c r="B113" s="0" t="n">
        <v>4.32721088435374</v>
      </c>
    </row>
    <row r="114" customFormat="false" ht="12.75" hidden="false" customHeight="false" outlineLevel="0" collapsed="false">
      <c r="A114" s="287" t="n">
        <v>40603</v>
      </c>
      <c r="B114" s="0" t="n">
        <v>4.22295918367347</v>
      </c>
    </row>
    <row r="115" customFormat="false" ht="12.75" hidden="false" customHeight="false" outlineLevel="0" collapsed="false">
      <c r="A115" s="287" t="n">
        <v>40634</v>
      </c>
      <c r="B115" s="0" t="n">
        <v>4.22295918367347</v>
      </c>
    </row>
    <row r="116" customFormat="false" ht="12.75" hidden="false" customHeight="false" outlineLevel="0" collapsed="false">
      <c r="A116" s="287" t="n">
        <v>40664</v>
      </c>
      <c r="B116" s="0" t="n">
        <v>4.19591836734694</v>
      </c>
    </row>
    <row r="117" customFormat="false" ht="12.75" hidden="false" customHeight="false" outlineLevel="0" collapsed="false">
      <c r="A117" s="287" t="n">
        <v>40695</v>
      </c>
      <c r="B117" s="0" t="n">
        <v>4.22721088435374</v>
      </c>
    </row>
    <row r="118" customFormat="false" ht="12.75" hidden="false" customHeight="false" outlineLevel="0" collapsed="false">
      <c r="A118" s="287" t="n">
        <v>40725</v>
      </c>
      <c r="B118" s="0" t="n">
        <v>4.27585034013606</v>
      </c>
    </row>
    <row r="119" customFormat="false" ht="12.75" hidden="false" customHeight="false" outlineLevel="0" collapsed="false">
      <c r="A119" s="287" t="n">
        <v>40756</v>
      </c>
      <c r="B119" s="0" t="n">
        <v>4.35017006802721</v>
      </c>
    </row>
    <row r="120" customFormat="false" ht="12.75" hidden="false" customHeight="false" outlineLevel="0" collapsed="false">
      <c r="A120" s="287" t="n">
        <v>40787</v>
      </c>
      <c r="B120" s="0" t="n">
        <v>4.42295918367347</v>
      </c>
    </row>
    <row r="121" customFormat="false" ht="12.75" hidden="false" customHeight="false" outlineLevel="0" collapsed="false">
      <c r="A121" s="287" t="n">
        <v>40817</v>
      </c>
      <c r="B121" s="0" t="n">
        <v>4.40374149659864</v>
      </c>
    </row>
    <row r="122" customFormat="false" ht="12.75" hidden="false" customHeight="false" outlineLevel="0" collapsed="false">
      <c r="A122" s="287" t="n">
        <v>40848</v>
      </c>
      <c r="B122" s="0" t="n">
        <v>4.48231292517007</v>
      </c>
    </row>
    <row r="123" customFormat="false" ht="12.75" hidden="false" customHeight="false" outlineLevel="0" collapsed="false">
      <c r="A123" s="287" t="n">
        <v>40878</v>
      </c>
      <c r="B123" s="0" t="n">
        <v>4.54149659863946</v>
      </c>
      <c r="D123" s="241" t="n">
        <f aca="false">AVERAGE(B112:B123)</f>
        <v>4.34893707482993</v>
      </c>
    </row>
    <row r="124" customFormat="false" ht="12.75" hidden="false" customHeight="false" outlineLevel="0" collapsed="false">
      <c r="A124" s="287" t="n">
        <v>40909</v>
      </c>
      <c r="B124" s="0" t="n">
        <v>4.51445578231293</v>
      </c>
    </row>
    <row r="125" customFormat="false" ht="12.75" hidden="false" customHeight="false" outlineLevel="0" collapsed="false">
      <c r="A125" s="287" t="n">
        <v>40940</v>
      </c>
      <c r="B125" s="0" t="n">
        <v>4.32721088435374</v>
      </c>
    </row>
    <row r="126" customFormat="false" ht="12.75" hidden="false" customHeight="false" outlineLevel="0" collapsed="false">
      <c r="A126" s="287" t="n">
        <v>40969</v>
      </c>
      <c r="B126" s="0" t="n">
        <v>4.22295918367347</v>
      </c>
    </row>
    <row r="127" customFormat="false" ht="12.75" hidden="false" customHeight="false" outlineLevel="0" collapsed="false">
      <c r="A127" s="287" t="n">
        <v>41000</v>
      </c>
      <c r="B127" s="0" t="n">
        <v>4.22295918367347</v>
      </c>
    </row>
    <row r="128" customFormat="false" ht="12.75" hidden="false" customHeight="false" outlineLevel="0" collapsed="false">
      <c r="A128" s="287" t="n">
        <v>41030</v>
      </c>
      <c r="B128" s="0" t="n">
        <v>4.19591836734694</v>
      </c>
    </row>
    <row r="129" customFormat="false" ht="12.75" hidden="false" customHeight="false" outlineLevel="0" collapsed="false">
      <c r="A129" s="287" t="n">
        <v>41061</v>
      </c>
      <c r="B129" s="0" t="n">
        <v>4.22721088435374</v>
      </c>
    </row>
    <row r="130" customFormat="false" ht="12.75" hidden="false" customHeight="false" outlineLevel="0" collapsed="false">
      <c r="A130" s="287" t="n">
        <v>41091</v>
      </c>
      <c r="B130" s="0" t="n">
        <v>4.27585034013606</v>
      </c>
    </row>
    <row r="131" customFormat="false" ht="12.75" hidden="false" customHeight="false" outlineLevel="0" collapsed="false">
      <c r="A131" s="287" t="n">
        <v>41122</v>
      </c>
      <c r="B131" s="0" t="n">
        <v>4.35017006802721</v>
      </c>
    </row>
    <row r="132" customFormat="false" ht="12.75" hidden="false" customHeight="false" outlineLevel="0" collapsed="false">
      <c r="A132" s="287" t="n">
        <v>41153</v>
      </c>
      <c r="B132" s="0" t="n">
        <v>4.42295918367347</v>
      </c>
    </row>
    <row r="133" customFormat="false" ht="12.75" hidden="false" customHeight="false" outlineLevel="0" collapsed="false">
      <c r="A133" s="287" t="n">
        <v>41183</v>
      </c>
      <c r="B133" s="0" t="n">
        <v>4.40374149659864</v>
      </c>
    </row>
    <row r="134" customFormat="false" ht="12.75" hidden="false" customHeight="false" outlineLevel="0" collapsed="false">
      <c r="A134" s="287" t="n">
        <v>41214</v>
      </c>
      <c r="B134" s="0" t="n">
        <v>4.48231292517007</v>
      </c>
    </row>
    <row r="135" customFormat="false" ht="12.75" hidden="false" customHeight="false" outlineLevel="0" collapsed="false">
      <c r="A135" s="287" t="n">
        <v>41244</v>
      </c>
      <c r="B135" s="0" t="n">
        <v>4.54149659863946</v>
      </c>
      <c r="D135" s="241" t="n">
        <f aca="false">AVERAGE(B124:B135)</f>
        <v>4.34893707482993</v>
      </c>
    </row>
    <row r="136" customFormat="false" ht="12.75" hidden="false" customHeight="false" outlineLevel="0" collapsed="false">
      <c r="A136" s="287" t="n">
        <v>41275</v>
      </c>
      <c r="B136" s="0" t="n">
        <v>4.51445578231293</v>
      </c>
    </row>
    <row r="137" customFormat="false" ht="12.75" hidden="false" customHeight="false" outlineLevel="0" collapsed="false">
      <c r="A137" s="287" t="n">
        <v>41306</v>
      </c>
      <c r="B137" s="0" t="n">
        <v>4.32721088435374</v>
      </c>
    </row>
    <row r="138" customFormat="false" ht="12.75" hidden="false" customHeight="false" outlineLevel="0" collapsed="false">
      <c r="A138" s="287" t="n">
        <v>41334</v>
      </c>
      <c r="B138" s="0" t="n">
        <v>4.22295918367347</v>
      </c>
    </row>
    <row r="139" customFormat="false" ht="12.75" hidden="false" customHeight="false" outlineLevel="0" collapsed="false">
      <c r="A139" s="287" t="n">
        <v>41365</v>
      </c>
      <c r="B139" s="0" t="n">
        <v>4.22295918367347</v>
      </c>
    </row>
    <row r="140" customFormat="false" ht="12.75" hidden="false" customHeight="false" outlineLevel="0" collapsed="false">
      <c r="A140" s="287" t="n">
        <v>41395</v>
      </c>
      <c r="B140" s="0" t="n">
        <v>4.19591836734694</v>
      </c>
    </row>
    <row r="141" customFormat="false" ht="12.75" hidden="false" customHeight="false" outlineLevel="0" collapsed="false">
      <c r="A141" s="287" t="n">
        <v>41426</v>
      </c>
      <c r="B141" s="0" t="n">
        <v>4.22721088435374</v>
      </c>
    </row>
    <row r="142" customFormat="false" ht="12.75" hidden="false" customHeight="false" outlineLevel="0" collapsed="false">
      <c r="A142" s="287" t="n">
        <v>41456</v>
      </c>
      <c r="B142" s="0" t="n">
        <v>4.27585034013606</v>
      </c>
    </row>
    <row r="143" customFormat="false" ht="12.75" hidden="false" customHeight="false" outlineLevel="0" collapsed="false">
      <c r="A143" s="287" t="n">
        <v>41487</v>
      </c>
      <c r="B143" s="0" t="n">
        <v>4.35017006802721</v>
      </c>
    </row>
    <row r="144" customFormat="false" ht="12.75" hidden="false" customHeight="false" outlineLevel="0" collapsed="false">
      <c r="A144" s="287" t="n">
        <v>41518</v>
      </c>
      <c r="B144" s="0" t="n">
        <v>4.42295918367347</v>
      </c>
    </row>
    <row r="145" customFormat="false" ht="12.75" hidden="false" customHeight="false" outlineLevel="0" collapsed="false">
      <c r="A145" s="287" t="n">
        <v>41548</v>
      </c>
      <c r="B145" s="0" t="n">
        <v>4.40374149659864</v>
      </c>
    </row>
    <row r="146" customFormat="false" ht="12.75" hidden="false" customHeight="false" outlineLevel="0" collapsed="false">
      <c r="A146" s="287" t="n">
        <v>41579</v>
      </c>
      <c r="B146" s="0" t="n">
        <v>4.48231292517007</v>
      </c>
    </row>
    <row r="147" customFormat="false" ht="12.75" hidden="false" customHeight="false" outlineLevel="0" collapsed="false">
      <c r="A147" s="287" t="n">
        <v>41609</v>
      </c>
      <c r="B147" s="0" t="n">
        <v>4.54149659863946</v>
      </c>
      <c r="D147" s="241" t="n">
        <f aca="false">AVERAGE(B136:B147)</f>
        <v>4.34893707482993</v>
      </c>
    </row>
    <row r="148" customFormat="false" ht="12.75" hidden="false" customHeight="false" outlineLevel="0" collapsed="false">
      <c r="A148" s="287" t="n">
        <v>41640</v>
      </c>
      <c r="B148" s="0" t="n">
        <v>4.51445578231293</v>
      </c>
    </row>
    <row r="149" customFormat="false" ht="12.75" hidden="false" customHeight="false" outlineLevel="0" collapsed="false">
      <c r="A149" s="287" t="n">
        <v>41671</v>
      </c>
      <c r="B149" s="0" t="n">
        <v>4.32721088435374</v>
      </c>
    </row>
    <row r="150" customFormat="false" ht="12.75" hidden="false" customHeight="false" outlineLevel="0" collapsed="false">
      <c r="A150" s="287" t="n">
        <v>41699</v>
      </c>
      <c r="B150" s="0" t="n">
        <v>4.22295918367347</v>
      </c>
    </row>
    <row r="151" customFormat="false" ht="12.75" hidden="false" customHeight="false" outlineLevel="0" collapsed="false">
      <c r="A151" s="287" t="n">
        <v>41730</v>
      </c>
      <c r="B151" s="0" t="n">
        <v>4.22295918367347</v>
      </c>
    </row>
    <row r="152" customFormat="false" ht="12.75" hidden="false" customHeight="false" outlineLevel="0" collapsed="false">
      <c r="A152" s="287" t="n">
        <v>41760</v>
      </c>
      <c r="B152" s="0" t="n">
        <v>4.19591836734694</v>
      </c>
    </row>
    <row r="153" customFormat="false" ht="12.75" hidden="false" customHeight="false" outlineLevel="0" collapsed="false">
      <c r="A153" s="287" t="n">
        <v>41791</v>
      </c>
      <c r="B153" s="0" t="n">
        <v>4.22721088435374</v>
      </c>
    </row>
    <row r="154" customFormat="false" ht="12.75" hidden="false" customHeight="false" outlineLevel="0" collapsed="false">
      <c r="A154" s="287" t="n">
        <v>41821</v>
      </c>
      <c r="B154" s="0" t="n">
        <v>4.27585034013606</v>
      </c>
    </row>
    <row r="155" customFormat="false" ht="12.75" hidden="false" customHeight="false" outlineLevel="0" collapsed="false">
      <c r="A155" s="287" t="n">
        <v>41852</v>
      </c>
      <c r="B155" s="0" t="n">
        <v>4.35017006802721</v>
      </c>
    </row>
    <row r="156" customFormat="false" ht="12.75" hidden="false" customHeight="false" outlineLevel="0" collapsed="false">
      <c r="A156" s="287" t="n">
        <v>41883</v>
      </c>
      <c r="B156" s="0" t="n">
        <v>4.42295918367347</v>
      </c>
    </row>
    <row r="157" customFormat="false" ht="12.75" hidden="false" customHeight="false" outlineLevel="0" collapsed="false">
      <c r="A157" s="287" t="n">
        <v>41913</v>
      </c>
      <c r="B157" s="0" t="n">
        <v>4.40374149659864</v>
      </c>
    </row>
    <row r="158" customFormat="false" ht="12.75" hidden="false" customHeight="false" outlineLevel="0" collapsed="false">
      <c r="A158" s="287" t="n">
        <v>41944</v>
      </c>
      <c r="B158" s="0" t="n">
        <v>4.48231292517007</v>
      </c>
    </row>
    <row r="159" customFormat="false" ht="12.75" hidden="false" customHeight="false" outlineLevel="0" collapsed="false">
      <c r="A159" s="287" t="n">
        <v>41974</v>
      </c>
      <c r="B159" s="0" t="n">
        <v>4.54149659863946</v>
      </c>
      <c r="D159" s="241" t="n">
        <f aca="false">AVERAGE(B148:B159)</f>
        <v>4.34893707482993</v>
      </c>
    </row>
    <row r="160" customFormat="false" ht="12.75" hidden="false" customHeight="false" outlineLevel="0" collapsed="false">
      <c r="A160" s="287" t="n">
        <v>42005</v>
      </c>
      <c r="B160" s="0" t="n">
        <v>4.51445578231293</v>
      </c>
    </row>
    <row r="161" customFormat="false" ht="12.75" hidden="false" customHeight="false" outlineLevel="0" collapsed="false">
      <c r="A161" s="287" t="n">
        <v>42036</v>
      </c>
      <c r="B161" s="0" t="n">
        <v>4.32721088435374</v>
      </c>
    </row>
    <row r="162" customFormat="false" ht="12.75" hidden="false" customHeight="false" outlineLevel="0" collapsed="false">
      <c r="A162" s="287" t="n">
        <v>42064</v>
      </c>
      <c r="B162" s="0" t="n">
        <v>4.22295918367347</v>
      </c>
    </row>
    <row r="163" customFormat="false" ht="12.75" hidden="false" customHeight="false" outlineLevel="0" collapsed="false">
      <c r="A163" s="287" t="n">
        <v>42095</v>
      </c>
      <c r="B163" s="0" t="n">
        <v>4.22295918367347</v>
      </c>
    </row>
    <row r="164" customFormat="false" ht="12.75" hidden="false" customHeight="false" outlineLevel="0" collapsed="false">
      <c r="A164" s="287" t="n">
        <v>42125</v>
      </c>
      <c r="B164" s="0" t="n">
        <v>4.19591836734694</v>
      </c>
    </row>
    <row r="165" customFormat="false" ht="12.75" hidden="false" customHeight="false" outlineLevel="0" collapsed="false">
      <c r="A165" s="287" t="n">
        <v>42156</v>
      </c>
      <c r="B165" s="0" t="n">
        <v>4.22721088435374</v>
      </c>
    </row>
    <row r="166" customFormat="false" ht="12.75" hidden="false" customHeight="false" outlineLevel="0" collapsed="false">
      <c r="A166" s="287" t="n">
        <v>42186</v>
      </c>
      <c r="B166" s="0" t="n">
        <v>4.27585034013606</v>
      </c>
    </row>
    <row r="167" customFormat="false" ht="12.75" hidden="false" customHeight="false" outlineLevel="0" collapsed="false">
      <c r="A167" s="287" t="n">
        <v>42217</v>
      </c>
      <c r="B167" s="0" t="n">
        <v>4.35017006802721</v>
      </c>
    </row>
    <row r="168" customFormat="false" ht="12.75" hidden="false" customHeight="false" outlineLevel="0" collapsed="false">
      <c r="A168" s="287" t="n">
        <v>42248</v>
      </c>
      <c r="B168" s="0" t="n">
        <v>4.42295918367347</v>
      </c>
    </row>
    <row r="169" customFormat="false" ht="12.75" hidden="false" customHeight="false" outlineLevel="0" collapsed="false">
      <c r="A169" s="287" t="n">
        <v>42278</v>
      </c>
      <c r="B169" s="0" t="n">
        <v>4.40374149659864</v>
      </c>
    </row>
    <row r="170" customFormat="false" ht="12.75" hidden="false" customHeight="false" outlineLevel="0" collapsed="false">
      <c r="A170" s="287" t="n">
        <v>42309</v>
      </c>
      <c r="B170" s="0" t="n">
        <v>4.48231292517007</v>
      </c>
    </row>
    <row r="171" customFormat="false" ht="12.75" hidden="false" customHeight="false" outlineLevel="0" collapsed="false">
      <c r="A171" s="287" t="n">
        <v>42339</v>
      </c>
      <c r="B171" s="0" t="n">
        <v>4.54149659863946</v>
      </c>
      <c r="D171" s="241" t="n">
        <f aca="false">AVERAGE(B160:B171)</f>
        <v>4.34893707482993</v>
      </c>
    </row>
    <row r="172" customFormat="false" ht="12.75" hidden="false" customHeight="false" outlineLevel="0" collapsed="false">
      <c r="A172" s="287" t="n">
        <v>42370</v>
      </c>
      <c r="B172" s="0" t="n">
        <v>4.51445578231293</v>
      </c>
    </row>
    <row r="173" customFormat="false" ht="12.75" hidden="false" customHeight="false" outlineLevel="0" collapsed="false">
      <c r="A173" s="287" t="n">
        <v>42401</v>
      </c>
      <c r="B173" s="0" t="n">
        <v>4.32721088435374</v>
      </c>
    </row>
    <row r="174" customFormat="false" ht="12.75" hidden="false" customHeight="false" outlineLevel="0" collapsed="false">
      <c r="A174" s="287" t="n">
        <v>42430</v>
      </c>
      <c r="B174" s="0" t="n">
        <v>4.22295918367347</v>
      </c>
    </row>
    <row r="175" customFormat="false" ht="12.75" hidden="false" customHeight="false" outlineLevel="0" collapsed="false">
      <c r="A175" s="287" t="n">
        <v>42461</v>
      </c>
      <c r="B175" s="0" t="n">
        <v>4.22295918367347</v>
      </c>
    </row>
    <row r="176" customFormat="false" ht="12.75" hidden="false" customHeight="false" outlineLevel="0" collapsed="false">
      <c r="A176" s="287" t="n">
        <v>42491</v>
      </c>
      <c r="B176" s="0" t="n">
        <v>4.19591836734694</v>
      </c>
    </row>
    <row r="177" customFormat="false" ht="12.75" hidden="false" customHeight="false" outlineLevel="0" collapsed="false">
      <c r="A177" s="287" t="n">
        <v>42522</v>
      </c>
      <c r="B177" s="0" t="n">
        <v>4.22721088435374</v>
      </c>
    </row>
    <row r="178" customFormat="false" ht="12.75" hidden="false" customHeight="false" outlineLevel="0" collapsed="false">
      <c r="A178" s="287" t="n">
        <v>42552</v>
      </c>
      <c r="B178" s="0" t="n">
        <v>4.27585034013606</v>
      </c>
    </row>
    <row r="179" customFormat="false" ht="12.75" hidden="false" customHeight="false" outlineLevel="0" collapsed="false">
      <c r="A179" s="287" t="n">
        <v>42583</v>
      </c>
      <c r="B179" s="0" t="n">
        <v>4.35017006802721</v>
      </c>
    </row>
    <row r="180" customFormat="false" ht="12.75" hidden="false" customHeight="false" outlineLevel="0" collapsed="false">
      <c r="A180" s="287" t="n">
        <v>42614</v>
      </c>
      <c r="B180" s="0" t="n">
        <v>4.42295918367347</v>
      </c>
    </row>
    <row r="181" customFormat="false" ht="12.75" hidden="false" customHeight="false" outlineLevel="0" collapsed="false">
      <c r="A181" s="287" t="n">
        <v>42644</v>
      </c>
      <c r="B181" s="0" t="n">
        <v>4.40374149659864</v>
      </c>
    </row>
    <row r="182" customFormat="false" ht="12.75" hidden="false" customHeight="false" outlineLevel="0" collapsed="false">
      <c r="A182" s="287" t="n">
        <v>42675</v>
      </c>
      <c r="B182" s="0" t="n">
        <v>4.48231292517007</v>
      </c>
    </row>
    <row r="183" customFormat="false" ht="12.75" hidden="false" customHeight="false" outlineLevel="0" collapsed="false">
      <c r="A183" s="287" t="n">
        <v>42705</v>
      </c>
      <c r="B183" s="0" t="n">
        <v>4.54149659863946</v>
      </c>
      <c r="D183" s="241" t="n">
        <f aca="false">AVERAGE(B172:B183)</f>
        <v>4.34893707482993</v>
      </c>
    </row>
    <row r="184" customFormat="false" ht="12.75" hidden="false" customHeight="false" outlineLevel="0" collapsed="false">
      <c r="A184" s="287" t="n">
        <v>42736</v>
      </c>
      <c r="B184" s="0" t="n">
        <v>4.51445578231293</v>
      </c>
    </row>
    <row r="185" customFormat="false" ht="12.75" hidden="false" customHeight="false" outlineLevel="0" collapsed="false">
      <c r="A185" s="287" t="n">
        <v>42767</v>
      </c>
      <c r="B185" s="0" t="n">
        <v>4.32721088435374</v>
      </c>
    </row>
    <row r="186" customFormat="false" ht="12.75" hidden="false" customHeight="false" outlineLevel="0" collapsed="false">
      <c r="A186" s="287" t="n">
        <v>42795</v>
      </c>
      <c r="B186" s="0" t="n">
        <v>4.22295918367347</v>
      </c>
    </row>
    <row r="187" customFormat="false" ht="12.75" hidden="false" customHeight="false" outlineLevel="0" collapsed="false">
      <c r="A187" s="287" t="n">
        <v>42826</v>
      </c>
      <c r="B187" s="0" t="n">
        <v>4.22295918367347</v>
      </c>
    </row>
    <row r="188" customFormat="false" ht="12.75" hidden="false" customHeight="false" outlineLevel="0" collapsed="false">
      <c r="A188" s="287" t="n">
        <v>42856</v>
      </c>
      <c r="B188" s="0" t="n">
        <v>4.19591836734694</v>
      </c>
    </row>
    <row r="189" customFormat="false" ht="12.75" hidden="false" customHeight="false" outlineLevel="0" collapsed="false">
      <c r="A189" s="287" t="n">
        <v>42887</v>
      </c>
      <c r="B189" s="0" t="n">
        <v>4.22721088435374</v>
      </c>
    </row>
    <row r="190" customFormat="false" ht="12.75" hidden="false" customHeight="false" outlineLevel="0" collapsed="false">
      <c r="A190" s="287" t="n">
        <v>42917</v>
      </c>
      <c r="B190" s="0" t="n">
        <v>4.27585034013606</v>
      </c>
    </row>
    <row r="191" customFormat="false" ht="12.75" hidden="false" customHeight="false" outlineLevel="0" collapsed="false">
      <c r="A191" s="287" t="n">
        <v>42948</v>
      </c>
      <c r="B191" s="0" t="n">
        <v>4.35017006802721</v>
      </c>
    </row>
    <row r="192" customFormat="false" ht="12.75" hidden="false" customHeight="false" outlineLevel="0" collapsed="false">
      <c r="A192" s="287" t="n">
        <v>42979</v>
      </c>
      <c r="B192" s="0" t="n">
        <v>4.42295918367347</v>
      </c>
    </row>
    <row r="193" customFormat="false" ht="12.75" hidden="false" customHeight="false" outlineLevel="0" collapsed="false">
      <c r="A193" s="287" t="n">
        <v>43009</v>
      </c>
      <c r="B193" s="0" t="n">
        <v>4.40374149659864</v>
      </c>
    </row>
    <row r="194" customFormat="false" ht="12.75" hidden="false" customHeight="false" outlineLevel="0" collapsed="false">
      <c r="A194" s="287" t="n">
        <v>43040</v>
      </c>
      <c r="B194" s="0" t="n">
        <v>4.48231292517007</v>
      </c>
    </row>
    <row r="195" customFormat="false" ht="12.75" hidden="false" customHeight="false" outlineLevel="0" collapsed="false">
      <c r="A195" s="287" t="n">
        <v>43070</v>
      </c>
      <c r="B195" s="0" t="n">
        <v>4.54149659863946</v>
      </c>
      <c r="D195" s="241" t="n">
        <f aca="false">AVERAGE(B184:B195)</f>
        <v>4.34893707482993</v>
      </c>
    </row>
    <row r="207" customFormat="false" ht="12.75" hidden="false" customHeight="false" outlineLevel="0" collapsed="false">
      <c r="D207" s="241"/>
    </row>
    <row r="219" customFormat="false" ht="12.75" hidden="false" customHeight="false" outlineLevel="0" collapsed="false">
      <c r="D219" s="2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4.28"/>
    <col collapsed="false" customWidth="true" hidden="false" outlineLevel="0" max="3" min="3" style="1" width="13.56"/>
    <col collapsed="false" customWidth="true" hidden="false" outlineLevel="0" max="4" min="4" style="1" width="7.28"/>
    <col collapsed="false" customWidth="true" hidden="false" outlineLevel="0" max="5" min="5" style="1" width="11.13"/>
    <col collapsed="false" customWidth="true" hidden="false" outlineLevel="0" max="6" min="6" style="1" width="7.85"/>
    <col collapsed="false" customWidth="true" hidden="false" outlineLevel="0" max="7" min="7" style="1" width="7.42"/>
    <col collapsed="false" customWidth="false" hidden="false" outlineLevel="0" max="257" min="8" style="1" width="9.14"/>
  </cols>
  <sheetData>
    <row r="2" customFormat="false" ht="15.75" hidden="false" customHeight="false" outlineLevel="0" collapsed="false">
      <c r="B2" s="290" t="s">
        <v>366</v>
      </c>
    </row>
    <row r="3" customFormat="false" ht="12.75" hidden="false" customHeight="false" outlineLevel="0" collapsed="false">
      <c r="B3" s="291" t="n">
        <f aca="true">NOW()</f>
        <v>45926.9068009579</v>
      </c>
    </row>
    <row r="5" customFormat="false" ht="12.75" hidden="false" customHeight="false" outlineLevel="0" collapsed="false">
      <c r="C5" s="292" t="s">
        <v>367</v>
      </c>
      <c r="D5" s="292" t="s">
        <v>368</v>
      </c>
      <c r="E5" s="292" t="s">
        <v>369</v>
      </c>
      <c r="F5" s="292"/>
      <c r="G5" s="292"/>
    </row>
    <row r="6" customFormat="false" ht="12.75" hidden="false" customHeight="false" outlineLevel="0" collapsed="false">
      <c r="C6" s="293"/>
    </row>
    <row r="7" customFormat="false" ht="12.75" hidden="true" customHeight="false" outlineLevel="0" collapsed="false">
      <c r="B7" s="1" t="s">
        <v>370</v>
      </c>
      <c r="C7" s="293" t="n">
        <v>5.07</v>
      </c>
      <c r="D7" s="294" t="n">
        <v>-0.0795</v>
      </c>
      <c r="E7" s="295" t="n">
        <v>-61694</v>
      </c>
      <c r="F7" s="296"/>
      <c r="G7" s="296"/>
    </row>
    <row r="8" customFormat="false" ht="12.75" hidden="false" customHeight="false" outlineLevel="0" collapsed="false">
      <c r="B8" s="1" t="s">
        <v>371</v>
      </c>
      <c r="C8" s="293" t="n">
        <v>5.4</v>
      </c>
      <c r="D8" s="297" t="n">
        <v>-0.0449</v>
      </c>
      <c r="E8" s="295" t="n">
        <v>-52969</v>
      </c>
      <c r="F8" s="296"/>
      <c r="G8" s="296"/>
    </row>
    <row r="9" customFormat="false" ht="12.75" hidden="false" customHeight="false" outlineLevel="0" collapsed="false">
      <c r="B9" s="1" t="s">
        <v>372</v>
      </c>
      <c r="C9" s="293" t="n">
        <v>7.84</v>
      </c>
      <c r="D9" s="297" t="n">
        <v>0.12</v>
      </c>
      <c r="E9" s="295" t="n">
        <v>5075</v>
      </c>
      <c r="F9" s="296"/>
      <c r="G9" s="296"/>
    </row>
    <row r="10" customFormat="false" ht="12.75" hidden="false" customHeight="false" outlineLevel="0" collapsed="false">
      <c r="B10" s="1" t="s">
        <v>373</v>
      </c>
      <c r="C10" s="293" t="n">
        <v>7.58</v>
      </c>
      <c r="D10" s="297" t="n">
        <v>0.1067</v>
      </c>
      <c r="E10" s="295" t="n">
        <v>0</v>
      </c>
      <c r="F10" s="296"/>
      <c r="G10" s="296"/>
    </row>
    <row r="11" customFormat="false" ht="12.75" hidden="false" customHeight="false" outlineLevel="0" collapsed="false">
      <c r="B11" s="1" t="s">
        <v>374</v>
      </c>
      <c r="C11" s="293" t="n">
        <v>7.26</v>
      </c>
      <c r="D11" s="297" t="n">
        <v>0.12</v>
      </c>
      <c r="E11" s="295" t="n">
        <v>5182</v>
      </c>
      <c r="F11" s="296"/>
      <c r="G11" s="296"/>
    </row>
    <row r="12" customFormat="false" ht="12.75" hidden="false" customHeight="false" outlineLevel="0" collapsed="false">
      <c r="C12" s="293"/>
    </row>
    <row r="13" customFormat="false" ht="13.5" hidden="false" customHeight="false" outlineLevel="0" collapsed="false">
      <c r="B13" s="298" t="s">
        <v>375</v>
      </c>
      <c r="C13" s="293"/>
    </row>
    <row r="14" customFormat="false" ht="12.75" hidden="false" customHeight="false" outlineLevel="0" collapsed="false">
      <c r="B14" s="299" t="s">
        <v>376</v>
      </c>
      <c r="C14" s="293"/>
    </row>
    <row r="15" customFormat="false" ht="12.75" hidden="false" customHeight="false" outlineLevel="0" collapsed="false">
      <c r="B15" s="299" t="s">
        <v>377</v>
      </c>
      <c r="C15" s="166" t="n">
        <f aca="false">Assumptions!C60</f>
        <v>213517.673218267</v>
      </c>
    </row>
    <row r="16" customFormat="false" ht="12.75" hidden="false" customHeight="false" outlineLevel="0" collapsed="false">
      <c r="B16" s="299" t="s">
        <v>378</v>
      </c>
      <c r="C16" s="300" t="n">
        <f aca="false">Assumptions!D60</f>
        <v>613.5565322364</v>
      </c>
    </row>
    <row r="17" customFormat="false" ht="12.75" hidden="false" customHeight="false" outlineLevel="0" collapsed="false">
      <c r="B17" s="299" t="s">
        <v>379</v>
      </c>
      <c r="C17" s="293"/>
    </row>
    <row r="18" customFormat="false" ht="12.75" hidden="false" customHeight="false" outlineLevel="0" collapsed="false">
      <c r="B18" s="299" t="s">
        <v>380</v>
      </c>
      <c r="C18" s="293"/>
    </row>
    <row r="19" customFormat="false" ht="12.75" hidden="false" customHeight="false" outlineLevel="0" collapsed="false">
      <c r="C19" s="293"/>
    </row>
    <row r="20" customFormat="false" ht="12.75" hidden="false" customHeight="false" outlineLevel="0" collapsed="false">
      <c r="C20" s="293"/>
    </row>
    <row r="21" customFormat="false" ht="12.75" hidden="false" customHeight="false" outlineLevel="0" collapsed="false">
      <c r="C21" s="293"/>
    </row>
    <row r="22" customFormat="false" ht="12.75" hidden="false" customHeight="false" outlineLevel="0" collapsed="false">
      <c r="C22" s="293"/>
    </row>
    <row r="23" customFormat="false" ht="12.75" hidden="false" customHeight="false" outlineLevel="0" collapsed="false">
      <c r="C23" s="293"/>
    </row>
    <row r="24" customFormat="false" ht="12.75" hidden="false" customHeight="false" outlineLevel="0" collapsed="false">
      <c r="C24" s="293"/>
    </row>
    <row r="25" customFormat="false" ht="12.75" hidden="false" customHeight="false" outlineLevel="0" collapsed="false">
      <c r="C25" s="293"/>
    </row>
    <row r="26" customFormat="false" ht="12.75" hidden="false" customHeight="false" outlineLevel="0" collapsed="false">
      <c r="C26" s="293"/>
    </row>
    <row r="27" customFormat="false" ht="12.75" hidden="false" customHeight="false" outlineLevel="0" collapsed="false">
      <c r="C27" s="293"/>
    </row>
    <row r="28" customFormat="false" ht="12.75" hidden="false" customHeight="false" outlineLevel="0" collapsed="false">
      <c r="C28" s="293"/>
    </row>
    <row r="29" customFormat="false" ht="12.75" hidden="false" customHeight="false" outlineLevel="0" collapsed="false">
      <c r="C29" s="293"/>
    </row>
    <row r="30" customFormat="false" ht="12.75" hidden="false" customHeight="false" outlineLevel="0" collapsed="false">
      <c r="C30" s="293"/>
    </row>
    <row r="31" customFormat="false" ht="12.75" hidden="false" customHeight="false" outlineLevel="0" collapsed="false">
      <c r="C31" s="2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7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C13" activeCellId="0" sqref="C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0.13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381</v>
      </c>
      <c r="B4" s="3"/>
    </row>
    <row r="6" customFormat="false" ht="12.75" hidden="false" customHeight="false" outlineLevel="0" collapsed="false">
      <c r="C6" s="254" t="n">
        <f aca="false">'Price_Technical Assumption'!D7</f>
        <v>0.666666666666667</v>
      </c>
      <c r="D6" s="254" t="n">
        <f aca="false">'Price_Technical Assumption'!E7</f>
        <v>1.66666666666667</v>
      </c>
      <c r="E6" s="254" t="n">
        <f aca="false">'Price_Technical Assumption'!F7</f>
        <v>2.66666666666667</v>
      </c>
      <c r="F6" s="254" t="n">
        <f aca="false">'Price_Technical Assumption'!G7</f>
        <v>3.66666666666667</v>
      </c>
      <c r="G6" s="254" t="n">
        <f aca="false">'Price_Technical Assumption'!H7</f>
        <v>4.66666666666667</v>
      </c>
      <c r="H6" s="254" t="n">
        <f aca="false">'Price_Technical Assumption'!I7</f>
        <v>5.66666666666667</v>
      </c>
      <c r="I6" s="254" t="n">
        <f aca="false">'Price_Technical Assumption'!J7</f>
        <v>6.66666666666667</v>
      </c>
      <c r="J6" s="254" t="n">
        <f aca="false">'Price_Technical Assumption'!K7</f>
        <v>7.66666666666667</v>
      </c>
      <c r="K6" s="254" t="n">
        <f aca="false">'Price_Technical Assumption'!L7</f>
        <v>8.66666666666667</v>
      </c>
      <c r="L6" s="254" t="n">
        <f aca="false">'Price_Technical Assumption'!M7</f>
        <v>9.66666666666667</v>
      </c>
      <c r="M6" s="254" t="n">
        <f aca="false">'Price_Technical Assumption'!N7</f>
        <v>10.6666666666667</v>
      </c>
      <c r="N6" s="254" t="n">
        <f aca="false">'Price_Technical Assumption'!O7</f>
        <v>11.6666666666667</v>
      </c>
      <c r="O6" s="254" t="n">
        <f aca="false">'Price_Technical Assumption'!P7</f>
        <v>12.6666666666667</v>
      </c>
      <c r="P6" s="254" t="n">
        <f aca="false">'Price_Technical Assumption'!Q7</f>
        <v>13.6666666666667</v>
      </c>
      <c r="Q6" s="254" t="n">
        <f aca="false">'Price_Technical Assumption'!R7</f>
        <v>14.6666666666667</v>
      </c>
      <c r="R6" s="254" t="n">
        <f aca="false">'Price_Technical Assumption'!S7</f>
        <v>15.6666666666667</v>
      </c>
      <c r="S6" s="254" t="n">
        <f aca="false">'Price_Technical Assumption'!T7</f>
        <v>16.6666666666667</v>
      </c>
      <c r="T6" s="254" t="n">
        <f aca="false">'Price_Technical Assumption'!U7</f>
        <v>17.6666666666667</v>
      </c>
      <c r="U6" s="254" t="n">
        <f aca="false">'Price_Technical Assumption'!V7</f>
        <v>18.6666666666667</v>
      </c>
      <c r="V6" s="254" t="n">
        <f aca="false">'Price_Technical Assumption'!W7</f>
        <v>19.6666666666667</v>
      </c>
      <c r="W6" s="254" t="n">
        <f aca="false">'Price_Technical Assumption'!X7</f>
        <v>20.6666666666667</v>
      </c>
      <c r="X6" s="254" t="n">
        <f aca="false">'Price_Technical Assumption'!Y7</f>
        <v>21.6666666666667</v>
      </c>
      <c r="Y6" s="254" t="n">
        <f aca="false">'Price_Technical Assumption'!Z7</f>
        <v>22.6666666666667</v>
      </c>
      <c r="Z6" s="254" t="n">
        <f aca="false">'Price_Technical Assumption'!AA7</f>
        <v>23.6666666666667</v>
      </c>
      <c r="AA6" s="254" t="n">
        <f aca="false">'Price_Technical Assumption'!AB7</f>
        <v>24.6666666666667</v>
      </c>
      <c r="AB6" s="254" t="n">
        <f aca="false">'Price_Technical Assumption'!AC7</f>
        <v>25.6666666666667</v>
      </c>
      <c r="AC6" s="254" t="n">
        <f aca="false">'Price_Technical Assumption'!AD7</f>
        <v>26.6666666666667</v>
      </c>
      <c r="AD6" s="254" t="n">
        <f aca="false">'Price_Technical Assumption'!AE7</f>
        <v>27.6666666666667</v>
      </c>
      <c r="AE6" s="254" t="n">
        <f aca="false">'Price_Technical Assumption'!AF7</f>
        <v>28.6666666666667</v>
      </c>
      <c r="AF6" s="254" t="n">
        <f aca="false">'Price_Technical Assumption'!AG7</f>
        <v>29.6666666666667</v>
      </c>
      <c r="AG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382</v>
      </c>
      <c r="B7" s="303"/>
      <c r="C7" s="303" t="n">
        <f aca="false">'Price_Technical Assumption'!D8</f>
        <v>2001</v>
      </c>
      <c r="D7" s="303" t="n">
        <f aca="false">'Price_Technical Assumption'!E8</f>
        <v>2002</v>
      </c>
      <c r="E7" s="303" t="n">
        <f aca="false">'Price_Technical Assumption'!F8</f>
        <v>2003</v>
      </c>
      <c r="F7" s="303" t="n">
        <f aca="false">'Price_Technical Assumption'!G8</f>
        <v>2004</v>
      </c>
      <c r="G7" s="303" t="n">
        <f aca="false">'Price_Technical Assumption'!H8</f>
        <v>2005</v>
      </c>
      <c r="H7" s="303" t="n">
        <f aca="false">'Price_Technical Assumption'!I8</f>
        <v>2006</v>
      </c>
      <c r="I7" s="303" t="n">
        <f aca="false">'Price_Technical Assumption'!J8</f>
        <v>2007</v>
      </c>
      <c r="J7" s="303" t="n">
        <f aca="false">'Price_Technical Assumption'!K8</f>
        <v>2008</v>
      </c>
      <c r="K7" s="303" t="n">
        <f aca="false">'Price_Technical Assumption'!L8</f>
        <v>2009</v>
      </c>
      <c r="L7" s="303" t="n">
        <f aca="false">'Price_Technical Assumption'!M8</f>
        <v>2010</v>
      </c>
      <c r="M7" s="303" t="n">
        <f aca="false">'Price_Technical Assumption'!N8</f>
        <v>2011</v>
      </c>
      <c r="N7" s="303" t="n">
        <f aca="false">'Price_Technical Assumption'!O8</f>
        <v>2012</v>
      </c>
      <c r="O7" s="303" t="n">
        <f aca="false">'Price_Technical Assumption'!P8</f>
        <v>2013</v>
      </c>
      <c r="P7" s="303" t="n">
        <f aca="false">'Price_Technical Assumption'!Q8</f>
        <v>2014</v>
      </c>
      <c r="Q7" s="303" t="n">
        <f aca="false">'Price_Technical Assumption'!R8</f>
        <v>2015</v>
      </c>
      <c r="R7" s="303" t="n">
        <f aca="false">'Price_Technical Assumption'!S8</f>
        <v>2016</v>
      </c>
      <c r="S7" s="303" t="n">
        <f aca="false">'Price_Technical Assumption'!T8</f>
        <v>2017</v>
      </c>
      <c r="T7" s="303" t="n">
        <f aca="false">'Price_Technical Assumption'!U8</f>
        <v>2018</v>
      </c>
      <c r="U7" s="303" t="n">
        <f aca="false">'Price_Technical Assumption'!V8</f>
        <v>2019</v>
      </c>
      <c r="V7" s="303" t="n">
        <f aca="false">'Price_Technical Assumption'!W8</f>
        <v>2020</v>
      </c>
      <c r="W7" s="303" t="n">
        <f aca="false">'Price_Technical Assumption'!X8</f>
        <v>2021</v>
      </c>
      <c r="X7" s="303" t="n">
        <f aca="false">'Price_Technical Assumption'!Y8</f>
        <v>2022</v>
      </c>
      <c r="Y7" s="303" t="n">
        <f aca="false">'Price_Technical Assumption'!Z8</f>
        <v>2023</v>
      </c>
      <c r="Z7" s="303" t="n">
        <f aca="false">'Price_Technical Assumption'!AA8</f>
        <v>2024</v>
      </c>
      <c r="AA7" s="303" t="n">
        <f aca="false">'Price_Technical Assumption'!AB8</f>
        <v>2025</v>
      </c>
      <c r="AB7" s="303" t="n">
        <f aca="false">'Price_Technical Assumption'!AC8</f>
        <v>2026</v>
      </c>
      <c r="AC7" s="303" t="n">
        <f aca="false">'Price_Technical Assumption'!AD8</f>
        <v>2027</v>
      </c>
      <c r="AD7" s="303" t="n">
        <f aca="false">'Price_Technical Assumption'!AE8</f>
        <v>2028</v>
      </c>
      <c r="AE7" s="303" t="n">
        <f aca="false">'Price_Technical Assumption'!AF8</f>
        <v>2029</v>
      </c>
      <c r="AF7" s="303" t="n">
        <f aca="false">'Price_Technical Assumption'!AG8</f>
        <v>2030</v>
      </c>
      <c r="AG7" s="303" t="n">
        <f aca="false">'Price_Technical Assumption'!AH8</f>
        <v>2031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customFormat="false" ht="12.75" hidden="false" customHeight="false" outlineLevel="0" collapsed="false">
      <c r="A8" s="304"/>
      <c r="C8" s="305" t="n">
        <v>37256</v>
      </c>
      <c r="D8" s="305" t="n">
        <v>37621</v>
      </c>
      <c r="E8" s="305" t="n">
        <v>37986</v>
      </c>
      <c r="F8" s="305" t="n">
        <v>38352</v>
      </c>
      <c r="G8" s="305" t="n">
        <v>38717</v>
      </c>
      <c r="H8" s="305" t="n">
        <v>39082</v>
      </c>
      <c r="I8" s="305" t="n">
        <v>39447</v>
      </c>
      <c r="J8" s="305" t="n">
        <v>39813</v>
      </c>
      <c r="K8" s="305" t="n">
        <v>40178</v>
      </c>
      <c r="L8" s="305" t="n">
        <v>40543</v>
      </c>
      <c r="M8" s="305" t="n">
        <v>40908</v>
      </c>
      <c r="N8" s="305" t="n">
        <v>41274</v>
      </c>
      <c r="O8" s="305" t="n">
        <v>41639</v>
      </c>
      <c r="P8" s="305" t="n">
        <v>42004</v>
      </c>
      <c r="Q8" s="305" t="n">
        <v>42369</v>
      </c>
      <c r="R8" s="305" t="n">
        <v>42735</v>
      </c>
      <c r="S8" s="305" t="n">
        <v>43100</v>
      </c>
      <c r="T8" s="305" t="n">
        <v>43465</v>
      </c>
      <c r="U8" s="305" t="n">
        <v>43830</v>
      </c>
      <c r="V8" s="305" t="n">
        <v>44196</v>
      </c>
      <c r="W8" s="305" t="n">
        <v>44561</v>
      </c>
      <c r="X8" s="305" t="n">
        <v>44926</v>
      </c>
      <c r="Y8" s="305" t="n">
        <v>45291</v>
      </c>
      <c r="Z8" s="305" t="n">
        <v>45657</v>
      </c>
      <c r="AA8" s="305" t="n">
        <v>46022</v>
      </c>
      <c r="AB8" s="305" t="n">
        <v>46387</v>
      </c>
      <c r="AC8" s="305" t="n">
        <v>46752</v>
      </c>
      <c r="AD8" s="305" t="n">
        <v>47118</v>
      </c>
      <c r="AE8" s="305" t="n">
        <v>47483</v>
      </c>
      <c r="AF8" s="305" t="n">
        <v>47848</v>
      </c>
      <c r="AG8" s="305" t="n">
        <v>48213</v>
      </c>
    </row>
    <row r="9" customFormat="false" ht="12.75" hidden="false" customHeight="false" outlineLevel="0" collapsed="false">
      <c r="A9" s="306" t="s">
        <v>383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</row>
    <row r="10" customFormat="false" ht="12.75" hidden="false" customHeight="false" outlineLevel="0" collapsed="false">
      <c r="A10" s="143" t="s">
        <v>384</v>
      </c>
      <c r="C10" s="307" t="n">
        <f aca="false">IF(C6&lt;Assumptions!$H$19,C6*12*'Price_Technical Assumption'!D21*Assumptions!$H$68,IF(AND(B6&lt;Assumptions!$H$19,C6&gt;Assumptions!$H$19),(1-$C$6)*12*'Price_Technical Assumption'!D21*Assumptions!$H$68,0))</f>
        <v>17813.8117803963</v>
      </c>
      <c r="D10" s="307" t="n">
        <f aca="false">IF(D6&lt;Assumptions!$H$19,12*'Price_Technical Assumption'!E21*Assumptions!$H$68,IF(AND(C6&lt;Assumptions!$H$19,D6&gt;Assumptions!$H$19),(1-$C$6)*12*'Price_Technical Assumption'!E21*Assumptions!$H$68,0))</f>
        <v>26720.7176705945</v>
      </c>
      <c r="E10" s="307" t="n">
        <f aca="false">IF(E6&lt;Assumptions!$H$19,12*'Price_Technical Assumption'!F21*Assumptions!$H$68,IF(AND(D6&lt;Assumptions!$H$19,E6&gt;Assumptions!$H$19),(1-$C$6)*12*'Price_Technical Assumption'!F21*Assumptions!$H$68,0))</f>
        <v>26720.7176705945</v>
      </c>
      <c r="F10" s="307" t="n">
        <f aca="false">IF(F6&lt;Assumptions!$H$19,12*'Price_Technical Assumption'!G21*Assumptions!$H$68,IF(AND(E6&lt;Assumptions!$H$19,F6&gt;Assumptions!$H$19),(1-$C$6)*12*'Price_Technical Assumption'!G21*Assumptions!$H$68,0))</f>
        <v>26720.7176705945</v>
      </c>
      <c r="G10" s="307" t="n">
        <f aca="false">IF(G6&lt;Assumptions!$H$19,12*'Price_Technical Assumption'!H21*Assumptions!$H$68,IF(AND(F6&lt;Assumptions!$H$19,G6&gt;Assumptions!$H$19),(1-$C$6)*12*'Price_Technical Assumption'!H21*Assumptions!$H$68,0))</f>
        <v>26720.7176705945</v>
      </c>
      <c r="H10" s="307" t="n">
        <f aca="false">IF(H6&lt;Assumptions!$H$19,12*'Price_Technical Assumption'!I21*Assumptions!$H$68,IF(AND(G6&lt;Assumptions!$H$19,H6&gt;Assumptions!$H$19),(1-$C$6)*12*'Price_Technical Assumption'!I21*Assumptions!$H$68,0))</f>
        <v>26720.7176705945</v>
      </c>
      <c r="I10" s="307" t="n">
        <f aca="false">IF(I6&lt;Assumptions!$H$19,12*'Price_Technical Assumption'!J21*Assumptions!$H$68,IF(AND(H6&lt;Assumptions!$H$19,I6&gt;Assumptions!$H$19),(1-$C$6)*12*'Price_Technical Assumption'!J21*Assumptions!$H$68,0))</f>
        <v>26720.7176705945</v>
      </c>
      <c r="J10" s="307" t="n">
        <f aca="false">IF(J6&lt;Assumptions!$H$19,12*'Price_Technical Assumption'!K21*Assumptions!$H$68,IF(AND(I6&lt;Assumptions!$H$19,J6&gt;Assumptions!$H$19),(1-$C$6)*12*'Price_Technical Assumption'!K21*Assumptions!$H$68,0))</f>
        <v>26720.7176705945</v>
      </c>
      <c r="K10" s="307" t="n">
        <f aca="false">IF(K6&lt;Assumptions!$H$19,12*'Price_Technical Assumption'!L21*Assumptions!$H$68,IF(AND(J6&lt;Assumptions!$H$19,K6&gt;Assumptions!$H$19),(1-$C$6)*12*'Price_Technical Assumption'!L21*Assumptions!$H$68,0))</f>
        <v>26720.7176705945</v>
      </c>
      <c r="L10" s="307" t="n">
        <f aca="false">IF(L6&lt;Assumptions!$H$19,12*'Price_Technical Assumption'!M21*Assumptions!$H$68,IF(AND(K6&lt;Assumptions!$H$19,L6&gt;Assumptions!$H$19),(1-$C$6)*12*'Price_Technical Assumption'!M21*Assumptions!$H$68,0))</f>
        <v>26720.7176705945</v>
      </c>
      <c r="M10" s="307" t="n">
        <f aca="false">IF(M6&lt;Assumptions!$H$19,12*'Price_Technical Assumption'!N21*Assumptions!$H$68,IF(AND(L6&lt;Assumptions!$H$19,M6&gt;Assumptions!$H$19),(1-$C$6)*12*'Price_Technical Assumption'!N21*Assumptions!$H$68,0))</f>
        <v>26720.7176705945</v>
      </c>
      <c r="N10" s="307" t="n">
        <f aca="false">IF(N6&lt;Assumptions!$H$19,12*'Price_Technical Assumption'!O21*Assumptions!$H$68,IF(AND(M6&lt;Assumptions!$H$19,N6&gt;Assumptions!$H$19),(1-$C$6)*12*'Price_Technical Assumption'!O21*Assumptions!$H$68,0))</f>
        <v>26720.7176705945</v>
      </c>
      <c r="O10" s="307" t="n">
        <f aca="false">IF(O6&lt;Assumptions!$H$19,12*'Price_Technical Assumption'!P21*Assumptions!$H$68,IF(AND(N6&lt;Assumptions!$H$19,O6&gt;Assumptions!$H$19),(1-$C$6)*12*'Price_Technical Assumption'!P21*Assumptions!$H$68,0))</f>
        <v>26720.7176705945</v>
      </c>
      <c r="P10" s="307" t="n">
        <f aca="false">IF(P6&lt;Assumptions!$H$19,12*'Price_Technical Assumption'!Q21*Assumptions!$H$68,IF(AND(O6&lt;Assumptions!$H$19,P6&gt;Assumptions!$H$19),(1-$C$6)*12*'Price_Technical Assumption'!Q21*Assumptions!$H$68,0))</f>
        <v>26720.7176705945</v>
      </c>
      <c r="Q10" s="307" t="n">
        <f aca="false">IF(Q6&lt;Assumptions!$H$19,12*'Price_Technical Assumption'!R21*Assumptions!$H$68,IF(AND(P6&lt;Assumptions!$H$19,Q6&gt;Assumptions!$H$19),(1-$C$6)*12*'Price_Technical Assumption'!R21*Assumptions!$H$68,0))</f>
        <v>26720.7176705945</v>
      </c>
      <c r="R10" s="307" t="n">
        <f aca="false">IF(R6&lt;Assumptions!$H$19,12*'Price_Technical Assumption'!S21*Assumptions!$H$68,IF(AND(Q6&lt;Assumptions!$H$19,R6&gt;Assumptions!$H$19),(1-$C$6)*12*'Price_Technical Assumption'!S21*Assumptions!$H$68,0))</f>
        <v>26720.7176705945</v>
      </c>
      <c r="S10" s="307" t="n">
        <f aca="false">IF(S6&lt;Assumptions!$H$19,12*'Price_Technical Assumption'!T21*Assumptions!$H$68,IF(AND(R6&lt;Assumptions!$H$19,S6&gt;Assumptions!$H$19),(1-$C$6)*12*'Price_Technical Assumption'!T21*Assumptions!$H$68,0))</f>
        <v>26720.7176705945</v>
      </c>
      <c r="T10" s="307" t="n">
        <f aca="false">IF(T6&lt;Assumptions!$H$19,12*'Price_Technical Assumption'!U21*Assumptions!$H$68,IF(AND(S6&lt;Assumptions!$H$19,T6&gt;Assumptions!$H$19),(1-$C$6)*12*'Price_Technical Assumption'!U21*Assumptions!$H$68,0))</f>
        <v>26720.7176705945</v>
      </c>
      <c r="U10" s="307" t="n">
        <f aca="false">IF(U6&lt;Assumptions!$H$19,12*'Price_Technical Assumption'!V21*Assumptions!$H$68,IF(AND(T6&lt;Assumptions!$H$19,U6&gt;Assumptions!$H$19),(1-$C$6)*12*'Price_Technical Assumption'!V21*Assumptions!$H$68,0))</f>
        <v>26720.7176705945</v>
      </c>
      <c r="V10" s="307" t="n">
        <f aca="false">IF(V6&lt;Assumptions!$H$19,12*'Price_Technical Assumption'!W21*Assumptions!$H$68,IF(AND(U6&lt;Assumptions!$H$19,V6&gt;Assumptions!$H$19),(1-$C$6)*12*'Price_Technical Assumption'!W21*Assumptions!$H$68,0))</f>
        <v>26720.7176705945</v>
      </c>
      <c r="W10" s="307" t="n">
        <f aca="false">IF(W6&lt;Assumptions!$H$19,12*'Price_Technical Assumption'!X21*Assumptions!$H$68,IF(AND(V6&lt;Assumptions!$H$19,W6&gt;Assumptions!$H$19),(1-$C$6)*12*'Price_Technical Assumption'!X21*Assumptions!$H$68,0))</f>
        <v>26720.7176705945</v>
      </c>
      <c r="X10" s="307" t="n">
        <f aca="false">IF(X6&lt;Assumptions!$H$19,12*'Price_Technical Assumption'!Y21*Assumptions!$H$68,IF(AND(W6&lt;Assumptions!$H$19,X6&gt;Assumptions!$H$19),(1-$C$6)*12*'Price_Technical Assumption'!Y21*Assumptions!$H$68,0))</f>
        <v>26720.7176705945</v>
      </c>
      <c r="Y10" s="307" t="n">
        <f aca="false">IF(Y6&lt;Assumptions!$H$19,12*'Price_Technical Assumption'!Z21*Assumptions!$H$68,IF(AND(X6&lt;Assumptions!$H$19,Y6&gt;Assumptions!$H$19),(1-$C$6)*12*'Price_Technical Assumption'!Z21*Assumptions!$H$68,0))</f>
        <v>26720.7176705945</v>
      </c>
      <c r="Z10" s="307" t="n">
        <f aca="false">IF(Z6&lt;Assumptions!$H$19,12*'Price_Technical Assumption'!AA21*Assumptions!$H$68,IF(AND(Y6&lt;Assumptions!$H$19,Z6&gt;Assumptions!$H$19),(1-$C$6)*12*'Price_Technical Assumption'!AA21*Assumptions!$H$68,0))</f>
        <v>26720.7176705945</v>
      </c>
      <c r="AA10" s="307" t="n">
        <f aca="false">IF(AA6&lt;Assumptions!$H$19,12*'Price_Technical Assumption'!AB21*Assumptions!$H$68,IF(AND(Z6&lt;Assumptions!$H$19,AA6&gt;Assumptions!$H$19),(1-$C$6)*12*'Price_Technical Assumption'!AB21*Assumptions!$H$68,0))</f>
        <v>26720.7176705945</v>
      </c>
      <c r="AB10" s="307" t="n">
        <f aca="false">IF(AB6&lt;Assumptions!$H$19,12*'Price_Technical Assumption'!AC21*Assumptions!$H$68,IF(AND(AA6&lt;Assumptions!$H$19,AB6&gt;Assumptions!$H$19),(1-$C$6)*12*'Price_Technical Assumption'!AC21*Assumptions!$H$68,0))</f>
        <v>26720.7176705945</v>
      </c>
      <c r="AC10" s="307" t="n">
        <f aca="false">IF(AC6&lt;Assumptions!$H$19,12*'Price_Technical Assumption'!AD21*Assumptions!$H$68,IF(AND(AB6&lt;Assumptions!$H$19,AC6&gt;Assumptions!$H$19),(1-$C$6)*12*'Price_Technical Assumption'!AD21*Assumptions!$H$68,0))</f>
        <v>26720.7176705945</v>
      </c>
      <c r="AD10" s="307" t="n">
        <f aca="false">IF(AD6&lt;Assumptions!$H$19,12*'Price_Technical Assumption'!AE21*Assumptions!$H$68,IF(AND(AC6&lt;Assumptions!$H$19,AD6&gt;Assumptions!$H$19),(1-$C$6)*12*'Price_Technical Assumption'!AE21*Assumptions!$H$68,0))</f>
        <v>26720.7176705945</v>
      </c>
      <c r="AE10" s="307" t="n">
        <f aca="false">IF(AE6&lt;Assumptions!$H$19,12*'Price_Technical Assumption'!AF21*Assumptions!$H$68,IF(AND(AD6&lt;Assumptions!$H$19,AE6&gt;Assumptions!$H$19),(1-$C$6)*12*'Price_Technical Assumption'!AF21*Assumptions!$H$68,0))</f>
        <v>26720.7176705945</v>
      </c>
      <c r="AF10" s="307" t="n">
        <f aca="false">IF(AF6&lt;Assumptions!$H$19,12*'Price_Technical Assumption'!AG21*Assumptions!$H$68,IF(AND(AE6&lt;Assumptions!$H$19,AF6&gt;Assumptions!$H$19),(1-$C$6)*12*'Price_Technical Assumption'!AG21*Assumptions!$H$68,0))</f>
        <v>26720.7176705945</v>
      </c>
      <c r="AG10" s="307" t="n">
        <f aca="false">IF(AG6&lt;Assumptions!$H$19,12*'Price_Technical Assumption'!AH21*Assumptions!$H$68,IF(AND(AF6&lt;Assumptions!$H$19,AG6&gt;Assumptions!$H$19),(1-$C$6)*12*'Price_Technical Assumption'!AH21*Assumptions!$H$68,0))</f>
        <v>10090.17625057</v>
      </c>
    </row>
    <row r="11" customFormat="false" ht="12.75" hidden="false" customHeight="false" outlineLevel="0" collapsed="false">
      <c r="A11" s="143" t="s">
        <v>385</v>
      </c>
      <c r="C11" s="307" t="n">
        <f aca="false">IF(Assumptions!$W$14="Pass-through",0,'Price_Technical Assumption'!D38*Assumptions!$H$62/1000)</f>
        <v>0</v>
      </c>
      <c r="D11" s="307" t="n">
        <f aca="false">IF(Assumptions!$W$14="Pass-through",0,'Price_Technical Assumption'!E38*Assumptions!$H$62/1000)</f>
        <v>0</v>
      </c>
      <c r="E11" s="307" t="n">
        <f aca="false">IF(Assumptions!$W$14="Pass-through",0,'Price_Technical Assumption'!F38*Assumptions!$H$62/1000)</f>
        <v>0</v>
      </c>
      <c r="F11" s="307" t="n">
        <f aca="false">IF(Assumptions!$W$14="Pass-through",0,'Price_Technical Assumption'!G38*Assumptions!$H$62/1000)</f>
        <v>0</v>
      </c>
      <c r="G11" s="307" t="n">
        <f aca="false">IF(Assumptions!$W$14="Pass-through",0,'Price_Technical Assumption'!H38*Assumptions!$H$62/1000)</f>
        <v>0</v>
      </c>
      <c r="H11" s="307" t="n">
        <f aca="false">IF(Assumptions!$W$14="Pass-through",0,'Price_Technical Assumption'!I38*Assumptions!$H$62/1000)</f>
        <v>0</v>
      </c>
      <c r="I11" s="307" t="n">
        <f aca="false">IF(Assumptions!$W$14="Pass-through",0,'Price_Technical Assumption'!J38*Assumptions!$H$62/1000)</f>
        <v>0</v>
      </c>
      <c r="J11" s="307" t="n">
        <f aca="false">IF(Assumptions!$W$14="Pass-through",0,'Price_Technical Assumption'!K38*Assumptions!$H$62/1000)</f>
        <v>0</v>
      </c>
      <c r="K11" s="307" t="n">
        <f aca="false">IF(Assumptions!$W$14="Pass-through",0,'Price_Technical Assumption'!L38*Assumptions!$H$62/1000)</f>
        <v>0</v>
      </c>
      <c r="L11" s="307" t="n">
        <f aca="false">IF(Assumptions!$W$14="Pass-through",0,'Price_Technical Assumption'!M38*Assumptions!$H$62/1000)</f>
        <v>0</v>
      </c>
      <c r="M11" s="307" t="n">
        <f aca="false">IF(Assumptions!$W$14="Pass-through",0,'Price_Technical Assumption'!N38*Assumptions!$H$62/1000)</f>
        <v>0</v>
      </c>
      <c r="N11" s="307" t="n">
        <f aca="false">IF(Assumptions!$W$14="Pass-through",0,'Price_Technical Assumption'!O38*Assumptions!$H$62/1000)</f>
        <v>0</v>
      </c>
      <c r="O11" s="307" t="n">
        <f aca="false">IF(Assumptions!$W$14="Pass-through",0,'Price_Technical Assumption'!P38*Assumptions!$H$62/1000)</f>
        <v>0</v>
      </c>
      <c r="P11" s="307" t="n">
        <f aca="false">IF(Assumptions!$W$14="Pass-through",0,'Price_Technical Assumption'!Q38*Assumptions!$H$62/1000)</f>
        <v>0</v>
      </c>
      <c r="Q11" s="307" t="n">
        <f aca="false">IF(Assumptions!$W$14="Pass-through",0,'Price_Technical Assumption'!R38*Assumptions!$H$62/1000)</f>
        <v>0</v>
      </c>
      <c r="R11" s="307" t="n">
        <f aca="false">IF(Assumptions!$W$14="Pass-through",0,'Price_Technical Assumption'!S38*Assumptions!$H$62/1000)</f>
        <v>0</v>
      </c>
      <c r="S11" s="307" t="n">
        <f aca="false">IF(Assumptions!$W$14="Pass-through",0,'Price_Technical Assumption'!T38*Assumptions!$H$62/1000)</f>
        <v>0</v>
      </c>
      <c r="T11" s="307" t="n">
        <f aca="false">IF(Assumptions!$W$14="Pass-through",0,'Price_Technical Assumption'!U38*Assumptions!$H$62/1000)</f>
        <v>0</v>
      </c>
      <c r="U11" s="307" t="n">
        <f aca="false">IF(Assumptions!$W$14="Pass-through",0,'Price_Technical Assumption'!V38*Assumptions!$H$62/1000)</f>
        <v>0</v>
      </c>
      <c r="V11" s="307" t="n">
        <f aca="false">IF(Assumptions!$W$14="Pass-through",0,'Price_Technical Assumption'!W38*Assumptions!$H$62/1000)</f>
        <v>0</v>
      </c>
      <c r="W11" s="307" t="n">
        <f aca="false">IF(Assumptions!$W$14="Pass-through",0,'Price_Technical Assumption'!X38*Assumptions!$H$62/1000)</f>
        <v>0</v>
      </c>
      <c r="X11" s="307" t="n">
        <f aca="false">IF(Assumptions!$W$14="Pass-through",0,'Price_Technical Assumption'!Y38*Assumptions!$H$62/1000)</f>
        <v>0</v>
      </c>
      <c r="Y11" s="307" t="n">
        <f aca="false">IF(Assumptions!$W$14="Pass-through",0,'Price_Technical Assumption'!Z38*Assumptions!$H$62/1000)</f>
        <v>0</v>
      </c>
      <c r="Z11" s="307" t="n">
        <f aca="false">IF(Assumptions!$W$14="Pass-through",0,'Price_Technical Assumption'!AA38*Assumptions!$H$62/1000)</f>
        <v>0</v>
      </c>
      <c r="AA11" s="307" t="n">
        <f aca="false">IF(Assumptions!$W$14="Pass-through",0,'Price_Technical Assumption'!AB38*Assumptions!$H$62/1000)</f>
        <v>0</v>
      </c>
      <c r="AB11" s="307" t="n">
        <f aca="false">IF(Assumptions!$W$14="Pass-through",0,'Price_Technical Assumption'!AC38*Assumptions!$H$62/1000)</f>
        <v>0</v>
      </c>
      <c r="AC11" s="307" t="n">
        <f aca="false">IF(Assumptions!$W$14="Pass-through",0,'Price_Technical Assumption'!AD38*Assumptions!$H$62/1000)</f>
        <v>0</v>
      </c>
      <c r="AD11" s="307" t="n">
        <f aca="false">IF(Assumptions!$W$14="Pass-through",0,'Price_Technical Assumption'!AE38*Assumptions!$H$62/1000)</f>
        <v>0</v>
      </c>
      <c r="AE11" s="307" t="n">
        <f aca="false">IF(Assumptions!$W$14="Pass-through",0,'Price_Technical Assumption'!AF38*Assumptions!$H$62/1000)</f>
        <v>0</v>
      </c>
      <c r="AF11" s="307" t="n">
        <f aca="false">IF(Assumptions!$W$14="Pass-through",0,'Price_Technical Assumption'!AG38*Assumptions!$H$62/1000)</f>
        <v>0</v>
      </c>
      <c r="AG11" s="307" t="n">
        <f aca="false">IF(Assumptions!$W$14="Pass-through",0,'Price_Technical Assumption'!AH38*Assumptions!$H$62/1000)</f>
        <v>0</v>
      </c>
    </row>
    <row r="12" customFormat="false" ht="12.75" hidden="false" customHeight="false" outlineLevel="0" collapsed="false">
      <c r="A12" s="308" t="s">
        <v>386</v>
      </c>
      <c r="C12" s="309" t="n">
        <v>0</v>
      </c>
      <c r="D12" s="309" t="n">
        <v>0</v>
      </c>
      <c r="E12" s="309" t="n">
        <v>0</v>
      </c>
      <c r="F12" s="309" t="n">
        <v>0</v>
      </c>
      <c r="G12" s="309" t="n">
        <v>0</v>
      </c>
      <c r="H12" s="309" t="n">
        <v>0</v>
      </c>
      <c r="I12" s="309" t="n">
        <v>0</v>
      </c>
      <c r="J12" s="309" t="n">
        <v>0</v>
      </c>
      <c r="K12" s="309" t="n">
        <v>0</v>
      </c>
      <c r="L12" s="309" t="n">
        <v>0</v>
      </c>
      <c r="M12" s="309" t="n">
        <v>0</v>
      </c>
      <c r="N12" s="309" t="n">
        <v>0</v>
      </c>
      <c r="O12" s="309" t="n">
        <v>0</v>
      </c>
      <c r="P12" s="309" t="n">
        <v>0</v>
      </c>
      <c r="Q12" s="309" t="n">
        <v>0</v>
      </c>
      <c r="R12" s="309" t="n">
        <v>0</v>
      </c>
      <c r="S12" s="309" t="n">
        <v>0</v>
      </c>
      <c r="T12" s="309" t="n">
        <v>0</v>
      </c>
      <c r="U12" s="309" t="n">
        <v>0</v>
      </c>
      <c r="V12" s="309" t="n">
        <v>0</v>
      </c>
      <c r="W12" s="309" t="n">
        <v>0</v>
      </c>
      <c r="X12" s="309" t="n">
        <v>0</v>
      </c>
      <c r="Y12" s="309" t="n">
        <v>0</v>
      </c>
      <c r="Z12" s="309" t="n">
        <v>0</v>
      </c>
      <c r="AA12" s="309" t="n">
        <v>0</v>
      </c>
      <c r="AB12" s="309" t="n">
        <v>0</v>
      </c>
      <c r="AC12" s="309" t="n">
        <v>0</v>
      </c>
      <c r="AD12" s="309" t="n">
        <v>0</v>
      </c>
      <c r="AE12" s="309" t="n">
        <v>0</v>
      </c>
      <c r="AF12" s="309" t="n">
        <v>0</v>
      </c>
      <c r="AG12" s="309" t="n">
        <v>0</v>
      </c>
    </row>
    <row r="13" customFormat="false" ht="12.75" hidden="false" customHeight="false" outlineLevel="0" collapsed="false">
      <c r="A13" s="310" t="s">
        <v>387</v>
      </c>
      <c r="C13" s="282" t="n">
        <f aca="false">SUM(C10:C12)</f>
        <v>17813.8117803963</v>
      </c>
      <c r="D13" s="282" t="n">
        <f aca="false">SUM(D10:D12)</f>
        <v>26720.7176705945</v>
      </c>
      <c r="E13" s="282" t="n">
        <f aca="false">SUM(E10:E12)</f>
        <v>26720.7176705945</v>
      </c>
      <c r="F13" s="282" t="n">
        <f aca="false">SUM(F10:F12)</f>
        <v>26720.7176705945</v>
      </c>
      <c r="G13" s="282" t="n">
        <f aca="false">SUM(G10:G12)</f>
        <v>26720.7176705945</v>
      </c>
      <c r="H13" s="282" t="n">
        <f aca="false">SUM(H10:H12)</f>
        <v>26720.7176705945</v>
      </c>
      <c r="I13" s="282" t="n">
        <f aca="false">SUM(I10:I12)</f>
        <v>26720.7176705945</v>
      </c>
      <c r="J13" s="282" t="n">
        <f aca="false">SUM(J10:J12)</f>
        <v>26720.7176705945</v>
      </c>
      <c r="K13" s="282" t="n">
        <f aca="false">SUM(K10:K12)</f>
        <v>26720.7176705945</v>
      </c>
      <c r="L13" s="282" t="n">
        <f aca="false">SUM(L10:L12)</f>
        <v>26720.7176705945</v>
      </c>
      <c r="M13" s="282" t="n">
        <f aca="false">SUM(M10:M12)</f>
        <v>26720.7176705945</v>
      </c>
      <c r="N13" s="282" t="n">
        <f aca="false">SUM(N10:N12)</f>
        <v>26720.7176705945</v>
      </c>
      <c r="O13" s="282" t="n">
        <f aca="false">SUM(O10:O12)</f>
        <v>26720.7176705945</v>
      </c>
      <c r="P13" s="282" t="n">
        <f aca="false">SUM(P10:P12)</f>
        <v>26720.7176705945</v>
      </c>
      <c r="Q13" s="282" t="n">
        <f aca="false">SUM(Q10:Q12)</f>
        <v>26720.7176705945</v>
      </c>
      <c r="R13" s="282" t="n">
        <f aca="false">SUM(R10:R12)</f>
        <v>26720.7176705945</v>
      </c>
      <c r="S13" s="282" t="n">
        <f aca="false">SUM(S10:S12)</f>
        <v>26720.7176705945</v>
      </c>
      <c r="T13" s="282" t="n">
        <f aca="false">SUM(T10:T12)</f>
        <v>26720.7176705945</v>
      </c>
      <c r="U13" s="282" t="n">
        <f aca="false">SUM(U10:U12)</f>
        <v>26720.7176705945</v>
      </c>
      <c r="V13" s="282" t="n">
        <f aca="false">SUM(V10:V12)</f>
        <v>26720.7176705945</v>
      </c>
      <c r="W13" s="282" t="n">
        <f aca="false">SUM(W10:W12)</f>
        <v>26720.7176705945</v>
      </c>
      <c r="X13" s="282" t="n">
        <f aca="false">SUM(X10:X12)</f>
        <v>26720.7176705945</v>
      </c>
      <c r="Y13" s="282" t="n">
        <f aca="false">SUM(Y10:Y12)</f>
        <v>26720.7176705945</v>
      </c>
      <c r="Z13" s="282" t="n">
        <f aca="false">SUM(Z10:Z12)</f>
        <v>26720.7176705945</v>
      </c>
      <c r="AA13" s="282" t="n">
        <f aca="false">SUM(AA10:AA12)</f>
        <v>26720.7176705945</v>
      </c>
      <c r="AB13" s="282" t="n">
        <f aca="false">SUM(AB10:AB12)</f>
        <v>26720.7176705945</v>
      </c>
      <c r="AC13" s="282" t="n">
        <f aca="false">SUM(AC10:AC12)</f>
        <v>26720.7176705945</v>
      </c>
      <c r="AD13" s="282" t="n">
        <f aca="false">SUM(AD10:AD12)</f>
        <v>26720.7176705945</v>
      </c>
      <c r="AE13" s="282" t="n">
        <f aca="false">SUM(AE10:AE12)</f>
        <v>26720.7176705945</v>
      </c>
      <c r="AF13" s="282" t="n">
        <f aca="false">SUM(AF10:AF12)</f>
        <v>26720.7176705945</v>
      </c>
      <c r="AG13" s="282" t="n">
        <f aca="false">SUM(AG10:AG12)</f>
        <v>10090.17625057</v>
      </c>
    </row>
    <row r="14" customFormat="false" ht="12.75" hidden="false" customHeight="false" outlineLevel="0" collapsed="false">
      <c r="A14" s="110"/>
      <c r="Y14" s="1"/>
      <c r="Z14" s="1"/>
    </row>
    <row r="15" customFormat="false" ht="12.75" hidden="false" customHeight="false" outlineLevel="0" collapsed="false">
      <c r="A15" s="306" t="s">
        <v>388</v>
      </c>
      <c r="Y15" s="1"/>
      <c r="Z15" s="1"/>
    </row>
    <row r="16" customFormat="false" ht="12.75" hidden="false" customHeight="false" outlineLevel="0" collapsed="false">
      <c r="A16" s="143" t="s">
        <v>389</v>
      </c>
      <c r="C16" s="311" t="n">
        <f aca="false">IF(Assumptions!$W$14="Pass-through",0,Assumptions!$H$62*'Price_Technical Assumption'!D30*'Price_Technical Assumption'!D44/1000000)</f>
        <v>0</v>
      </c>
      <c r="D16" s="311" t="n">
        <f aca="false">IF(Assumptions!$W$14="Pass-through",0,Assumptions!$H$62*'Price_Technical Assumption'!E30*'Price_Technical Assumption'!E44/1000000)</f>
        <v>0</v>
      </c>
      <c r="E16" s="311" t="n">
        <f aca="false">IF(Assumptions!$W$14="Pass-through",0,Assumptions!$H$62*'Price_Technical Assumption'!F30*'Price_Technical Assumption'!F44/1000000)</f>
        <v>0</v>
      </c>
      <c r="F16" s="311" t="n">
        <f aca="false">IF(Assumptions!$W$14="Pass-through",0,Assumptions!$H$62*'Price_Technical Assumption'!G30*'Price_Technical Assumption'!G44/1000000)</f>
        <v>0</v>
      </c>
      <c r="G16" s="311" t="n">
        <f aca="false">IF(Assumptions!$W$14="Pass-through",0,Assumptions!$H$62*'Price_Technical Assumption'!H30*'Price_Technical Assumption'!H44/1000000)</f>
        <v>0</v>
      </c>
      <c r="H16" s="311" t="n">
        <f aca="false">IF(Assumptions!$W$14="Pass-through",0,Assumptions!$H$62*'Price_Technical Assumption'!I30*'Price_Technical Assumption'!I44/1000000)</f>
        <v>0</v>
      </c>
      <c r="I16" s="311" t="n">
        <f aca="false">IF(Assumptions!$W$14="Pass-through",0,Assumptions!$H$62*'Price_Technical Assumption'!J30*'Price_Technical Assumption'!J44/1000000)</f>
        <v>0</v>
      </c>
      <c r="J16" s="311" t="n">
        <f aca="false">IF(Assumptions!$W$14="Pass-through",0,Assumptions!$H$62*'Price_Technical Assumption'!K30*'Price_Technical Assumption'!K44/1000000)</f>
        <v>0</v>
      </c>
      <c r="K16" s="311" t="n">
        <f aca="false">IF(Assumptions!$W$14="Pass-through",0,Assumptions!$H$62*'Price_Technical Assumption'!L30*'Price_Technical Assumption'!L44/1000000)</f>
        <v>0</v>
      </c>
      <c r="L16" s="311" t="n">
        <f aca="false">IF(Assumptions!$W$14="Pass-through",0,Assumptions!$H$62*'Price_Technical Assumption'!M30*'Price_Technical Assumption'!M44/1000000)</f>
        <v>0</v>
      </c>
      <c r="M16" s="311" t="n">
        <f aca="false">IF(Assumptions!$W$14="Pass-through",0,Assumptions!$H$62*'Price_Technical Assumption'!N30*'Price_Technical Assumption'!N44/1000000)</f>
        <v>0</v>
      </c>
      <c r="N16" s="311" t="n">
        <f aca="false">IF(Assumptions!$W$14="Pass-through",0,Assumptions!$H$62*'Price_Technical Assumption'!O30*'Price_Technical Assumption'!O44/1000000)</f>
        <v>0</v>
      </c>
      <c r="O16" s="311" t="n">
        <f aca="false">IF(Assumptions!$W$14="Pass-through",0,Assumptions!$H$62*'Price_Technical Assumption'!P30*'Price_Technical Assumption'!P44/1000000)</f>
        <v>0</v>
      </c>
      <c r="P16" s="311" t="n">
        <f aca="false">IF(Assumptions!$W$14="Pass-through",0,Assumptions!$H$62*'Price_Technical Assumption'!Q30*'Price_Technical Assumption'!Q44/1000000)</f>
        <v>0</v>
      </c>
      <c r="Q16" s="311" t="n">
        <f aca="false">IF(Assumptions!$W$14="Pass-through",0,Assumptions!$H$62*'Price_Technical Assumption'!R30*'Price_Technical Assumption'!R44/1000000)</f>
        <v>0</v>
      </c>
      <c r="R16" s="311" t="n">
        <f aca="false">IF(Assumptions!$W$14="Pass-through",0,Assumptions!$H$62*'Price_Technical Assumption'!S30*'Price_Technical Assumption'!S44/1000000)</f>
        <v>0</v>
      </c>
      <c r="S16" s="311" t="n">
        <f aca="false">IF(Assumptions!$W$14="Pass-through",0,Assumptions!$H$62*'Price_Technical Assumption'!T30*'Price_Technical Assumption'!T44/1000000)</f>
        <v>0</v>
      </c>
      <c r="T16" s="311" t="n">
        <f aca="false">IF(Assumptions!$W$14="Pass-through",0,Assumptions!$H$62*'Price_Technical Assumption'!U30*'Price_Technical Assumption'!U44/1000000)</f>
        <v>0</v>
      </c>
      <c r="U16" s="311" t="n">
        <f aca="false">IF(Assumptions!$W$14="Pass-through",0,Assumptions!$H$62*'Price_Technical Assumption'!V30*'Price_Technical Assumption'!V44/1000000)</f>
        <v>0</v>
      </c>
      <c r="V16" s="311" t="n">
        <f aca="false">IF(Assumptions!$W$14="Pass-through",0,Assumptions!$H$62*'Price_Technical Assumption'!W30*'Price_Technical Assumption'!W44/1000000)</f>
        <v>0</v>
      </c>
      <c r="W16" s="311" t="n">
        <f aca="false">IF(Assumptions!$W$14="Pass-through",0,Assumptions!$H$62*'Price_Technical Assumption'!X30*'Price_Technical Assumption'!X44/1000000)</f>
        <v>0</v>
      </c>
      <c r="X16" s="311" t="n">
        <f aca="false">IF(Assumptions!$W$14="Pass-through",0,Assumptions!$H$62*'Price_Technical Assumption'!Y30*'Price_Technical Assumption'!Y44/1000000)</f>
        <v>0</v>
      </c>
      <c r="Y16" s="311" t="n">
        <f aca="false">IF(Assumptions!$W$14="Pass-through",0,Assumptions!$H$62*'Price_Technical Assumption'!Z30*'Price_Technical Assumption'!Z44/1000000)</f>
        <v>0</v>
      </c>
      <c r="Z16" s="311" t="n">
        <f aca="false">IF(Assumptions!$W$14="Pass-through",0,Assumptions!$H$62*'Price_Technical Assumption'!AA30*'Price_Technical Assumption'!AA44/1000000)</f>
        <v>0</v>
      </c>
      <c r="AA16" s="311" t="n">
        <f aca="false">IF(Assumptions!$W$14="Pass-through",0,Assumptions!$H$62*'Price_Technical Assumption'!AB30*'Price_Technical Assumption'!AB44/1000000)</f>
        <v>0</v>
      </c>
      <c r="AB16" s="311" t="n">
        <f aca="false">IF(Assumptions!$W$14="Pass-through",0,Assumptions!$H$62*'Price_Technical Assumption'!AC30*'Price_Technical Assumption'!AC44/1000000)</f>
        <v>0</v>
      </c>
      <c r="AC16" s="311" t="n">
        <f aca="false">IF(Assumptions!$W$14="Pass-through",0,Assumptions!$H$62*'Price_Technical Assumption'!AD30*'Price_Technical Assumption'!AD44/1000000)</f>
        <v>0</v>
      </c>
      <c r="AD16" s="311" t="n">
        <f aca="false">IF(Assumptions!$W$14="Pass-through",0,Assumptions!$H$62*'Price_Technical Assumption'!AE30*'Price_Technical Assumption'!AE44/1000000)</f>
        <v>0</v>
      </c>
      <c r="AE16" s="311" t="n">
        <f aca="false">IF(Assumptions!$W$14="Pass-through",0,Assumptions!$H$62*'Price_Technical Assumption'!AF30*'Price_Technical Assumption'!AF44/1000000)</f>
        <v>0</v>
      </c>
      <c r="AF16" s="311" t="n">
        <f aca="false">IF(Assumptions!$W$14="Pass-through",0,Assumptions!$H$62*'Price_Technical Assumption'!AG30*'Price_Technical Assumption'!AG44/1000000)</f>
        <v>0</v>
      </c>
      <c r="AG16" s="311" t="n">
        <f aca="false">IF(Assumptions!$W$14="Pass-through",0,Assumptions!$H$62*'Price_Technical Assumption'!AH30*'Price_Technical Assumption'!AH44/1000000)</f>
        <v>0</v>
      </c>
    </row>
    <row r="17" customFormat="false" ht="12.75" hidden="false" customHeight="false" outlineLevel="0" collapsed="false">
      <c r="A17" s="143" t="s">
        <v>390</v>
      </c>
      <c r="C17" s="307" t="n">
        <f aca="false">Assumptions!$N19*C6</f>
        <v>729.090666666667</v>
      </c>
      <c r="D17" s="307" t="n">
        <f aca="false">Assumptions!$N19*(1+Assumptions!$N$11)</f>
        <v>1115.50872</v>
      </c>
      <c r="E17" s="307" t="n">
        <f aca="false">D17*(1+Assumptions!$N$11)</f>
        <v>1137.8188944</v>
      </c>
      <c r="F17" s="307" t="n">
        <f aca="false">E17*(1+Assumptions!$N$11)</f>
        <v>1160.575272288</v>
      </c>
      <c r="G17" s="307" t="n">
        <f aca="false">F17*(1+Assumptions!$N$11)</f>
        <v>1183.78677773376</v>
      </c>
      <c r="H17" s="307" t="n">
        <f aca="false">G17*(1+Assumptions!$N$11)</f>
        <v>1207.46251328844</v>
      </c>
      <c r="I17" s="307" t="n">
        <f aca="false">H17*(1+Assumptions!$N$11)</f>
        <v>1231.6117635542</v>
      </c>
      <c r="J17" s="307" t="n">
        <f aca="false">I17*(1+Assumptions!$N$11)</f>
        <v>1256.24399882529</v>
      </c>
      <c r="K17" s="307" t="n">
        <f aca="false">J17*(1+Assumptions!$N$11)</f>
        <v>1281.36887880179</v>
      </c>
      <c r="L17" s="307" t="n">
        <f aca="false">K17*(1+Assumptions!$N$11)</f>
        <v>1306.99625637783</v>
      </c>
      <c r="M17" s="307" t="n">
        <f aca="false">L17*(1+Assumptions!$N$11)</f>
        <v>1333.13618150539</v>
      </c>
      <c r="N17" s="307" t="n">
        <f aca="false">M17*(1+Assumptions!$N$11)</f>
        <v>1359.79890513549</v>
      </c>
      <c r="O17" s="307" t="n">
        <f aca="false">N17*(1+Assumptions!$N$11)</f>
        <v>1386.9948832382</v>
      </c>
      <c r="P17" s="307" t="n">
        <f aca="false">O17*(1+Assumptions!$N$11)</f>
        <v>1414.73478090297</v>
      </c>
      <c r="Q17" s="307" t="n">
        <f aca="false">P17*(1+Assumptions!$N$11)</f>
        <v>1443.02947652103</v>
      </c>
      <c r="R17" s="307" t="n">
        <f aca="false">Q17*(1+Assumptions!$N$11)</f>
        <v>1471.89006605145</v>
      </c>
      <c r="S17" s="307" t="n">
        <f aca="false">R17*(1+Assumptions!$N$11)</f>
        <v>1501.32786737248</v>
      </c>
      <c r="T17" s="307" t="n">
        <f aca="false">S17*(1+Assumptions!$N$11)</f>
        <v>1531.35442471993</v>
      </c>
      <c r="U17" s="307" t="n">
        <f aca="false">T17*(1+Assumptions!$N$11)</f>
        <v>1561.98151321433</v>
      </c>
      <c r="V17" s="307" t="n">
        <f aca="false">U17*(1+Assumptions!$N$11)</f>
        <v>1593.22114347861</v>
      </c>
      <c r="W17" s="307" t="n">
        <f aca="false">V17*(1+Assumptions!$N$11)</f>
        <v>1625.08556634818</v>
      </c>
      <c r="X17" s="307" t="n">
        <f aca="false">W17*(1+Assumptions!$N$11)</f>
        <v>1657.58727767515</v>
      </c>
      <c r="Y17" s="307" t="n">
        <f aca="false">X17*(1+Assumptions!$N$11)</f>
        <v>1690.73902322865</v>
      </c>
      <c r="Z17" s="307" t="n">
        <f aca="false">Y17*(1+Assumptions!$N$11)</f>
        <v>1724.55380369322</v>
      </c>
      <c r="AA17" s="307" t="n">
        <f aca="false">Z17*(1+Assumptions!$N$11)</f>
        <v>1759.04487976709</v>
      </c>
      <c r="AB17" s="307" t="n">
        <f aca="false">AA17*(1+Assumptions!$N$11)</f>
        <v>1794.22577736243</v>
      </c>
      <c r="AC17" s="307" t="n">
        <f aca="false">AB17*(1+Assumptions!$N$11)</f>
        <v>1830.11029290968</v>
      </c>
      <c r="AD17" s="307" t="n">
        <f aca="false">AC17*(1+Assumptions!$N$11)</f>
        <v>1866.71249876787</v>
      </c>
      <c r="AE17" s="307" t="n">
        <f aca="false">AD17*(1+Assumptions!$N$11)</f>
        <v>1904.04674874323</v>
      </c>
      <c r="AF17" s="307" t="n">
        <f aca="false">AE17*(1+Assumptions!$N$11)</f>
        <v>1942.12768371809</v>
      </c>
      <c r="AG17" s="307" t="n">
        <f aca="false">AF17*(1+Assumptions!$N$11)</f>
        <v>1980.97023739246</v>
      </c>
    </row>
    <row r="18" customFormat="false" ht="12.75" hidden="false" customHeight="false" outlineLevel="0" collapsed="false">
      <c r="A18" s="143" t="s">
        <v>391</v>
      </c>
      <c r="B18" s="282"/>
      <c r="C18" s="311" t="n">
        <f aca="false">IF(Assumptions!W14="Pass-through",0,+(Assumptions!$P$15*Assumptions!$H$62)/1000*(1+Assumptions!$N$11)^IS!C6)</f>
        <v>0</v>
      </c>
      <c r="D18" s="307" t="n">
        <f aca="false">C18*(1+Assumptions!$N$11)</f>
        <v>0</v>
      </c>
      <c r="E18" s="307" t="n">
        <f aca="false">D18*(1+Assumptions!$N$11)</f>
        <v>0</v>
      </c>
      <c r="F18" s="307" t="n">
        <f aca="false">E18*(1+Assumptions!$N$11)</f>
        <v>0</v>
      </c>
      <c r="G18" s="307" t="n">
        <f aca="false">F18*(1+Assumptions!$N$11)</f>
        <v>0</v>
      </c>
      <c r="H18" s="307" t="n">
        <f aca="false">G18*(1+Assumptions!$N$11)</f>
        <v>0</v>
      </c>
      <c r="I18" s="307" t="n">
        <f aca="false">H18*(1+Assumptions!$N$11)</f>
        <v>0</v>
      </c>
      <c r="J18" s="307" t="n">
        <f aca="false">I18*(1+Assumptions!$N$11)</f>
        <v>0</v>
      </c>
      <c r="K18" s="307" t="n">
        <f aca="false">J18*(1+Assumptions!$N$11)</f>
        <v>0</v>
      </c>
      <c r="L18" s="307" t="n">
        <f aca="false">K18*(1+Assumptions!$N$11)</f>
        <v>0</v>
      </c>
      <c r="M18" s="307" t="n">
        <f aca="false">L18*(1+Assumptions!$N$11)</f>
        <v>0</v>
      </c>
      <c r="N18" s="307" t="n">
        <f aca="false">M18*(1+Assumptions!$N$11)</f>
        <v>0</v>
      </c>
      <c r="O18" s="307" t="n">
        <f aca="false">N18*(1+Assumptions!$N$11)</f>
        <v>0</v>
      </c>
      <c r="P18" s="307" t="n">
        <f aca="false">O18*(1+Assumptions!$N$11)</f>
        <v>0</v>
      </c>
      <c r="Q18" s="307" t="n">
        <f aca="false">P18*(1+Assumptions!$N$11)</f>
        <v>0</v>
      </c>
      <c r="R18" s="307" t="n">
        <f aca="false">Q18*(1+Assumptions!$N$11)</f>
        <v>0</v>
      </c>
      <c r="S18" s="307" t="n">
        <f aca="false">R18*(1+Assumptions!$N$11)</f>
        <v>0</v>
      </c>
      <c r="T18" s="307" t="n">
        <f aca="false">S18*(1+Assumptions!$N$11)</f>
        <v>0</v>
      </c>
      <c r="U18" s="307" t="n">
        <f aca="false">T18*(1+Assumptions!$N$11)</f>
        <v>0</v>
      </c>
      <c r="V18" s="307" t="n">
        <f aca="false">U18*(1+Assumptions!$N$11)</f>
        <v>0</v>
      </c>
      <c r="W18" s="307" t="n">
        <f aca="false">V18*(1+Assumptions!$N$11)</f>
        <v>0</v>
      </c>
      <c r="X18" s="307" t="n">
        <f aca="false">W18*(1+Assumptions!$N$11)</f>
        <v>0</v>
      </c>
      <c r="Y18" s="307" t="n">
        <f aca="false">X18*(1+Assumptions!$N$11)</f>
        <v>0</v>
      </c>
      <c r="Z18" s="307" t="n">
        <f aca="false">Y18*(1+Assumptions!$N$11)</f>
        <v>0</v>
      </c>
      <c r="AA18" s="307" t="n">
        <f aca="false">Z18*(1+Assumptions!$N$11)</f>
        <v>0</v>
      </c>
      <c r="AB18" s="307" t="n">
        <f aca="false">AA18*(1+Assumptions!$N$11)</f>
        <v>0</v>
      </c>
      <c r="AC18" s="307" t="n">
        <f aca="false">AB18*(1+Assumptions!$N$11)</f>
        <v>0</v>
      </c>
      <c r="AD18" s="307" t="n">
        <f aca="false">AC18*(1+Assumptions!$N$11)</f>
        <v>0</v>
      </c>
      <c r="AE18" s="307" t="n">
        <f aca="false">AD18*(1+Assumptions!$N$11)</f>
        <v>0</v>
      </c>
      <c r="AF18" s="307" t="n">
        <f aca="false">AE18*(1+Assumptions!$N$11)</f>
        <v>0</v>
      </c>
      <c r="AG18" s="307" t="n">
        <f aca="false">AF18*(1+Assumptions!$N$11)</f>
        <v>0</v>
      </c>
    </row>
    <row r="19" customFormat="false" ht="12.75" hidden="false" customHeight="false" outlineLevel="0" collapsed="false">
      <c r="A19" s="143" t="s">
        <v>392</v>
      </c>
      <c r="C19" s="307" t="n">
        <f aca="false">IF(Assumptions!W14="Pass-through",0,Assumptions!$P$16*Assumptions!$H$62/1000*(1+Assumptions!$N$11)^IS!C6)</f>
        <v>0</v>
      </c>
      <c r="D19" s="307" t="n">
        <f aca="false">C19*(1+Assumptions!$N$11)</f>
        <v>0</v>
      </c>
      <c r="E19" s="307" t="n">
        <f aca="false">D19*(1+Assumptions!$N$11)</f>
        <v>0</v>
      </c>
      <c r="F19" s="307" t="n">
        <f aca="false">E19*(1+Assumptions!$N$11)</f>
        <v>0</v>
      </c>
      <c r="G19" s="307" t="n">
        <f aca="false">F19*(1+Assumptions!$N$11)</f>
        <v>0</v>
      </c>
      <c r="H19" s="307" t="n">
        <f aca="false">G19*(1+Assumptions!$N$11)</f>
        <v>0</v>
      </c>
      <c r="I19" s="307" t="n">
        <f aca="false">H19*(1+Assumptions!$N$11)</f>
        <v>0</v>
      </c>
      <c r="J19" s="307" t="n">
        <f aca="false">I19*(1+Assumptions!$N$11)</f>
        <v>0</v>
      </c>
      <c r="K19" s="307" t="n">
        <f aca="false">J19*(1+Assumptions!$N$11)</f>
        <v>0</v>
      </c>
      <c r="L19" s="307" t="n">
        <f aca="false">K19*(1+Assumptions!$N$11)</f>
        <v>0</v>
      </c>
      <c r="M19" s="307" t="n">
        <f aca="false">L19*(1+Assumptions!$N$11)</f>
        <v>0</v>
      </c>
      <c r="N19" s="307" t="n">
        <f aca="false">M19*(1+Assumptions!$N$11)</f>
        <v>0</v>
      </c>
      <c r="O19" s="307" t="n">
        <f aca="false">N19*(1+Assumptions!$N$11)</f>
        <v>0</v>
      </c>
      <c r="P19" s="307" t="n">
        <f aca="false">O19*(1+Assumptions!$N$11)</f>
        <v>0</v>
      </c>
      <c r="Q19" s="307" t="n">
        <f aca="false">P19*(1+Assumptions!$N$11)</f>
        <v>0</v>
      </c>
      <c r="R19" s="307" t="n">
        <f aca="false">Q19*(1+Assumptions!$N$11)</f>
        <v>0</v>
      </c>
      <c r="S19" s="307" t="n">
        <f aca="false">R19*(1+Assumptions!$N$11)</f>
        <v>0</v>
      </c>
      <c r="T19" s="307" t="n">
        <f aca="false">S19*(1+Assumptions!$N$11)</f>
        <v>0</v>
      </c>
      <c r="U19" s="307" t="n">
        <f aca="false">T19*(1+Assumptions!$N$11)</f>
        <v>0</v>
      </c>
      <c r="V19" s="307" t="n">
        <f aca="false">U19*(1+Assumptions!$N$11)</f>
        <v>0</v>
      </c>
      <c r="W19" s="307" t="n">
        <f aca="false">V19*(1+Assumptions!$N$11)</f>
        <v>0</v>
      </c>
      <c r="X19" s="307" t="n">
        <f aca="false">W19*(1+Assumptions!$N$11)</f>
        <v>0</v>
      </c>
      <c r="Y19" s="307" t="n">
        <f aca="false">X19*(1+Assumptions!$N$11)</f>
        <v>0</v>
      </c>
      <c r="Z19" s="307" t="n">
        <f aca="false">Y19*(1+Assumptions!$N$11)</f>
        <v>0</v>
      </c>
      <c r="AA19" s="307" t="n">
        <f aca="false">Z19*(1+Assumptions!$N$11)</f>
        <v>0</v>
      </c>
      <c r="AB19" s="307" t="n">
        <f aca="false">AA19*(1+Assumptions!$N$11)</f>
        <v>0</v>
      </c>
      <c r="AC19" s="307" t="n">
        <f aca="false">AB19*(1+Assumptions!$N$11)</f>
        <v>0</v>
      </c>
      <c r="AD19" s="307" t="n">
        <f aca="false">AC19*(1+Assumptions!$N$11)</f>
        <v>0</v>
      </c>
      <c r="AE19" s="307" t="n">
        <f aca="false">AD19*(1+Assumptions!$N$11)</f>
        <v>0</v>
      </c>
      <c r="AF19" s="307" t="n">
        <f aca="false">AE19*(1+Assumptions!$N$11)</f>
        <v>0</v>
      </c>
      <c r="AG19" s="307" t="n">
        <f aca="false">AF19*(1+Assumptions!$N$11)</f>
        <v>0</v>
      </c>
    </row>
    <row r="20" customFormat="false" ht="12.75" hidden="false" customHeight="false" outlineLevel="0" collapsed="false">
      <c r="A20" s="143" t="s">
        <v>393</v>
      </c>
      <c r="C20" s="307" t="n">
        <f aca="false">Assumptions!$N20*Assumptions!H18/12</f>
        <v>166.666666666667</v>
      </c>
      <c r="D20" s="307" t="n">
        <f aca="false">Assumptions!$N20*(1+Assumptions!$N$11)</f>
        <v>255</v>
      </c>
      <c r="E20" s="307" t="n">
        <f aca="false">D20*(1+Assumptions!$N$11)</f>
        <v>260.1</v>
      </c>
      <c r="F20" s="307" t="n">
        <f aca="false">E20*(1+Assumptions!$N$11)</f>
        <v>265.302</v>
      </c>
      <c r="G20" s="307" t="n">
        <f aca="false">F20*(1+Assumptions!$N$11)</f>
        <v>270.60804</v>
      </c>
      <c r="H20" s="307" t="n">
        <f aca="false">G20*(1+Assumptions!$N$11)</f>
        <v>276.0202008</v>
      </c>
      <c r="I20" s="307" t="n">
        <f aca="false">H20*(1+Assumptions!$N$11)</f>
        <v>281.540604816</v>
      </c>
      <c r="J20" s="307" t="n">
        <f aca="false">I20*(1+Assumptions!$N$11)</f>
        <v>287.17141691232</v>
      </c>
      <c r="K20" s="307" t="n">
        <f aca="false">J20*(1+Assumptions!$N$11)</f>
        <v>292.914845250566</v>
      </c>
      <c r="L20" s="307" t="n">
        <f aca="false">K20*(1+Assumptions!$N$11)</f>
        <v>298.773142155578</v>
      </c>
      <c r="M20" s="307" t="n">
        <f aca="false">L20*(1+Assumptions!$N$11)</f>
        <v>304.748604998689</v>
      </c>
      <c r="N20" s="307" t="n">
        <f aca="false">M20*(1+Assumptions!$N$11)</f>
        <v>310.843577098663</v>
      </c>
      <c r="O20" s="307" t="n">
        <f aca="false">N20*(1+Assumptions!$N$11)</f>
        <v>317.060448640636</v>
      </c>
      <c r="P20" s="307" t="n">
        <f aca="false">O20*(1+Assumptions!$N$11)</f>
        <v>323.401657613449</v>
      </c>
      <c r="Q20" s="307" t="n">
        <f aca="false">P20*(1+Assumptions!$N$11)</f>
        <v>329.869690765718</v>
      </c>
      <c r="R20" s="307" t="n">
        <f aca="false">Q20*(1+Assumptions!$N$11)</f>
        <v>336.467084581033</v>
      </c>
      <c r="S20" s="307" t="n">
        <f aca="false">R20*(1+Assumptions!$N$11)</f>
        <v>343.196426272653</v>
      </c>
      <c r="T20" s="307" t="n">
        <f aca="false">S20*(1+Assumptions!$N$11)</f>
        <v>350.060354798106</v>
      </c>
      <c r="U20" s="307" t="n">
        <f aca="false">T20*(1+Assumptions!$N$11)</f>
        <v>357.061561894068</v>
      </c>
      <c r="V20" s="307" t="n">
        <f aca="false">U20*(1+Assumptions!$N$11)</f>
        <v>364.20279313195</v>
      </c>
      <c r="W20" s="307" t="n">
        <f aca="false">V20*(1+Assumptions!$N$11)</f>
        <v>371.486848994589</v>
      </c>
      <c r="X20" s="307" t="n">
        <f aca="false">W20*(1+Assumptions!$N$11)</f>
        <v>378.916585974481</v>
      </c>
      <c r="Y20" s="307" t="n">
        <f aca="false">X20*(1+Assumptions!$N$11)</f>
        <v>386.49491769397</v>
      </c>
      <c r="Z20" s="307" t="n">
        <f aca="false">Y20*(1+Assumptions!$N$11)</f>
        <v>394.22481604785</v>
      </c>
      <c r="AA20" s="307" t="n">
        <f aca="false">Z20*(1+Assumptions!$N$11)</f>
        <v>402.109312368807</v>
      </c>
      <c r="AB20" s="307" t="n">
        <f aca="false">AA20*(1+Assumptions!$N$11)</f>
        <v>410.151498616183</v>
      </c>
      <c r="AC20" s="307" t="n">
        <f aca="false">AB20*(1+Assumptions!$N$11)</f>
        <v>418.354528588506</v>
      </c>
      <c r="AD20" s="307" t="n">
        <f aca="false">AC20*(1+Assumptions!$N$11)</f>
        <v>426.721619160277</v>
      </c>
      <c r="AE20" s="307" t="n">
        <f aca="false">AD20*(1+Assumptions!$N$11)</f>
        <v>435.256051543482</v>
      </c>
      <c r="AF20" s="307" t="n">
        <f aca="false">AE20*(1+Assumptions!$N$11)</f>
        <v>443.961172574352</v>
      </c>
      <c r="AG20" s="307" t="n">
        <f aca="false">AF20*(1+Assumptions!$N$11)</f>
        <v>452.840396025839</v>
      </c>
    </row>
    <row r="21" customFormat="false" ht="12.75" hidden="false" customHeight="false" outlineLevel="0" collapsed="false">
      <c r="A21" s="143" t="s">
        <v>142</v>
      </c>
      <c r="C21" s="307" t="n">
        <f aca="false">Assumptions!$N21*Assumptions!H18/12</f>
        <v>0</v>
      </c>
      <c r="D21" s="307" t="n">
        <f aca="false">(Assumptions!$N21)*(1+Assumptions!$N$11)</f>
        <v>0</v>
      </c>
      <c r="E21" s="307" t="n">
        <f aca="false">D21*(1+Assumptions!$N$11)</f>
        <v>0</v>
      </c>
      <c r="F21" s="307" t="n">
        <f aca="false">E21*(1+Assumptions!$N$11)</f>
        <v>0</v>
      </c>
      <c r="G21" s="307" t="n">
        <f aca="false">F21*(1+Assumptions!$N$11)</f>
        <v>0</v>
      </c>
      <c r="H21" s="307" t="n">
        <f aca="false">G21*(1+Assumptions!$N$11)</f>
        <v>0</v>
      </c>
      <c r="I21" s="307" t="n">
        <f aca="false">H21*(1+Assumptions!$N$11)</f>
        <v>0</v>
      </c>
      <c r="J21" s="307" t="n">
        <f aca="false">I21*(1+Assumptions!$N$11)</f>
        <v>0</v>
      </c>
      <c r="K21" s="307" t="n">
        <f aca="false">J21*(1+Assumptions!$N$11)</f>
        <v>0</v>
      </c>
      <c r="L21" s="307" t="n">
        <f aca="false">K21*(1+Assumptions!$N$11)</f>
        <v>0</v>
      </c>
      <c r="M21" s="307" t="n">
        <f aca="false">L21*(1+Assumptions!$N$11)</f>
        <v>0</v>
      </c>
      <c r="N21" s="307" t="n">
        <f aca="false">M21*(1+Assumptions!$N$11)</f>
        <v>0</v>
      </c>
      <c r="O21" s="307" t="n">
        <f aca="false">N21*(1+Assumptions!$N$11)</f>
        <v>0</v>
      </c>
      <c r="P21" s="307" t="n">
        <f aca="false">O21*(1+Assumptions!$N$11)</f>
        <v>0</v>
      </c>
      <c r="Q21" s="307" t="n">
        <f aca="false">P21*(1+Assumptions!$N$11)</f>
        <v>0</v>
      </c>
      <c r="R21" s="307" t="n">
        <f aca="false">Q21*(1+Assumptions!$N$11)</f>
        <v>0</v>
      </c>
      <c r="S21" s="307" t="n">
        <f aca="false">R21*(1+Assumptions!$N$11)</f>
        <v>0</v>
      </c>
      <c r="T21" s="307" t="n">
        <f aca="false">S21*(1+Assumptions!$N$11)</f>
        <v>0</v>
      </c>
      <c r="U21" s="307" t="n">
        <f aca="false">T21*(1+Assumptions!$N$11)</f>
        <v>0</v>
      </c>
      <c r="V21" s="307" t="n">
        <f aca="false">U21*(1+Assumptions!$N$11)</f>
        <v>0</v>
      </c>
      <c r="W21" s="307" t="n">
        <f aca="false">V21*(1+Assumptions!$N$11)</f>
        <v>0</v>
      </c>
      <c r="X21" s="307" t="n">
        <f aca="false">W21*(1+Assumptions!$N$11)</f>
        <v>0</v>
      </c>
      <c r="Y21" s="307" t="n">
        <f aca="false">X21*(1+Assumptions!$N$11)</f>
        <v>0</v>
      </c>
      <c r="Z21" s="307" t="n">
        <f aca="false">Y21*(1+Assumptions!$N$11)</f>
        <v>0</v>
      </c>
      <c r="AA21" s="307" t="n">
        <f aca="false">Z21*(1+Assumptions!$N$11)</f>
        <v>0</v>
      </c>
      <c r="AB21" s="307" t="n">
        <f aca="false">AA21*(1+Assumptions!$N$11)</f>
        <v>0</v>
      </c>
      <c r="AC21" s="307" t="n">
        <f aca="false">AB21*(1+Assumptions!$N$11)</f>
        <v>0</v>
      </c>
      <c r="AD21" s="307" t="n">
        <f aca="false">AC21*(1+Assumptions!$N$11)</f>
        <v>0</v>
      </c>
      <c r="AE21" s="307" t="n">
        <f aca="false">AD21*(1+Assumptions!$N$11)</f>
        <v>0</v>
      </c>
      <c r="AF21" s="307" t="n">
        <f aca="false">AE21*(1+Assumptions!$N$11)</f>
        <v>0</v>
      </c>
      <c r="AG21" s="307" t="n">
        <f aca="false">AF21*(1+Assumptions!$N$11)</f>
        <v>0</v>
      </c>
    </row>
    <row r="22" customFormat="false" ht="12.75" hidden="false" customHeight="false" outlineLevel="0" collapsed="false">
      <c r="A22" s="143" t="s">
        <v>145</v>
      </c>
      <c r="C22" s="307" t="n">
        <f aca="false">+Assumptions!N22</f>
        <v>0</v>
      </c>
      <c r="D22" s="307" t="n">
        <f aca="false">+Assumptions!N22*(1+Assumptions!$N$11)</f>
        <v>0</v>
      </c>
      <c r="E22" s="307" t="n">
        <f aca="false">D22*(1+Assumptions!$N$11)</f>
        <v>0</v>
      </c>
      <c r="F22" s="307" t="n">
        <f aca="false">E22*(1+Assumptions!$N$11)</f>
        <v>0</v>
      </c>
      <c r="G22" s="307" t="n">
        <f aca="false">F22*(1+Assumptions!$N$11)</f>
        <v>0</v>
      </c>
      <c r="H22" s="307" t="n">
        <f aca="false">G22*(1+Assumptions!$N$11)</f>
        <v>0</v>
      </c>
      <c r="I22" s="307" t="n">
        <f aca="false">H22*(1+Assumptions!$N$11)</f>
        <v>0</v>
      </c>
      <c r="J22" s="307" t="n">
        <f aca="false">I22*(1+Assumptions!$N$11)</f>
        <v>0</v>
      </c>
      <c r="K22" s="307" t="n">
        <f aca="false">J22*(1+Assumptions!$N$11)</f>
        <v>0</v>
      </c>
      <c r="L22" s="307" t="n">
        <f aca="false">K22*(1+Assumptions!$N$11)</f>
        <v>0</v>
      </c>
      <c r="M22" s="307" t="n">
        <f aca="false">L22*(1+Assumptions!$N$11)</f>
        <v>0</v>
      </c>
      <c r="N22" s="307" t="n">
        <f aca="false">M22*(1+Assumptions!$N$11)</f>
        <v>0</v>
      </c>
      <c r="O22" s="307" t="n">
        <f aca="false">N22*(1+Assumptions!$N$11)</f>
        <v>0</v>
      </c>
      <c r="P22" s="307" t="n">
        <f aca="false">O22*(1+Assumptions!$N$11)</f>
        <v>0</v>
      </c>
      <c r="Q22" s="307" t="n">
        <f aca="false">P22*(1+Assumptions!$N$11)</f>
        <v>0</v>
      </c>
      <c r="R22" s="307" t="n">
        <f aca="false">Q22*(1+Assumptions!$N$11)</f>
        <v>0</v>
      </c>
      <c r="S22" s="307" t="n">
        <f aca="false">R22*(1+Assumptions!$N$11)</f>
        <v>0</v>
      </c>
      <c r="T22" s="307" t="n">
        <f aca="false">S22*(1+Assumptions!$N$11)</f>
        <v>0</v>
      </c>
      <c r="U22" s="307" t="n">
        <f aca="false">T22*(1+Assumptions!$N$11)</f>
        <v>0</v>
      </c>
      <c r="V22" s="307" t="n">
        <f aca="false">U22*(1+Assumptions!$N$11)</f>
        <v>0</v>
      </c>
      <c r="W22" s="307" t="n">
        <f aca="false">V22*(1+Assumptions!$N$11)</f>
        <v>0</v>
      </c>
      <c r="X22" s="307" t="n">
        <f aca="false">W22*(1+Assumptions!$N$11)</f>
        <v>0</v>
      </c>
      <c r="Y22" s="307" t="n">
        <f aca="false">X22*(1+Assumptions!$N$11)</f>
        <v>0</v>
      </c>
      <c r="Z22" s="307" t="n">
        <f aca="false">Y22*(1+Assumptions!$N$11)</f>
        <v>0</v>
      </c>
      <c r="AA22" s="307" t="n">
        <f aca="false">Z22*(1+Assumptions!$N$11)</f>
        <v>0</v>
      </c>
      <c r="AB22" s="307" t="n">
        <f aca="false">AA22*(1+Assumptions!$N$11)</f>
        <v>0</v>
      </c>
      <c r="AC22" s="307" t="n">
        <f aca="false">AB22*(1+Assumptions!$N$11)</f>
        <v>0</v>
      </c>
      <c r="AD22" s="307" t="n">
        <f aca="false">AC22*(1+Assumptions!$N$11)</f>
        <v>0</v>
      </c>
      <c r="AE22" s="307" t="n">
        <f aca="false">AD22*(1+Assumptions!$N$11)</f>
        <v>0</v>
      </c>
      <c r="AF22" s="307" t="n">
        <f aca="false">AE22*(1+Assumptions!$N$11)</f>
        <v>0</v>
      </c>
      <c r="AG22" s="307" t="n">
        <f aca="false">AF22*(1+Assumptions!$N$11)</f>
        <v>0</v>
      </c>
    </row>
    <row r="23" customFormat="false" ht="14.25" hidden="false" customHeight="true" outlineLevel="0" collapsed="false">
      <c r="A23" s="143" t="s">
        <v>164</v>
      </c>
      <c r="C23" s="312" t="n">
        <f aca="false">Assumptions!N30</f>
        <v>3330.01505626983</v>
      </c>
      <c r="D23" s="312" t="n">
        <f aca="false">C23*(1+Assumptions!$P$30)</f>
        <v>3330.01505626983</v>
      </c>
      <c r="E23" s="312" t="n">
        <f aca="false">D23*(1+Assumptions!$P$30)</f>
        <v>3330.01505626983</v>
      </c>
      <c r="F23" s="312" t="n">
        <f aca="false">E23*(1+Assumptions!$P$30)</f>
        <v>3330.01505626983</v>
      </c>
      <c r="G23" s="312" t="n">
        <f aca="false">F23*(1+Assumptions!$P$30)</f>
        <v>3330.01505626983</v>
      </c>
      <c r="H23" s="312" t="n">
        <f aca="false">G23*(1+Assumptions!$P$30)</f>
        <v>3330.01505626983</v>
      </c>
      <c r="I23" s="312" t="n">
        <f aca="false">H23*(1+Assumptions!$P$30)</f>
        <v>3330.01505626983</v>
      </c>
      <c r="J23" s="312" t="n">
        <f aca="false">I23*(1+Assumptions!$P$30)</f>
        <v>3330.01505626983</v>
      </c>
      <c r="K23" s="312" t="n">
        <f aca="false">J23*(1+Assumptions!$P$30)</f>
        <v>3330.01505626983</v>
      </c>
      <c r="L23" s="312" t="n">
        <f aca="false">K23*(1+Assumptions!$P$30)</f>
        <v>3330.01505626983</v>
      </c>
      <c r="M23" s="312" t="n">
        <f aca="false">L23*(1+Assumptions!$P$30)</f>
        <v>3330.01505626983</v>
      </c>
      <c r="N23" s="312" t="n">
        <f aca="false">M23*(1+Assumptions!$P$30)</f>
        <v>3330.01505626983</v>
      </c>
      <c r="O23" s="312" t="n">
        <f aca="false">N23*(1+Assumptions!$P$30)</f>
        <v>3330.01505626983</v>
      </c>
      <c r="P23" s="312" t="n">
        <f aca="false">O23*(1+Assumptions!$P$30)</f>
        <v>3330.01505626983</v>
      </c>
      <c r="Q23" s="312" t="n">
        <f aca="false">P23*(1+Assumptions!$P$30)</f>
        <v>3330.01505626983</v>
      </c>
      <c r="R23" s="312" t="n">
        <f aca="false">Q23*(1+Assumptions!$P$30)</f>
        <v>3330.01505626983</v>
      </c>
      <c r="S23" s="312" t="n">
        <f aca="false">R23*(1+Assumptions!$P$30)</f>
        <v>3330.01505626983</v>
      </c>
      <c r="T23" s="312" t="n">
        <f aca="false">S23*(1+Assumptions!$P$30)</f>
        <v>3330.01505626983</v>
      </c>
      <c r="U23" s="312" t="n">
        <f aca="false">T23*(1+Assumptions!$P$30)</f>
        <v>3330.01505626983</v>
      </c>
      <c r="V23" s="312" t="n">
        <f aca="false">U23*(1+Assumptions!$P$30)</f>
        <v>3330.01505626983</v>
      </c>
      <c r="W23" s="312" t="n">
        <f aca="false">V23*(1+Assumptions!$P$30)</f>
        <v>3330.01505626983</v>
      </c>
      <c r="X23" s="312" t="n">
        <f aca="false">W23*(1+Assumptions!$P$30)</f>
        <v>3330.01505626983</v>
      </c>
      <c r="Y23" s="312" t="n">
        <f aca="false">X23*(1+Assumptions!$P$30)</f>
        <v>3330.01505626983</v>
      </c>
      <c r="Z23" s="312" t="n">
        <f aca="false">Y23*(1+Assumptions!$P$30)</f>
        <v>3330.01505626983</v>
      </c>
      <c r="AA23" s="312" t="n">
        <f aca="false">Z23*(1+Assumptions!$P$30)</f>
        <v>3330.01505626983</v>
      </c>
      <c r="AB23" s="312" t="n">
        <f aca="false">AA23*(1+Assumptions!$P$30)</f>
        <v>3330.01505626983</v>
      </c>
      <c r="AC23" s="312" t="n">
        <f aca="false">AB23*(1+Assumptions!$P$30)</f>
        <v>3330.01505626983</v>
      </c>
      <c r="AD23" s="312" t="n">
        <f aca="false">AC23*(1+Assumptions!$P$30)</f>
        <v>3330.01505626983</v>
      </c>
      <c r="AE23" s="312" t="n">
        <f aca="false">AD23*(1+Assumptions!$P$30)</f>
        <v>3330.01505626983</v>
      </c>
      <c r="AF23" s="312" t="n">
        <f aca="false">AE23*(1+Assumptions!$P$30)</f>
        <v>3330.01505626983</v>
      </c>
      <c r="AG23" s="312" t="n">
        <f aca="false">AF23*(1+Assumptions!$P$30)</f>
        <v>3330.01505626983</v>
      </c>
    </row>
    <row r="24" customFormat="false" ht="12.75" hidden="false" customHeight="false" outlineLevel="0" collapsed="false">
      <c r="A24" s="3" t="s">
        <v>166</v>
      </c>
      <c r="C24" s="307" t="n">
        <f aca="false">Assumptions!$N$52*Depreciation!D50*Assumptions!H18/12</f>
        <v>0</v>
      </c>
      <c r="D24" s="307" t="n">
        <f aca="false">Assumptions!$N$52*Depreciation!E50</f>
        <v>0</v>
      </c>
      <c r="E24" s="307" t="n">
        <f aca="false">Assumptions!$N$52*Depreciation!F50</f>
        <v>0</v>
      </c>
      <c r="F24" s="307" t="n">
        <f aca="false">Assumptions!$N$52*Depreciation!G50</f>
        <v>0</v>
      </c>
      <c r="G24" s="307" t="n">
        <f aca="false">Assumptions!$N$52*Depreciation!H50</f>
        <v>0</v>
      </c>
      <c r="H24" s="307" t="n">
        <f aca="false">Assumptions!$N$52*Depreciation!I50</f>
        <v>0</v>
      </c>
      <c r="I24" s="307" t="n">
        <f aca="false">Assumptions!$N$52*Depreciation!J50</f>
        <v>0</v>
      </c>
      <c r="J24" s="307" t="n">
        <f aca="false">Assumptions!$N$52*Depreciation!K50</f>
        <v>0</v>
      </c>
      <c r="K24" s="307" t="n">
        <f aca="false">Assumptions!$N$52*Depreciation!L50</f>
        <v>0</v>
      </c>
      <c r="L24" s="307" t="n">
        <f aca="false">Assumptions!$N$52*Depreciation!M50</f>
        <v>0</v>
      </c>
      <c r="M24" s="307" t="n">
        <f aca="false">Assumptions!$N$52*Depreciation!N50</f>
        <v>0</v>
      </c>
      <c r="N24" s="307" t="n">
        <f aca="false">Assumptions!$N$52*Depreciation!O50</f>
        <v>0</v>
      </c>
      <c r="O24" s="307" t="n">
        <f aca="false">Assumptions!$N$52*Depreciation!P50</f>
        <v>0</v>
      </c>
      <c r="P24" s="307" t="n">
        <f aca="false">Assumptions!$N$52*Depreciation!Q50</f>
        <v>0</v>
      </c>
      <c r="Q24" s="307" t="n">
        <f aca="false">Assumptions!$N$52*Depreciation!R50</f>
        <v>0</v>
      </c>
      <c r="R24" s="307" t="n">
        <f aca="false">Assumptions!$N$52*Depreciation!S50</f>
        <v>0</v>
      </c>
      <c r="S24" s="307" t="n">
        <f aca="false">Assumptions!$N$52*Depreciation!T50</f>
        <v>0</v>
      </c>
      <c r="T24" s="307" t="n">
        <f aca="false">Assumptions!$N$52*Depreciation!U50</f>
        <v>0</v>
      </c>
      <c r="U24" s="307" t="n">
        <f aca="false">Assumptions!$N$52*Depreciation!V50</f>
        <v>0</v>
      </c>
      <c r="V24" s="307" t="n">
        <f aca="false">Assumptions!$N$52*Depreciation!W50</f>
        <v>0</v>
      </c>
      <c r="W24" s="307" t="n">
        <f aca="false">Assumptions!$N$52*Depreciation!X50</f>
        <v>0</v>
      </c>
      <c r="X24" s="307" t="n">
        <f aca="false">Assumptions!$N$52*Depreciation!Y50</f>
        <v>0</v>
      </c>
      <c r="Y24" s="307" t="n">
        <f aca="false">Assumptions!$N$52*Depreciation!Z50</f>
        <v>0</v>
      </c>
      <c r="Z24" s="307" t="n">
        <f aca="false">Assumptions!$N$52*Depreciation!AA50</f>
        <v>0</v>
      </c>
      <c r="AA24" s="307" t="n">
        <f aca="false">Assumptions!$N$52*Depreciation!AB50</f>
        <v>0</v>
      </c>
      <c r="AB24" s="307" t="n">
        <f aca="false">Assumptions!$N$52*Depreciation!AC50</f>
        <v>0</v>
      </c>
      <c r="AC24" s="307" t="n">
        <f aca="false">Assumptions!$N$52*Depreciation!AD50</f>
        <v>0</v>
      </c>
      <c r="AD24" s="307" t="n">
        <f aca="false">Assumptions!$N$52*Depreciation!AE50</f>
        <v>0</v>
      </c>
      <c r="AE24" s="307" t="n">
        <f aca="false">Assumptions!$N$52*Depreciation!AF50</f>
        <v>0</v>
      </c>
      <c r="AF24" s="307" t="n">
        <f aca="false">Assumptions!$N$52*Depreciation!AG50</f>
        <v>0</v>
      </c>
      <c r="AG24" s="307" t="n">
        <f aca="false">Assumptions!$N$52*Depreciation!AH50</f>
        <v>0</v>
      </c>
    </row>
    <row r="25" customFormat="false" ht="12.75" hidden="false" customHeight="false" outlineLevel="0" collapsed="false">
      <c r="A25" s="3" t="s">
        <v>169</v>
      </c>
      <c r="C25" s="312" t="n">
        <v>0</v>
      </c>
      <c r="D25" s="312" t="n">
        <v>0</v>
      </c>
      <c r="E25" s="312" t="n">
        <v>0</v>
      </c>
      <c r="F25" s="312" t="n">
        <v>0</v>
      </c>
      <c r="G25" s="312" t="n">
        <v>0</v>
      </c>
      <c r="H25" s="312" t="n">
        <v>0</v>
      </c>
      <c r="I25" s="312" t="n">
        <v>0</v>
      </c>
      <c r="J25" s="312" t="n">
        <v>0</v>
      </c>
      <c r="K25" s="312" t="n">
        <v>0</v>
      </c>
      <c r="L25" s="312" t="n">
        <v>0</v>
      </c>
      <c r="M25" s="312" t="n">
        <v>0</v>
      </c>
      <c r="N25" s="312" t="n">
        <v>0</v>
      </c>
      <c r="O25" s="312" t="n">
        <v>0</v>
      </c>
      <c r="P25" s="312" t="n">
        <v>0</v>
      </c>
      <c r="Q25" s="312" t="n">
        <v>0</v>
      </c>
      <c r="R25" s="312" t="n">
        <v>0</v>
      </c>
      <c r="S25" s="312" t="n">
        <v>0</v>
      </c>
      <c r="T25" s="312" t="n">
        <v>0</v>
      </c>
      <c r="U25" s="312" t="n">
        <v>0</v>
      </c>
      <c r="V25" s="312" t="n">
        <v>0</v>
      </c>
      <c r="W25" s="312" t="n">
        <v>0</v>
      </c>
      <c r="X25" s="312" t="n">
        <v>0</v>
      </c>
      <c r="Y25" s="312" t="n">
        <v>0</v>
      </c>
      <c r="Z25" s="312" t="n">
        <v>0</v>
      </c>
      <c r="AA25" s="312" t="n">
        <v>0</v>
      </c>
      <c r="AB25" s="312" t="n">
        <v>0</v>
      </c>
      <c r="AC25" s="312" t="n">
        <v>0</v>
      </c>
      <c r="AD25" s="312" t="n">
        <v>0</v>
      </c>
      <c r="AE25" s="312" t="n">
        <v>0</v>
      </c>
      <c r="AF25" s="312" t="n">
        <v>0</v>
      </c>
      <c r="AG25" s="312" t="n">
        <v>0</v>
      </c>
    </row>
    <row r="26" customFormat="false" ht="12.75" hidden="false" customHeight="false" outlineLevel="0" collapsed="false">
      <c r="A26" s="31" t="s">
        <v>197</v>
      </c>
      <c r="C26" s="307" t="n">
        <f aca="false">IF(C8&lt;Assumptions!$G$34,Assumptions!$G$42*Assumptions!$G$41*C6,0)</f>
        <v>0</v>
      </c>
      <c r="D26" s="307" t="n">
        <f aca="false">IF(D8&lt;Assumptions!$G$34,Assumptions!$G$42*Assumptions!$G$41,IF(AND(D8&gt;Assumptions!$G$34,C8&lt;Assumptions!$G$34),Assumptions!$G$42*Assumptions!$G$41*(1-$C$6),0))</f>
        <v>0</v>
      </c>
      <c r="E26" s="307" t="n">
        <f aca="false">IF(E8&lt;Assumptions!$G$34,Assumptions!$G$42*Assumptions!$G$41,IF(AND(E8&gt;Assumptions!$G$34,D8&lt;Assumptions!$G$34),Assumptions!$G$42*Assumptions!$G$41*(1-$C$6),0))</f>
        <v>0</v>
      </c>
      <c r="F26" s="307" t="n">
        <f aca="false">IF(F8&lt;Assumptions!$G$34,Assumptions!$G$42*Assumptions!$G$41,IF(AND(F8&gt;Assumptions!$G$34,E8&lt;Assumptions!$G$34),Assumptions!$G$42*Assumptions!$G$41*(1-$C$6),0))</f>
        <v>0</v>
      </c>
      <c r="G26" s="307" t="n">
        <f aca="false">IF(G8&lt;Assumptions!$G$34,Assumptions!$G$42*Assumptions!$G$41,IF(AND(G8&gt;Assumptions!$G$34,F8&lt;Assumptions!$G$34),Assumptions!$G$42*Assumptions!$G$41*(1-$C$6),0))</f>
        <v>0</v>
      </c>
      <c r="H26" s="307" t="n">
        <f aca="false">IF(H8&lt;Assumptions!$G$34,Assumptions!$G$42*Assumptions!$G$41,IF(AND(H8&gt;Assumptions!$G$34,G8&lt;Assumptions!$G$34),Assumptions!$G$42*Assumptions!$G$41*(1-$C$6),0))</f>
        <v>0</v>
      </c>
      <c r="I26" s="307" t="n">
        <f aca="false">IF(I8&lt;Assumptions!$G$34,Assumptions!$G$42*Assumptions!$G$41,IF(AND(I8&gt;Assumptions!$G$34,H8&lt;Assumptions!$G$34),Assumptions!$G$42*Assumptions!$G$41*(1-$C$6),0))</f>
        <v>0</v>
      </c>
      <c r="J26" s="307" t="n">
        <f aca="false">IF(J8&lt;Assumptions!$G$34,Assumptions!$G$42*Assumptions!$G$41,IF(AND(J8&gt;Assumptions!$G$34,I8&lt;Assumptions!$G$34),Assumptions!$G$42*Assumptions!$G$41*(1-$C$6),0))</f>
        <v>0</v>
      </c>
      <c r="K26" s="307" t="n">
        <f aca="false">IF(K8&lt;Assumptions!$G$34,Assumptions!$G$42*Assumptions!$G$41,IF(AND(K8&gt;Assumptions!$G$34,J8&lt;Assumptions!$G$34),Assumptions!$G$42*Assumptions!$G$41*(1-$C$6),0))</f>
        <v>0</v>
      </c>
      <c r="L26" s="307" t="n">
        <f aca="false">IF(L8&lt;Assumptions!$G$34,Assumptions!$G$42*Assumptions!$G$41,IF(AND(L8&gt;Assumptions!$G$34,K8&lt;Assumptions!$G$34),Assumptions!$G$42*Assumptions!$G$41*(1-$C$6),0))</f>
        <v>0</v>
      </c>
      <c r="M26" s="307" t="n">
        <f aca="false">IF(M8&lt;Assumptions!$G$34,Assumptions!$G$42*Assumptions!$G$41,IF(AND(M8&gt;Assumptions!$G$34,L8&lt;Assumptions!$G$34),Assumptions!$G$42*Assumptions!$G$41*(1-$C$6),0))</f>
        <v>0</v>
      </c>
      <c r="N26" s="307" t="n">
        <f aca="false">IF(N8&lt;Assumptions!$G$34,Assumptions!$G$42*Assumptions!$G$41,IF(AND(N8&gt;Assumptions!$G$34,M8&lt;Assumptions!$G$34),Assumptions!$G$42*Assumptions!$G$41*(1-$C$6),0))</f>
        <v>0</v>
      </c>
      <c r="O26" s="307" t="n">
        <f aca="false">IF(O8&lt;Assumptions!$G$34,Assumptions!$G$42*Assumptions!$G$41,IF(AND(O8&gt;Assumptions!$G$34,N8&lt;Assumptions!$G$34),Assumptions!$G$42*Assumptions!$G$41*(1-$C$6),0))</f>
        <v>0</v>
      </c>
      <c r="P26" s="307" t="n">
        <f aca="false">IF(P8&lt;Assumptions!$G$34,Assumptions!$G$42*Assumptions!$G$41,IF(AND(P8&gt;Assumptions!$G$34,O8&lt;Assumptions!$G$34),Assumptions!$G$42*Assumptions!$G$41*(1-$C$6),0))</f>
        <v>0</v>
      </c>
      <c r="Q26" s="307" t="n">
        <f aca="false">IF(Q8&lt;Assumptions!$G$34,Assumptions!$G$42*Assumptions!$G$41,IF(AND(Q8&gt;Assumptions!$G$34,P8&lt;Assumptions!$G$34),Assumptions!$G$42*Assumptions!$G$41*(1-$C$6),0))</f>
        <v>0</v>
      </c>
      <c r="R26" s="307" t="n">
        <f aca="false">IF(R8&lt;Assumptions!$G$34,Assumptions!$G$42*Assumptions!$G$41,IF(AND(R8&gt;Assumptions!$G$34,Q8&lt;Assumptions!$G$34),Assumptions!$G$42*Assumptions!$G$41*(1-$C$6),0))</f>
        <v>0</v>
      </c>
      <c r="S26" s="307" t="n">
        <f aca="false">IF(S8&lt;Assumptions!$G$34,Assumptions!$G$42*Assumptions!$G$41,IF(AND(S8&gt;Assumptions!$G$34,R8&lt;Assumptions!$G$34),Assumptions!$G$42*Assumptions!$G$41*(1-$C$6),0))</f>
        <v>0</v>
      </c>
      <c r="T26" s="307" t="n">
        <f aca="false">IF(T8&lt;Assumptions!$G$34,Assumptions!$G$42*Assumptions!$G$41,IF(AND(T8&gt;Assumptions!$G$34,S8&lt;Assumptions!$G$34),Assumptions!$G$42*Assumptions!$G$41*(1-$C$6),0))</f>
        <v>0</v>
      </c>
      <c r="U26" s="307" t="n">
        <f aca="false">IF(U8&lt;Assumptions!$G$34,Assumptions!$G$42*Assumptions!$G$41,IF(AND(U8&gt;Assumptions!$G$34,T8&lt;Assumptions!$G$34),Assumptions!$G$42*Assumptions!$G$41*(1-$C$6),0))</f>
        <v>0</v>
      </c>
      <c r="V26" s="307" t="n">
        <f aca="false">IF(V8&lt;Assumptions!$G$34,Assumptions!$G$42*Assumptions!$G$41,IF(AND(V8&gt;Assumptions!$G$34,U8&lt;Assumptions!$G$34),Assumptions!$G$42*Assumptions!$G$41*(1-$C$6),0))</f>
        <v>0</v>
      </c>
      <c r="W26" s="307" t="n">
        <f aca="false">IF(W8&lt;Assumptions!$G$34,Assumptions!$G$42*Assumptions!$G$41,IF(AND(W8&gt;Assumptions!$G$34,V8&lt;Assumptions!$G$34),Assumptions!$G$42*Assumptions!$G$41*(1-$C$6),0))</f>
        <v>0</v>
      </c>
      <c r="X26" s="307" t="n">
        <f aca="false">IF(X8&lt;Assumptions!$G$34,Assumptions!$G$42*Assumptions!$G$41,IF(AND(X8&gt;Assumptions!$G$34,W8&lt;Assumptions!$G$34),Assumptions!$G$42*Assumptions!$G$41*(1-$C$6),0))</f>
        <v>0</v>
      </c>
      <c r="Y26" s="307" t="n">
        <f aca="false">IF(Y8&lt;Assumptions!$G$34,Assumptions!$G$42*Assumptions!$G$41,IF(AND(Y8&gt;Assumptions!$G$34,X8&lt;Assumptions!$G$34),Assumptions!$G$42*Assumptions!$G$41*(1-$C$6),0))</f>
        <v>0</v>
      </c>
      <c r="Z26" s="307" t="n">
        <f aca="false">IF(Z8&lt;Assumptions!$G$34,Assumptions!$G$42*Assumptions!$G$41,IF(AND(Z8&gt;Assumptions!$G$34,Y8&lt;Assumptions!$G$34),Assumptions!$G$42*Assumptions!$G$41*(1-$C$6),0))</f>
        <v>0</v>
      </c>
      <c r="AA26" s="307" t="n">
        <f aca="false">IF(AA8&lt;Assumptions!$G$34,Assumptions!$G$42*Assumptions!$G$41,IF(AND(AA8&gt;Assumptions!$G$34,Z8&lt;Assumptions!$G$34),Assumptions!$G$42*Assumptions!$G$41*(1-$C$6),0))</f>
        <v>0</v>
      </c>
      <c r="AB26" s="307" t="n">
        <f aca="false">IF(AB8&lt;Assumptions!$G$34,Assumptions!$G$42*Assumptions!$G$41,IF(AND(AB8&gt;Assumptions!$G$34,AA8&lt;Assumptions!$G$34),Assumptions!$G$42*Assumptions!$G$41*(1-$C$6),0))</f>
        <v>0</v>
      </c>
      <c r="AC26" s="307" t="n">
        <f aca="false">IF(AC8&lt;Assumptions!$G$34,Assumptions!$G$42*Assumptions!$G$41,IF(AND(AC8&gt;Assumptions!$G$34,AB8&lt;Assumptions!$G$34),Assumptions!$G$42*Assumptions!$G$41*(1-$C$6),0))</f>
        <v>0</v>
      </c>
      <c r="AD26" s="307" t="n">
        <f aca="false">IF(AD8&lt;Assumptions!$G$34,Assumptions!$G$42*Assumptions!$G$41,IF(AND(AD8&gt;Assumptions!$G$34,AC8&lt;Assumptions!$G$34),Assumptions!$G$42*Assumptions!$G$41*(1-$C$6),0))</f>
        <v>0</v>
      </c>
      <c r="AE26" s="307" t="n">
        <f aca="false">IF(AE8&lt;Assumptions!$G$34,Assumptions!$G$42*Assumptions!$G$41,IF(AND(AE8&gt;Assumptions!$G$34,AD8&lt;Assumptions!$G$34),Assumptions!$G$42*Assumptions!$G$41*(1-$C$6),0))</f>
        <v>0</v>
      </c>
      <c r="AF26" s="307" t="n">
        <f aca="false">IF(AF8&lt;Assumptions!$G$34,Assumptions!$G$42*Assumptions!$G$41,IF(AND(AF8&gt;Assumptions!$G$34,AE8&lt;Assumptions!$G$34),Assumptions!$G$42*Assumptions!$G$41*(1-$C$6),0))</f>
        <v>0</v>
      </c>
      <c r="AG26" s="307" t="n">
        <f aca="false">IF(AG8&lt;Assumptions!$G$34,Assumptions!$G$42*Assumptions!$G$41,IF(AND(AG8&gt;Assumptions!$G$34,AF8&lt;Assumptions!$G$34),Assumptions!$G$42*Assumptions!$G$41*(1-$C$6),0))</f>
        <v>0</v>
      </c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</row>
    <row r="27" customFormat="false" ht="12.75" hidden="false" customHeight="false" outlineLevel="0" collapsed="false">
      <c r="A27" s="31" t="s">
        <v>394</v>
      </c>
      <c r="C27" s="307" t="n">
        <f aca="false">Assumptions!$O$23*Assumptions!$H$68*Assumptions!H18/12</f>
        <v>558.666666666667</v>
      </c>
      <c r="D27" s="307" t="n">
        <f aca="false">Assumptions!$O$23*Assumptions!$H$68*(1+Assumptions!$N$11)</f>
        <v>854.76</v>
      </c>
      <c r="E27" s="307" t="n">
        <f aca="false">Assumptions!$O$23*Assumptions!$H$68*(1+Assumptions!$N$11)</f>
        <v>854.76</v>
      </c>
      <c r="F27" s="307" t="n">
        <f aca="false">Assumptions!$O$23*Assumptions!$H$68*(1+Assumptions!$N$11)</f>
        <v>854.76</v>
      </c>
      <c r="G27" s="307" t="n">
        <f aca="false">Assumptions!$O$23*Assumptions!$H$68*(1+Assumptions!$N$11)</f>
        <v>854.76</v>
      </c>
      <c r="H27" s="307" t="n">
        <f aca="false">Assumptions!$O$23*Assumptions!$H$68*(1+Assumptions!$N$11)</f>
        <v>854.76</v>
      </c>
      <c r="I27" s="307" t="n">
        <f aca="false">Assumptions!$O$23*Assumptions!$H$68*(1+Assumptions!$N$11)</f>
        <v>854.76</v>
      </c>
      <c r="J27" s="307" t="n">
        <f aca="false">Assumptions!$O$23*Assumptions!$H$68*(1+Assumptions!$N$11)</f>
        <v>854.76</v>
      </c>
      <c r="K27" s="307" t="n">
        <f aca="false">Assumptions!$O$23*Assumptions!$H$68*(1+Assumptions!$N$11)</f>
        <v>854.76</v>
      </c>
      <c r="L27" s="307" t="n">
        <f aca="false">Assumptions!$O$23*Assumptions!$H$68*(1+Assumptions!$N$11)</f>
        <v>854.76</v>
      </c>
      <c r="M27" s="307" t="n">
        <f aca="false">Assumptions!$O$23*Assumptions!$H$68*(1+Assumptions!$N$11)</f>
        <v>854.76</v>
      </c>
      <c r="N27" s="307" t="n">
        <f aca="false">Assumptions!$O$23*Assumptions!$H$68*(1+Assumptions!$N$11)</f>
        <v>854.76</v>
      </c>
      <c r="O27" s="307" t="n">
        <f aca="false">Assumptions!$O$23*Assumptions!$H$68*(1+Assumptions!$N$11)</f>
        <v>854.76</v>
      </c>
      <c r="P27" s="307" t="n">
        <f aca="false">Assumptions!$O$23*Assumptions!$H$68*(1+Assumptions!$N$11)</f>
        <v>854.76</v>
      </c>
      <c r="Q27" s="307" t="n">
        <f aca="false">Assumptions!$O$23*Assumptions!$H$68*(1+Assumptions!$N$11)</f>
        <v>854.76</v>
      </c>
      <c r="R27" s="307" t="n">
        <f aca="false">Assumptions!$O$23*Assumptions!$H$68*(1+Assumptions!$N$11)</f>
        <v>854.76</v>
      </c>
      <c r="S27" s="307" t="n">
        <f aca="false">Assumptions!$O$23*Assumptions!$H$68*(1+Assumptions!$N$11)</f>
        <v>854.76</v>
      </c>
      <c r="T27" s="307" t="n">
        <f aca="false">Assumptions!$O$23*Assumptions!$H$68*(1+Assumptions!$N$11)</f>
        <v>854.76</v>
      </c>
      <c r="U27" s="307" t="n">
        <f aca="false">Assumptions!$O$23*Assumptions!$H$68*(1+Assumptions!$N$11)</f>
        <v>854.76</v>
      </c>
      <c r="V27" s="307" t="n">
        <f aca="false">Assumptions!$O$23*Assumptions!$H$68*(1+Assumptions!$N$11)</f>
        <v>854.76</v>
      </c>
      <c r="W27" s="307" t="n">
        <f aca="false">Assumptions!$O$23*Assumptions!$H$68*(1+Assumptions!$N$11)</f>
        <v>854.76</v>
      </c>
      <c r="X27" s="307" t="n">
        <f aca="false">Assumptions!$O$23*Assumptions!$H$68*(1+Assumptions!$N$11)</f>
        <v>854.76</v>
      </c>
      <c r="Y27" s="307" t="n">
        <f aca="false">Assumptions!$O$23*Assumptions!$H$68*(1+Assumptions!$N$11)</f>
        <v>854.76</v>
      </c>
      <c r="Z27" s="307" t="n">
        <f aca="false">Assumptions!$O$23*Assumptions!$H$68*(1+Assumptions!$N$11)</f>
        <v>854.76</v>
      </c>
      <c r="AA27" s="307" t="n">
        <f aca="false">Assumptions!$O$23*Assumptions!$H$68*(1+Assumptions!$N$11)</f>
        <v>854.76</v>
      </c>
      <c r="AB27" s="307" t="n">
        <f aca="false">Assumptions!$O$23*Assumptions!$H$68*(1+Assumptions!$N$11)</f>
        <v>854.76</v>
      </c>
      <c r="AC27" s="307" t="n">
        <f aca="false">Assumptions!$O$23*Assumptions!$H$68*(1+Assumptions!$N$11)</f>
        <v>854.76</v>
      </c>
      <c r="AD27" s="307" t="n">
        <f aca="false">Assumptions!$O$23*Assumptions!$H$68*(1+Assumptions!$N$11)</f>
        <v>854.76</v>
      </c>
      <c r="AE27" s="307" t="n">
        <f aca="false">Assumptions!$O$23*Assumptions!$H$68*(1+Assumptions!$N$11)</f>
        <v>854.76</v>
      </c>
      <c r="AF27" s="307" t="n">
        <f aca="false">Assumptions!$O$23*Assumptions!$H$68*(1+Assumptions!$N$11)</f>
        <v>854.76</v>
      </c>
      <c r="AG27" s="307" t="n">
        <f aca="false">Assumptions!$O$23*Assumptions!$H$68*(1+Assumptions!$N$11)</f>
        <v>854.76</v>
      </c>
    </row>
    <row r="28" customFormat="false" ht="12.75" hidden="false" customHeight="false" outlineLevel="0" collapsed="false">
      <c r="A28" s="143" t="s">
        <v>395</v>
      </c>
      <c r="C28" s="307" t="n">
        <f aca="false">Assumptions!$N24*Assumptions!H18/12</f>
        <v>187.405333333333</v>
      </c>
      <c r="D28" s="307" t="n">
        <f aca="false">Assumptions!$N24*(1+Assumptions!$N$11)</f>
        <v>286.73016</v>
      </c>
      <c r="E28" s="307" t="n">
        <f aca="false">D28*(1+Assumptions!$N$11)</f>
        <v>292.4647632</v>
      </c>
      <c r="F28" s="307" t="n">
        <f aca="false">E28*(1+Assumptions!$N$11)</f>
        <v>298.314058464</v>
      </c>
      <c r="G28" s="307" t="n">
        <f aca="false">F28*(1+Assumptions!$N$11)</f>
        <v>304.28033963328</v>
      </c>
      <c r="H28" s="307" t="n">
        <f aca="false">G28*(1+Assumptions!$N$11)</f>
        <v>310.365946425946</v>
      </c>
      <c r="I28" s="307" t="n">
        <f aca="false">H28*(1+Assumptions!$N$11)</f>
        <v>316.573265354465</v>
      </c>
      <c r="J28" s="307" t="n">
        <f aca="false">I28*(1+Assumptions!$N$11)</f>
        <v>322.904730661554</v>
      </c>
      <c r="K28" s="307" t="n">
        <f aca="false">J28*(1+Assumptions!$N$11)</f>
        <v>329.362825274785</v>
      </c>
      <c r="L28" s="307" t="n">
        <f aca="false">K28*(1+Assumptions!$N$11)</f>
        <v>335.950081780281</v>
      </c>
      <c r="M28" s="307" t="n">
        <f aca="false">L28*(1+Assumptions!$N$11)</f>
        <v>342.669083415886</v>
      </c>
      <c r="N28" s="307" t="n">
        <f aca="false">M28*(1+Assumptions!$N$11)</f>
        <v>349.522465084204</v>
      </c>
      <c r="O28" s="307" t="n">
        <f aca="false">N28*(1+Assumptions!$N$11)</f>
        <v>356.512914385888</v>
      </c>
      <c r="P28" s="307" t="n">
        <f aca="false">O28*(1+Assumptions!$N$11)</f>
        <v>363.643172673606</v>
      </c>
      <c r="Q28" s="307" t="n">
        <f aca="false">P28*(1+Assumptions!$N$11)</f>
        <v>370.916036127078</v>
      </c>
      <c r="R28" s="307" t="n">
        <f aca="false">Q28*(1+Assumptions!$N$11)</f>
        <v>378.334356849619</v>
      </c>
      <c r="S28" s="307" t="n">
        <f aca="false">R28*(1+Assumptions!$N$11)</f>
        <v>385.901043986612</v>
      </c>
      <c r="T28" s="307" t="n">
        <f aca="false">S28*(1+Assumptions!$N$11)</f>
        <v>393.619064866344</v>
      </c>
      <c r="U28" s="307" t="n">
        <f aca="false">T28*(1+Assumptions!$N$11)</f>
        <v>401.491446163671</v>
      </c>
      <c r="V28" s="307" t="n">
        <f aca="false">U28*(1+Assumptions!$N$11)</f>
        <v>409.521275086944</v>
      </c>
      <c r="W28" s="307" t="n">
        <f aca="false">V28*(1+Assumptions!$N$11)</f>
        <v>417.711700588683</v>
      </c>
      <c r="X28" s="307" t="n">
        <f aca="false">W28*(1+Assumptions!$N$11)</f>
        <v>426.065934600457</v>
      </c>
      <c r="Y28" s="307" t="n">
        <f aca="false">X28*(1+Assumptions!$N$11)</f>
        <v>434.587253292466</v>
      </c>
      <c r="Z28" s="307" t="n">
        <f aca="false">Y28*(1+Assumptions!$N$11)</f>
        <v>443.278998358316</v>
      </c>
      <c r="AA28" s="307" t="n">
        <f aca="false">Z28*(1+Assumptions!$N$11)</f>
        <v>452.144578325482</v>
      </c>
      <c r="AB28" s="307" t="n">
        <f aca="false">AA28*(1+Assumptions!$N$11)</f>
        <v>461.187469891991</v>
      </c>
      <c r="AC28" s="307" t="n">
        <f aca="false">AB28*(1+Assumptions!$N$11)</f>
        <v>470.411219289831</v>
      </c>
      <c r="AD28" s="307" t="n">
        <f aca="false">AC28*(1+Assumptions!$N$11)</f>
        <v>479.819443675628</v>
      </c>
      <c r="AE28" s="307" t="n">
        <f aca="false">AD28*(1+Assumptions!$N$11)</f>
        <v>489.415832549141</v>
      </c>
      <c r="AF28" s="307" t="n">
        <f aca="false">AE28*(1+Assumptions!$N$11)</f>
        <v>499.204149200123</v>
      </c>
      <c r="AG28" s="307" t="n">
        <f aca="false">AF28*(1+Assumptions!$N$11)</f>
        <v>509.188232184126</v>
      </c>
    </row>
    <row r="29" customFormat="false" ht="12.75" hidden="false" customHeight="false" outlineLevel="0" collapsed="false">
      <c r="A29" s="143" t="s">
        <v>396</v>
      </c>
      <c r="C29" s="313" t="n">
        <f aca="false">Assumptions!$N25*Assumptions!H18/12</f>
        <v>281.652666666667</v>
      </c>
      <c r="D29" s="313" t="n">
        <f aca="false">Assumptions!$N25*(1+Assumptions!$N$11)</f>
        <v>430.92858</v>
      </c>
      <c r="E29" s="313" t="n">
        <f aca="false">D29*(1+Assumptions!$N$11)</f>
        <v>439.5471516</v>
      </c>
      <c r="F29" s="313" t="n">
        <f aca="false">E29*(1+Assumptions!$N$11)</f>
        <v>448.338094632</v>
      </c>
      <c r="G29" s="313" t="n">
        <f aca="false">F29*(1+Assumptions!$N$11)</f>
        <v>457.30485652464</v>
      </c>
      <c r="H29" s="313" t="n">
        <f aca="false">G29*(1+Assumptions!$N$11)</f>
        <v>466.450953655133</v>
      </c>
      <c r="I29" s="313" t="n">
        <f aca="false">H29*(1+Assumptions!$N$11)</f>
        <v>475.779972728236</v>
      </c>
      <c r="J29" s="313" t="n">
        <f aca="false">I29*(1+Assumptions!$N$11)</f>
        <v>485.2955721828</v>
      </c>
      <c r="K29" s="313" t="n">
        <f aca="false">J29*(1+Assumptions!$N$11)</f>
        <v>495.001483626456</v>
      </c>
      <c r="L29" s="313" t="n">
        <f aca="false">K29*(1+Assumptions!$N$11)</f>
        <v>504.901513298985</v>
      </c>
      <c r="M29" s="313" t="n">
        <f aca="false">L29*(1+Assumptions!$N$11)</f>
        <v>514.999543564965</v>
      </c>
      <c r="N29" s="313" t="n">
        <f aca="false">M29*(1+Assumptions!$N$11)</f>
        <v>525.299534436264</v>
      </c>
      <c r="O29" s="313" t="n">
        <f aca="false">N29*(1+Assumptions!$N$11)</f>
        <v>535.80552512499</v>
      </c>
      <c r="P29" s="313" t="n">
        <f aca="false">O29*(1+Assumptions!$N$11)</f>
        <v>546.521635627489</v>
      </c>
      <c r="Q29" s="313" t="n">
        <f aca="false">P29*(1+Assumptions!$N$11)</f>
        <v>557.452068340039</v>
      </c>
      <c r="R29" s="313" t="n">
        <f aca="false">Q29*(1+Assumptions!$N$11)</f>
        <v>568.60110970684</v>
      </c>
      <c r="S29" s="313" t="n">
        <f aca="false">R29*(1+Assumptions!$N$11)</f>
        <v>579.973131900977</v>
      </c>
      <c r="T29" s="313" t="n">
        <f aca="false">S29*(1+Assumptions!$N$11)</f>
        <v>591.572594538996</v>
      </c>
      <c r="U29" s="313" t="n">
        <f aca="false">T29*(1+Assumptions!$N$11)</f>
        <v>603.404046429776</v>
      </c>
      <c r="V29" s="313" t="n">
        <f aca="false">U29*(1+Assumptions!$N$11)</f>
        <v>615.472127358372</v>
      </c>
      <c r="W29" s="313" t="n">
        <f aca="false">V29*(1+Assumptions!$N$11)</f>
        <v>627.781569905539</v>
      </c>
      <c r="X29" s="313" t="n">
        <f aca="false">W29*(1+Assumptions!$N$11)</f>
        <v>640.33720130365</v>
      </c>
      <c r="Y29" s="313" t="n">
        <f aca="false">X29*(1+Assumptions!$N$11)</f>
        <v>653.143945329723</v>
      </c>
      <c r="Z29" s="313" t="n">
        <f aca="false">Y29*(1+Assumptions!$N$11)</f>
        <v>666.206824236318</v>
      </c>
      <c r="AA29" s="313" t="n">
        <f aca="false">Z29*(1+Assumptions!$N$11)</f>
        <v>679.530960721044</v>
      </c>
      <c r="AB29" s="313" t="n">
        <f aca="false">AA29*(1+Assumptions!$N$11)</f>
        <v>693.121579935465</v>
      </c>
      <c r="AC29" s="313" t="n">
        <f aca="false">AB29*(1+Assumptions!$N$11)</f>
        <v>706.984011534174</v>
      </c>
      <c r="AD29" s="313" t="n">
        <f aca="false">AC29*(1+Assumptions!$N$11)</f>
        <v>721.123691764858</v>
      </c>
      <c r="AE29" s="313" t="n">
        <f aca="false">AD29*(1+Assumptions!$N$11)</f>
        <v>735.546165600155</v>
      </c>
      <c r="AF29" s="313" t="n">
        <f aca="false">AE29*(1+Assumptions!$N$11)</f>
        <v>750.257088912158</v>
      </c>
      <c r="AG29" s="313" t="n">
        <f aca="false">AF29*(1+Assumptions!$N$11)</f>
        <v>765.262230690402</v>
      </c>
    </row>
    <row r="30" customFormat="false" ht="12.75" hidden="false" customHeight="false" outlineLevel="0" collapsed="false">
      <c r="A30" s="143" t="s">
        <v>397</v>
      </c>
      <c r="C30" s="282" t="n">
        <f aca="false">SUM(C16:C29)</f>
        <v>5253.49705626983</v>
      </c>
      <c r="D30" s="282" t="n">
        <f aca="false">SUM(D16:D29)</f>
        <v>6272.94251626983</v>
      </c>
      <c r="E30" s="282" t="n">
        <f aca="false">SUM(E16:E29)</f>
        <v>6314.70586546983</v>
      </c>
      <c r="F30" s="282" t="n">
        <f aca="false">SUM(F16:F29)</f>
        <v>6357.30448165383</v>
      </c>
      <c r="G30" s="282" t="n">
        <f aca="false">SUM(G16:G29)</f>
        <v>6400.75507016151</v>
      </c>
      <c r="H30" s="282" t="n">
        <f aca="false">SUM(H16:H29)</f>
        <v>6445.07467043934</v>
      </c>
      <c r="I30" s="282" t="n">
        <f aca="false">SUM(I16:I29)</f>
        <v>6490.28066272273</v>
      </c>
      <c r="J30" s="282" t="n">
        <f aca="false">SUM(J16:J29)</f>
        <v>6536.39077485179</v>
      </c>
      <c r="K30" s="282" t="n">
        <f aca="false">SUM(K16:K29)</f>
        <v>6583.42308922343</v>
      </c>
      <c r="L30" s="282" t="n">
        <f aca="false">SUM(L16:L29)</f>
        <v>6631.3960498825</v>
      </c>
      <c r="M30" s="282" t="n">
        <f aca="false">SUM(M16:M29)</f>
        <v>6680.32846975476</v>
      </c>
      <c r="N30" s="282" t="n">
        <f aca="false">SUM(N16:N29)</f>
        <v>6730.23953802445</v>
      </c>
      <c r="O30" s="282" t="n">
        <f aca="false">SUM(O16:O29)</f>
        <v>6781.14882765955</v>
      </c>
      <c r="P30" s="282" t="n">
        <f aca="false">SUM(P16:P29)</f>
        <v>6833.07630308734</v>
      </c>
      <c r="Q30" s="282" t="n">
        <f aca="false">SUM(Q16:Q29)</f>
        <v>6886.04232802369</v>
      </c>
      <c r="R30" s="282" t="n">
        <f aca="false">SUM(R16:R29)</f>
        <v>6940.06767345877</v>
      </c>
      <c r="S30" s="282" t="n">
        <f aca="false">SUM(S16:S29)</f>
        <v>6995.17352580255</v>
      </c>
      <c r="T30" s="282" t="n">
        <f aca="false">SUM(T16:T29)</f>
        <v>7051.3814951932</v>
      </c>
      <c r="U30" s="282" t="n">
        <f aca="false">SUM(U16:U29)</f>
        <v>7108.71362397167</v>
      </c>
      <c r="V30" s="282" t="n">
        <f aca="false">SUM(V16:V29)</f>
        <v>7167.19239532571</v>
      </c>
      <c r="W30" s="282" t="n">
        <f aca="false">SUM(W16:W29)</f>
        <v>7226.84074210682</v>
      </c>
      <c r="X30" s="282" t="n">
        <f aca="false">SUM(X16:X29)</f>
        <v>7287.68205582357</v>
      </c>
      <c r="Y30" s="282" t="n">
        <f aca="false">SUM(Y16:Y29)</f>
        <v>7349.74019581464</v>
      </c>
      <c r="Z30" s="282" t="n">
        <f aca="false">SUM(Z16:Z29)</f>
        <v>7413.03949860554</v>
      </c>
      <c r="AA30" s="282" t="n">
        <f aca="false">SUM(AA16:AA29)</f>
        <v>7477.60478745225</v>
      </c>
      <c r="AB30" s="282" t="n">
        <f aca="false">SUM(AB16:AB29)</f>
        <v>7543.4613820759</v>
      </c>
      <c r="AC30" s="282" t="n">
        <f aca="false">SUM(AC16:AC29)</f>
        <v>7610.63510859202</v>
      </c>
      <c r="AD30" s="282" t="n">
        <f aca="false">SUM(AD16:AD29)</f>
        <v>7679.15230963846</v>
      </c>
      <c r="AE30" s="282" t="n">
        <f aca="false">SUM(AE16:AE29)</f>
        <v>7749.03985470584</v>
      </c>
      <c r="AF30" s="282" t="n">
        <f aca="false">SUM(AF16:AF29)</f>
        <v>7820.32515067456</v>
      </c>
      <c r="AG30" s="282" t="n">
        <f aca="false">SUM(AG16:AG29)</f>
        <v>7893.03615256265</v>
      </c>
    </row>
    <row r="31" customFormat="false" ht="12.75" hidden="false" customHeight="false" outlineLevel="0" collapsed="false">
      <c r="A31" s="314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</row>
    <row r="32" customFormat="false" ht="12.75" hidden="false" customHeight="false" outlineLevel="0" collapsed="false">
      <c r="A32" s="306" t="s">
        <v>398</v>
      </c>
      <c r="C32" s="316" t="n">
        <f aca="false">C13-C30</f>
        <v>12560.3147241265</v>
      </c>
      <c r="D32" s="316" t="n">
        <f aca="false">D13-D30</f>
        <v>20447.7751543247</v>
      </c>
      <c r="E32" s="316" t="n">
        <f aca="false">E13-E30</f>
        <v>20406.0118051247</v>
      </c>
      <c r="F32" s="316" t="n">
        <f aca="false">F13-F30</f>
        <v>20363.4131889407</v>
      </c>
      <c r="G32" s="316" t="n">
        <f aca="false">G13-G30</f>
        <v>20319.962600433</v>
      </c>
      <c r="H32" s="316" t="n">
        <f aca="false">H13-H30</f>
        <v>20275.6430001552</v>
      </c>
      <c r="I32" s="316" t="n">
        <f aca="false">I13-I30</f>
        <v>20230.4370078718</v>
      </c>
      <c r="J32" s="316" t="n">
        <f aca="false">J13-J30</f>
        <v>20184.3268957427</v>
      </c>
      <c r="K32" s="316" t="n">
        <f aca="false">K13-K30</f>
        <v>20137.2945813711</v>
      </c>
      <c r="L32" s="316" t="n">
        <f aca="false">L13-L30</f>
        <v>20089.321620712</v>
      </c>
      <c r="M32" s="316" t="n">
        <f aca="false">M13-M30</f>
        <v>20040.3892008398</v>
      </c>
      <c r="N32" s="316" t="n">
        <f aca="false">N13-N30</f>
        <v>19990.4781325701</v>
      </c>
      <c r="O32" s="316" t="n">
        <f aca="false">O13-O30</f>
        <v>19939.568842935</v>
      </c>
      <c r="P32" s="316" t="n">
        <f aca="false">P13-P30</f>
        <v>19887.6413675072</v>
      </c>
      <c r="Q32" s="316" t="n">
        <f aca="false">Q13-Q30</f>
        <v>19834.6753425708</v>
      </c>
      <c r="R32" s="316" t="n">
        <f aca="false">R13-R30</f>
        <v>19780.6499971357</v>
      </c>
      <c r="S32" s="316" t="n">
        <f aca="false">S13-S30</f>
        <v>19725.544144792</v>
      </c>
      <c r="T32" s="316" t="n">
        <f aca="false">T13-T30</f>
        <v>19669.3361754013</v>
      </c>
      <c r="U32" s="316" t="n">
        <f aca="false">U13-U30</f>
        <v>19612.0040466228</v>
      </c>
      <c r="V32" s="316" t="n">
        <f aca="false">V13-V30</f>
        <v>19553.5252752688</v>
      </c>
      <c r="W32" s="316" t="n">
        <f aca="false">W13-W30</f>
        <v>19493.8769284877</v>
      </c>
      <c r="X32" s="316" t="n">
        <f aca="false">X13-X30</f>
        <v>19433.0356147709</v>
      </c>
      <c r="Y32" s="316" t="n">
        <f aca="false">Y13-Y30</f>
        <v>19370.9774747799</v>
      </c>
      <c r="Z32" s="316" t="n">
        <f aca="false">Z13-Z30</f>
        <v>19307.678171989</v>
      </c>
      <c r="AA32" s="316" t="n">
        <f aca="false">AA13-AA30</f>
        <v>19243.1128831423</v>
      </c>
      <c r="AB32" s="316" t="n">
        <f aca="false">AB13-AB30</f>
        <v>19177.2562885186</v>
      </c>
      <c r="AC32" s="316" t="n">
        <f aca="false">AC13-AC30</f>
        <v>19110.0825620025</v>
      </c>
      <c r="AD32" s="316" t="n">
        <f aca="false">AD13-AD30</f>
        <v>19041.5653609561</v>
      </c>
      <c r="AE32" s="316" t="n">
        <f aca="false">AE13-AE30</f>
        <v>18971.6778158887</v>
      </c>
      <c r="AF32" s="316" t="n">
        <f aca="false">AF13-AF30</f>
        <v>18900.39251992</v>
      </c>
      <c r="AG32" s="316" t="n">
        <f aca="false">AG13-AG30</f>
        <v>2197.14009800735</v>
      </c>
    </row>
    <row r="33" customFormat="false" ht="12.75" hidden="false" customHeight="false" outlineLevel="0" collapsed="false">
      <c r="A33" s="306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</row>
    <row r="34" customFormat="false" ht="12.75" hidden="false" customHeight="false" outlineLevel="0" collapsed="false">
      <c r="A34" s="143" t="s">
        <v>399</v>
      </c>
      <c r="C34" s="282" t="n">
        <f aca="false">Depreciation!D48</f>
        <v>5733.43031203201</v>
      </c>
      <c r="D34" s="282" t="n">
        <f aca="false">Depreciation!E48</f>
        <v>8600.14546804802</v>
      </c>
      <c r="E34" s="282" t="n">
        <f aca="false">Depreciation!F48</f>
        <v>8600.14546804802</v>
      </c>
      <c r="F34" s="282" t="n">
        <f aca="false">Depreciation!G48</f>
        <v>8600.14546804802</v>
      </c>
      <c r="G34" s="282" t="n">
        <f aca="false">Depreciation!H48</f>
        <v>8600.14546804802</v>
      </c>
      <c r="H34" s="282" t="n">
        <f aca="false">Depreciation!I48</f>
        <v>6798.93294138135</v>
      </c>
      <c r="I34" s="282" t="n">
        <f aca="false">Depreciation!J48</f>
        <v>5898.32667804801</v>
      </c>
      <c r="J34" s="282" t="n">
        <f aca="false">Depreciation!K48</f>
        <v>5898.32667804801</v>
      </c>
      <c r="K34" s="282" t="n">
        <f aca="false">Depreciation!L48</f>
        <v>5898.32667804801</v>
      </c>
      <c r="L34" s="282" t="n">
        <f aca="false">Depreciation!M48</f>
        <v>5898.32667804801</v>
      </c>
      <c r="M34" s="282" t="n">
        <f aca="false">Depreciation!N48</f>
        <v>5898.32667804801</v>
      </c>
      <c r="N34" s="282" t="n">
        <f aca="false">Depreciation!O48</f>
        <v>5898.32667804801</v>
      </c>
      <c r="O34" s="282" t="n">
        <f aca="false">Depreciation!P48</f>
        <v>5898.32667804801</v>
      </c>
      <c r="P34" s="282" t="n">
        <f aca="false">Depreciation!Q48</f>
        <v>5898.32667804801</v>
      </c>
      <c r="Q34" s="282" t="n">
        <f aca="false">Depreciation!R48</f>
        <v>5898.32667804801</v>
      </c>
      <c r="R34" s="282" t="n">
        <f aca="false">Depreciation!S48</f>
        <v>5898.32667804801</v>
      </c>
      <c r="S34" s="282" t="n">
        <f aca="false">Depreciation!T48</f>
        <v>5898.32667804801</v>
      </c>
      <c r="T34" s="282" t="n">
        <f aca="false">Depreciation!U48</f>
        <v>5898.32667804801</v>
      </c>
      <c r="U34" s="282" t="n">
        <f aca="false">Depreciation!V48</f>
        <v>5898.32667804801</v>
      </c>
      <c r="V34" s="282" t="n">
        <f aca="false">Depreciation!W48</f>
        <v>5898.32667804801</v>
      </c>
      <c r="W34" s="282" t="n">
        <f aca="false">Depreciation!X48</f>
        <v>5898.32667804801</v>
      </c>
      <c r="X34" s="282" t="n">
        <f aca="false">Depreciation!Y48</f>
        <v>5898.32667804801</v>
      </c>
      <c r="Y34" s="282" t="n">
        <f aca="false">Depreciation!Z48</f>
        <v>5898.32667804801</v>
      </c>
      <c r="Z34" s="282" t="n">
        <f aca="false">Depreciation!AA48</f>
        <v>5898.32667804801</v>
      </c>
      <c r="AA34" s="282" t="n">
        <f aca="false">Depreciation!AB48</f>
        <v>5898.32667804801</v>
      </c>
      <c r="AB34" s="282" t="n">
        <f aca="false">Depreciation!AC48</f>
        <v>5898.32667804801</v>
      </c>
      <c r="AC34" s="282" t="n">
        <f aca="false">Depreciation!AD48</f>
        <v>5898.32667804801</v>
      </c>
      <c r="AD34" s="282" t="n">
        <f aca="false">Depreciation!AE48</f>
        <v>5898.32667804801</v>
      </c>
      <c r="AE34" s="282" t="n">
        <f aca="false">Depreciation!AF48</f>
        <v>5898.32667804801</v>
      </c>
      <c r="AF34" s="282" t="n">
        <f aca="false">Depreciation!AG48</f>
        <v>5898.32667804801</v>
      </c>
      <c r="AG34" s="282" t="n">
        <f aca="false">Depreciation!AH48</f>
        <v>1966.10889268267</v>
      </c>
    </row>
    <row r="35" customFormat="false" ht="12.75" hidden="false" customHeight="false" outlineLevel="0" collapsed="false">
      <c r="A35" s="143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</row>
    <row r="36" customFormat="false" ht="12.75" hidden="false" customHeight="false" outlineLevel="0" collapsed="false">
      <c r="A36" s="306" t="s">
        <v>400</v>
      </c>
      <c r="C36" s="316" t="n">
        <f aca="false">C32-C34</f>
        <v>6826.88441209451</v>
      </c>
      <c r="D36" s="316" t="n">
        <f aca="false">D32-D34</f>
        <v>11847.6296862767</v>
      </c>
      <c r="E36" s="316" t="n">
        <f aca="false">E32-E34</f>
        <v>11805.8663370767</v>
      </c>
      <c r="F36" s="316" t="n">
        <f aca="false">F32-F34</f>
        <v>11763.2677208927</v>
      </c>
      <c r="G36" s="316" t="n">
        <f aca="false">G32-G34</f>
        <v>11719.817132385</v>
      </c>
      <c r="H36" s="316" t="n">
        <f aca="false">H32-H34</f>
        <v>13476.7100587738</v>
      </c>
      <c r="I36" s="316" t="n">
        <f aca="false">I32-I34</f>
        <v>14332.1103298238</v>
      </c>
      <c r="J36" s="316" t="n">
        <f aca="false">J32-J34</f>
        <v>14286.0002176947</v>
      </c>
      <c r="K36" s="316" t="n">
        <f aca="false">K32-K34</f>
        <v>14238.9679033231</v>
      </c>
      <c r="L36" s="316" t="n">
        <f aca="false">L32-L34</f>
        <v>14190.994942664</v>
      </c>
      <c r="M36" s="316" t="n">
        <f aca="false">M32-M34</f>
        <v>14142.0625227917</v>
      </c>
      <c r="N36" s="316" t="n">
        <f aca="false">N32-N34</f>
        <v>14092.151454522</v>
      </c>
      <c r="O36" s="316" t="n">
        <f aca="false">O32-O34</f>
        <v>14041.242164887</v>
      </c>
      <c r="P36" s="316" t="n">
        <f aca="false">P32-P34</f>
        <v>13989.3146894592</v>
      </c>
      <c r="Q36" s="316" t="n">
        <f aca="false">Q32-Q34</f>
        <v>13936.3486645228</v>
      </c>
      <c r="R36" s="316" t="n">
        <f aca="false">R32-R34</f>
        <v>13882.3233190877</v>
      </c>
      <c r="S36" s="316" t="n">
        <f aca="false">S32-S34</f>
        <v>13827.217466744</v>
      </c>
      <c r="T36" s="316" t="n">
        <f aca="false">T32-T34</f>
        <v>13771.0094973533</v>
      </c>
      <c r="U36" s="316" t="n">
        <f aca="false">U32-U34</f>
        <v>13713.6773685748</v>
      </c>
      <c r="V36" s="316" t="n">
        <f aca="false">V32-V34</f>
        <v>13655.1985972208</v>
      </c>
      <c r="W36" s="316" t="n">
        <f aca="false">W32-W34</f>
        <v>13595.5502504397</v>
      </c>
      <c r="X36" s="316" t="n">
        <f aca="false">X32-X34</f>
        <v>13534.7089367229</v>
      </c>
      <c r="Y36" s="316" t="n">
        <f aca="false">Y32-Y34</f>
        <v>13472.6507967319</v>
      </c>
      <c r="Z36" s="316" t="n">
        <f aca="false">Z32-Z34</f>
        <v>13409.351493941</v>
      </c>
      <c r="AA36" s="316" t="n">
        <f aca="false">AA32-AA34</f>
        <v>13344.7862050943</v>
      </c>
      <c r="AB36" s="316" t="n">
        <f aca="false">AB32-AB34</f>
        <v>13278.9296104706</v>
      </c>
      <c r="AC36" s="316" t="n">
        <f aca="false">AC32-AC34</f>
        <v>13211.7558839545</v>
      </c>
      <c r="AD36" s="316" t="n">
        <f aca="false">AD32-AD34</f>
        <v>13143.238682908</v>
      </c>
      <c r="AE36" s="316" t="n">
        <f aca="false">AE32-AE34</f>
        <v>13073.3511378407</v>
      </c>
      <c r="AF36" s="316" t="n">
        <f aca="false">AF32-AF34</f>
        <v>13002.0658418719</v>
      </c>
      <c r="AG36" s="316" t="n">
        <f aca="false">AG32-AG34</f>
        <v>231.031205324681</v>
      </c>
    </row>
    <row r="37" customFormat="false" ht="12.75" hidden="false" customHeight="false" outlineLevel="0" collapsed="false">
      <c r="A37" s="30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</row>
    <row r="38" customFormat="false" ht="12.75" hidden="false" customHeight="false" outlineLevel="0" collapsed="false">
      <c r="A38" s="143" t="s">
        <v>401</v>
      </c>
      <c r="C38" s="282" t="n">
        <f aca="false">'Revised Debt'!C18*7/12</f>
        <v>6103.04682615547</v>
      </c>
      <c r="D38" s="282" t="n">
        <f aca="false">'Revised Debt'!D18</f>
        <v>10351.6071596684</v>
      </c>
      <c r="E38" s="282" t="n">
        <f aca="false">'Revised Debt'!E18</f>
        <v>10233.0952136799</v>
      </c>
      <c r="F38" s="282" t="n">
        <f aca="false">'Revised Debt'!F18</f>
        <v>10106.2874314722</v>
      </c>
      <c r="G38" s="282" t="n">
        <f aca="false">'Revised Debt'!G18</f>
        <v>9970.60310450989</v>
      </c>
      <c r="H38" s="282" t="n">
        <f aca="false">'Revised Debt'!H18</f>
        <v>9825.42087466026</v>
      </c>
      <c r="I38" s="282" t="n">
        <f aca="false">'Revised Debt'!I18</f>
        <v>9670.07588872116</v>
      </c>
      <c r="J38" s="282" t="n">
        <f aca="false">'Revised Debt'!J18</f>
        <v>9503.85675376632</v>
      </c>
      <c r="K38" s="282" t="n">
        <f aca="false">'Revised Debt'!K18</f>
        <v>9326.00227936464</v>
      </c>
      <c r="L38" s="282" t="n">
        <f aca="false">'Revised Debt'!L18</f>
        <v>9135.69799175484</v>
      </c>
      <c r="M38" s="282" t="n">
        <f aca="false">'Revised Debt'!M18</f>
        <v>8932.07240401236</v>
      </c>
      <c r="N38" s="282" t="n">
        <f aca="false">'Revised Debt'!N18</f>
        <v>8714.1930251279</v>
      </c>
      <c r="O38" s="282" t="n">
        <f aca="false">'Revised Debt'!O18</f>
        <v>8481.06208972153</v>
      </c>
      <c r="P38" s="282" t="n">
        <f aca="false">'Revised Debt'!P18</f>
        <v>8231.61198883672</v>
      </c>
      <c r="Q38" s="282" t="n">
        <f aca="false">'Revised Debt'!Q18</f>
        <v>7964.70038088997</v>
      </c>
      <c r="R38" s="282" t="n">
        <f aca="false">'Revised Debt'!R18</f>
        <v>7679.10496038694</v>
      </c>
      <c r="S38" s="282" t="n">
        <f aca="false">'Revised Debt'!S18</f>
        <v>7373.51786044871</v>
      </c>
      <c r="T38" s="282" t="n">
        <f aca="false">'Revised Debt'!T18</f>
        <v>7046.53966351479</v>
      </c>
      <c r="U38" s="282" t="n">
        <f aca="false">'Revised Debt'!U18</f>
        <v>6696.67299279551</v>
      </c>
      <c r="V38" s="282" t="n">
        <f aca="false">'Revised Debt'!V18</f>
        <v>6322.31565512587</v>
      </c>
      <c r="W38" s="282" t="n">
        <f aca="false">'Revised Debt'!W18</f>
        <v>5921.75330381936</v>
      </c>
      <c r="X38" s="282" t="n">
        <f aca="false">'Revised Debt'!X18</f>
        <v>5493.15158792139</v>
      </c>
      <c r="Y38" s="282" t="n">
        <f aca="false">'Revised Debt'!Y18</f>
        <v>5034.54775191057</v>
      </c>
      <c r="Z38" s="282" t="n">
        <f aca="false">'Revised Debt'!Z18</f>
        <v>4543.84164737899</v>
      </c>
      <c r="AA38" s="282" t="n">
        <f aca="false">'Revised Debt'!AA18</f>
        <v>4018.78611553019</v>
      </c>
      <c r="AB38" s="282" t="n">
        <f aca="false">'Revised Debt'!AB18</f>
        <v>3456.97669645199</v>
      </c>
      <c r="AC38" s="282" t="n">
        <f aca="false">'Revised Debt'!AC18</f>
        <v>2855.8406180383</v>
      </c>
      <c r="AD38" s="282" t="n">
        <f aca="false">'Revised Debt'!AD18</f>
        <v>2212.62501413566</v>
      </c>
      <c r="AE38" s="282" t="n">
        <f aca="false">'Revised Debt'!AE18</f>
        <v>1524.38431795984</v>
      </c>
      <c r="AF38" s="282" t="n">
        <f aca="false">'Revised Debt'!AF18</f>
        <v>787.966773051703</v>
      </c>
      <c r="AG38" s="282" t="n">
        <f aca="false">'Revised Debt'!AG18</f>
        <v>0</v>
      </c>
    </row>
    <row r="39" customFormat="false" ht="12" hidden="false" customHeight="true" outlineLevel="0" collapsed="false">
      <c r="A39" s="3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</row>
    <row r="40" customFormat="false" ht="12.75" hidden="false" customHeight="false" outlineLevel="0" collapsed="false">
      <c r="A40" s="306" t="s">
        <v>402</v>
      </c>
      <c r="C40" s="316" t="n">
        <f aca="false">C36-C38</f>
        <v>723.837585939035</v>
      </c>
      <c r="D40" s="316" t="n">
        <f aca="false">D36-D38</f>
        <v>1496.02252660825</v>
      </c>
      <c r="E40" s="316" t="n">
        <f aca="false">E36-E38</f>
        <v>1572.77112339678</v>
      </c>
      <c r="F40" s="316" t="n">
        <f aca="false">F36-F38</f>
        <v>1656.98028942051</v>
      </c>
      <c r="G40" s="316" t="n">
        <f aca="false">G36-G38</f>
        <v>1749.2140278751</v>
      </c>
      <c r="H40" s="316" t="n">
        <f aca="false">H36-H38</f>
        <v>3651.28918411356</v>
      </c>
      <c r="I40" s="316" t="n">
        <f aca="false">I36-I38</f>
        <v>4662.03444110261</v>
      </c>
      <c r="J40" s="316" t="n">
        <f aca="false">J36-J38</f>
        <v>4782.14346392839</v>
      </c>
      <c r="K40" s="316" t="n">
        <f aca="false">K36-K38</f>
        <v>4912.96562395843</v>
      </c>
      <c r="L40" s="316" t="n">
        <f aca="false">L36-L38</f>
        <v>5055.29695090915</v>
      </c>
      <c r="M40" s="316" t="n">
        <f aca="false">M36-M38</f>
        <v>5209.99011877938</v>
      </c>
      <c r="N40" s="316" t="n">
        <f aca="false">N36-N38</f>
        <v>5377.95842939414</v>
      </c>
      <c r="O40" s="316" t="n">
        <f aca="false">O36-O38</f>
        <v>5560.18007516542</v>
      </c>
      <c r="P40" s="316" t="n">
        <f aca="false">P36-P38</f>
        <v>5757.70270062244</v>
      </c>
      <c r="Q40" s="316" t="n">
        <f aca="false">Q36-Q38</f>
        <v>5971.64828363284</v>
      </c>
      <c r="R40" s="316" t="n">
        <f aca="false">R36-R38</f>
        <v>6203.21835870079</v>
      </c>
      <c r="S40" s="316" t="n">
        <f aca="false">S36-S38</f>
        <v>6453.69960629524</v>
      </c>
      <c r="T40" s="316" t="n">
        <f aca="false">T36-T38</f>
        <v>6724.4698338385</v>
      </c>
      <c r="U40" s="316" t="n">
        <f aca="false">U36-U38</f>
        <v>7017.00437577932</v>
      </c>
      <c r="V40" s="316" t="n">
        <f aca="false">V36-V38</f>
        <v>7332.88294209492</v>
      </c>
      <c r="W40" s="316" t="n">
        <f aca="false">W36-W38</f>
        <v>7673.79694662032</v>
      </c>
      <c r="X40" s="316" t="n">
        <f aca="false">X36-X38</f>
        <v>8041.55734880154</v>
      </c>
      <c r="Y40" s="316" t="n">
        <f aca="false">Y36-Y38</f>
        <v>8438.10304482129</v>
      </c>
      <c r="Z40" s="316" t="n">
        <f aca="false">Z36-Z38</f>
        <v>8865.50984656197</v>
      </c>
      <c r="AA40" s="316" t="n">
        <f aca="false">AA36-AA38</f>
        <v>9326.00008956406</v>
      </c>
      <c r="AB40" s="316" t="n">
        <f aca="false">AB36-AB38</f>
        <v>9821.95291401862</v>
      </c>
      <c r="AC40" s="316" t="n">
        <f aca="false">AC36-AC38</f>
        <v>10355.9152659162</v>
      </c>
      <c r="AD40" s="316" t="n">
        <f aca="false">AD36-AD38</f>
        <v>10930.6136687724</v>
      </c>
      <c r="AE40" s="316" t="n">
        <f aca="false">AE36-AE38</f>
        <v>11548.9668198808</v>
      </c>
      <c r="AF40" s="316" t="n">
        <f aca="false">AF36-AF38</f>
        <v>12214.0990688202</v>
      </c>
      <c r="AG40" s="316" t="n">
        <f aca="false">AG36-AG38</f>
        <v>231.031205324681</v>
      </c>
    </row>
    <row r="41" customFormat="false" ht="12.75" hidden="false" customHeight="false" outlineLevel="0" collapsed="false">
      <c r="A41" s="30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</row>
    <row r="42" customFormat="false" ht="12.75" hidden="false" customHeight="false" outlineLevel="0" collapsed="false">
      <c r="A42" s="143" t="s">
        <v>403</v>
      </c>
      <c r="B42" s="317" t="n">
        <f aca="false">Assumptions!N51</f>
        <v>0.07</v>
      </c>
      <c r="C42" s="307" t="n">
        <f aca="false">-C40*$B$42</f>
        <v>-50.6686310157325</v>
      </c>
      <c r="D42" s="307" t="n">
        <f aca="false">-D40*$B$42</f>
        <v>-104.721576862577</v>
      </c>
      <c r="E42" s="307" t="n">
        <f aca="false">-E40*$B$42</f>
        <v>-110.093978637774</v>
      </c>
      <c r="F42" s="307" t="n">
        <f aca="false">-F40*$B$42</f>
        <v>-115.988620259436</v>
      </c>
      <c r="G42" s="307" t="n">
        <f aca="false">-G40*$B$42</f>
        <v>-122.444981951257</v>
      </c>
      <c r="H42" s="307" t="n">
        <f aca="false">-H40*$B$42</f>
        <v>-255.590242887949</v>
      </c>
      <c r="I42" s="307" t="n">
        <f aca="false">-I40*$B$42</f>
        <v>-326.342410877183</v>
      </c>
      <c r="J42" s="307" t="n">
        <f aca="false">-J40*$B$42</f>
        <v>-334.750042474987</v>
      </c>
      <c r="K42" s="307" t="n">
        <f aca="false">-K40*$B$42</f>
        <v>-343.90759367709</v>
      </c>
      <c r="L42" s="307" t="n">
        <f aca="false">-L40*$B$42</f>
        <v>-353.870786563641</v>
      </c>
      <c r="M42" s="307" t="n">
        <f aca="false">-M40*$B$42</f>
        <v>-364.699308314557</v>
      </c>
      <c r="N42" s="307" t="n">
        <f aca="false">-N40*$B$42</f>
        <v>-376.45709005759</v>
      </c>
      <c r="O42" s="307" t="n">
        <f aca="false">-O40*$B$42</f>
        <v>-389.212605261579</v>
      </c>
      <c r="P42" s="307" t="n">
        <f aca="false">-P40*$B$42</f>
        <v>-403.039189043571</v>
      </c>
      <c r="Q42" s="307" t="n">
        <f aca="false">-Q40*$B$42</f>
        <v>-418.015379854299</v>
      </c>
      <c r="R42" s="307" t="n">
        <f aca="false">-R40*$B$42</f>
        <v>-434.225285109055</v>
      </c>
      <c r="S42" s="307" t="n">
        <f aca="false">-S40*$B$42</f>
        <v>-451.758972440667</v>
      </c>
      <c r="T42" s="307" t="n">
        <f aca="false">-T40*$B$42</f>
        <v>-470.712888368695</v>
      </c>
      <c r="U42" s="307" t="n">
        <f aca="false">-U40*$B$42</f>
        <v>-491.190306304552</v>
      </c>
      <c r="V42" s="307" t="n">
        <f aca="false">-V40*$B$42</f>
        <v>-513.301805946644</v>
      </c>
      <c r="W42" s="307" t="n">
        <f aca="false">-W40*$B$42</f>
        <v>-537.165786263422</v>
      </c>
      <c r="X42" s="307" t="n">
        <f aca="false">-X40*$B$42</f>
        <v>-562.909014416108</v>
      </c>
      <c r="Y42" s="307" t="n">
        <f aca="false">-Y40*$B$42</f>
        <v>-590.66721313749</v>
      </c>
      <c r="Z42" s="307" t="n">
        <f aca="false">-Z40*$B$42</f>
        <v>-620.585689259338</v>
      </c>
      <c r="AA42" s="307" t="n">
        <f aca="false">-AA40*$B$42</f>
        <v>-652.820006269484</v>
      </c>
      <c r="AB42" s="307" t="n">
        <f aca="false">-AB40*$B$42</f>
        <v>-687.536703981303</v>
      </c>
      <c r="AC42" s="307" t="n">
        <f aca="false">-AC40*$B$42</f>
        <v>-724.914068614132</v>
      </c>
      <c r="AD42" s="307" t="n">
        <f aca="false">-AD40*$B$42</f>
        <v>-765.142956814066</v>
      </c>
      <c r="AE42" s="307" t="n">
        <f aca="false">-AE40*$B$42</f>
        <v>-808.427677391658</v>
      </c>
      <c r="AF42" s="307" t="n">
        <f aca="false">-AF40*$B$42</f>
        <v>-854.986934817417</v>
      </c>
      <c r="AG42" s="307" t="n">
        <f aca="false">-AG40*$B$42</f>
        <v>-16.1721843727277</v>
      </c>
    </row>
    <row r="43" customFormat="false" ht="12.75" hidden="false" customHeight="false" outlineLevel="0" collapsed="false">
      <c r="A43" s="143" t="s">
        <v>404</v>
      </c>
      <c r="B43" s="317" t="n">
        <f aca="false">Assumptions!N50</f>
        <v>0.35</v>
      </c>
      <c r="C43" s="307" t="n">
        <f aca="false">(C40+C42)*-$B$43</f>
        <v>-235.609134223156</v>
      </c>
      <c r="D43" s="307" t="n">
        <f aca="false">(D40+D42)*-$B$43</f>
        <v>-486.955332410984</v>
      </c>
      <c r="E43" s="307" t="n">
        <f aca="false">(E40+E42)*-$B$43</f>
        <v>-511.937000665651</v>
      </c>
      <c r="F43" s="307" t="n">
        <f aca="false">(F40+F42)*-$B$43</f>
        <v>-539.347084206376</v>
      </c>
      <c r="G43" s="307" t="n">
        <f aca="false">(G40+G42)*-$B$43</f>
        <v>-569.369166073345</v>
      </c>
      <c r="H43" s="307" t="n">
        <f aca="false">(H40+H42)*-$B$43</f>
        <v>-1188.49462942896</v>
      </c>
      <c r="I43" s="307" t="n">
        <f aca="false">(I40+I42)*-$B$43</f>
        <v>-1517.4922105789</v>
      </c>
      <c r="J43" s="307" t="n">
        <f aca="false">(J40+J42)*-$B$43</f>
        <v>-1556.58769750869</v>
      </c>
      <c r="K43" s="307" t="n">
        <f aca="false">(K40+K42)*-$B$43</f>
        <v>-1599.17031059847</v>
      </c>
      <c r="L43" s="307" t="n">
        <f aca="false">(L40+L42)*-$B$43</f>
        <v>-1645.49915752093</v>
      </c>
      <c r="M43" s="307" t="n">
        <f aca="false">(M40+M42)*-$B$43</f>
        <v>-1695.85178366269</v>
      </c>
      <c r="N43" s="307" t="n">
        <f aca="false">(N40+N42)*-$B$43</f>
        <v>-1750.52546876779</v>
      </c>
      <c r="O43" s="307" t="n">
        <f aca="false">(O40+O42)*-$B$43</f>
        <v>-1809.83861446634</v>
      </c>
      <c r="P43" s="307" t="n">
        <f aca="false">(P40+P42)*-$B$43</f>
        <v>-1874.1322290526</v>
      </c>
      <c r="Q43" s="307" t="n">
        <f aca="false">(Q40+Q42)*-$B$43</f>
        <v>-1943.77151632249</v>
      </c>
      <c r="R43" s="307" t="n">
        <f aca="false">(R40+R42)*-$B$43</f>
        <v>-2019.14757575711</v>
      </c>
      <c r="S43" s="307" t="n">
        <f aca="false">(S40+S42)*-$B$43</f>
        <v>-2100.6792218491</v>
      </c>
      <c r="T43" s="307" t="n">
        <f aca="false">(T40+T42)*-$B$43</f>
        <v>-2188.81493091443</v>
      </c>
      <c r="U43" s="307" t="n">
        <f aca="false">(U40+U42)*-$B$43</f>
        <v>-2284.03492431617</v>
      </c>
      <c r="V43" s="307" t="n">
        <f aca="false">(V40+V42)*-$B$43</f>
        <v>-2386.8533976519</v>
      </c>
      <c r="W43" s="307" t="n">
        <f aca="false">(W40+W42)*-$B$43</f>
        <v>-2497.82090612491</v>
      </c>
      <c r="X43" s="307" t="n">
        <f aca="false">(X40+X42)*-$B$43</f>
        <v>-2617.5269170349</v>
      </c>
      <c r="Y43" s="307" t="n">
        <f aca="false">(Y40+Y42)*-$B$43</f>
        <v>-2746.60254108933</v>
      </c>
      <c r="Z43" s="307" t="n">
        <f aca="false">(Z40+Z42)*-$B$43</f>
        <v>-2885.72345505592</v>
      </c>
      <c r="AA43" s="307" t="n">
        <f aca="false">(AA40+AA42)*-$B$43</f>
        <v>-3035.6130291531</v>
      </c>
      <c r="AB43" s="307" t="n">
        <f aca="false">(AB40+AB42)*-$B$43</f>
        <v>-3197.04567351306</v>
      </c>
      <c r="AC43" s="307" t="n">
        <f aca="false">(AC40+AC42)*-$B$43</f>
        <v>-3370.85041905571</v>
      </c>
      <c r="AD43" s="307" t="n">
        <f aca="false">(AD40+AD42)*-$B$43</f>
        <v>-3557.91474918541</v>
      </c>
      <c r="AE43" s="307" t="n">
        <f aca="false">(AE40+AE42)*-$B$43</f>
        <v>-3759.18869987121</v>
      </c>
      <c r="AF43" s="307" t="n">
        <f aca="false">(AF40+AF42)*-$B$43</f>
        <v>-3975.68924690099</v>
      </c>
      <c r="AG43" s="307" t="n">
        <f aca="false">(AG40+AG42)*-$B$43</f>
        <v>-75.2006573331837</v>
      </c>
    </row>
    <row r="44" customFormat="false" ht="12.75" hidden="false" customHeight="false" outlineLevel="0" collapsed="false">
      <c r="A44" s="3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</row>
    <row r="45" customFormat="false" ht="15.75" hidden="false" customHeight="false" outlineLevel="0" collapsed="false">
      <c r="A45" s="318" t="s">
        <v>405</v>
      </c>
      <c r="B45" s="4"/>
      <c r="C45" s="319" t="n">
        <f aca="false">C40+C42+C43</f>
        <v>437.559820700147</v>
      </c>
      <c r="D45" s="319" t="n">
        <f aca="false">D40+D42+D43</f>
        <v>904.345617334685</v>
      </c>
      <c r="E45" s="319" t="n">
        <f aca="false">E40+E42+E43</f>
        <v>950.740144093352</v>
      </c>
      <c r="F45" s="319" t="n">
        <f aca="false">F40+F42+F43</f>
        <v>1001.6445849547</v>
      </c>
      <c r="G45" s="319" t="n">
        <f aca="false">G40+G42+G43</f>
        <v>1057.3998798505</v>
      </c>
      <c r="H45" s="319" t="n">
        <f aca="false">H40+H42+H43</f>
        <v>2207.20431179665</v>
      </c>
      <c r="I45" s="319" t="n">
        <f aca="false">I40+I42+I43</f>
        <v>2818.19981964653</v>
      </c>
      <c r="J45" s="319" t="n">
        <f aca="false">J40+J42+J43</f>
        <v>2890.80572394471</v>
      </c>
      <c r="K45" s="319" t="n">
        <f aca="false">K40+K42+K43</f>
        <v>2969.88771968287</v>
      </c>
      <c r="L45" s="319" t="n">
        <f aca="false">L40+L42+L43</f>
        <v>3055.92700682458</v>
      </c>
      <c r="M45" s="319" t="n">
        <f aca="false">M40+M42+M43</f>
        <v>3149.43902680214</v>
      </c>
      <c r="N45" s="319" t="n">
        <f aca="false">N40+N42+N43</f>
        <v>3250.97587056876</v>
      </c>
      <c r="O45" s="319" t="n">
        <f aca="false">O40+O42+O43</f>
        <v>3361.12885543749</v>
      </c>
      <c r="P45" s="319" t="n">
        <f aca="false">P40+P42+P43</f>
        <v>3480.53128252626</v>
      </c>
      <c r="Q45" s="319" t="n">
        <f aca="false">Q40+Q42+Q43</f>
        <v>3609.86138745605</v>
      </c>
      <c r="R45" s="319" t="n">
        <f aca="false">R40+R42+R43</f>
        <v>3749.84549783463</v>
      </c>
      <c r="S45" s="319" t="n">
        <f aca="false">S40+S42+S43</f>
        <v>3901.26141200548</v>
      </c>
      <c r="T45" s="319" t="n">
        <f aca="false">T40+T42+T43</f>
        <v>4064.94201455537</v>
      </c>
      <c r="U45" s="319" t="n">
        <f aca="false">U40+U42+U43</f>
        <v>4241.7791451586</v>
      </c>
      <c r="V45" s="319" t="n">
        <f aca="false">V40+V42+V43</f>
        <v>4432.72773849638</v>
      </c>
      <c r="W45" s="319" t="n">
        <f aca="false">W40+W42+W43</f>
        <v>4638.81025423198</v>
      </c>
      <c r="X45" s="319" t="n">
        <f aca="false">X40+X42+X43</f>
        <v>4861.12141735053</v>
      </c>
      <c r="Y45" s="319" t="n">
        <f aca="false">Y40+Y42+Y43</f>
        <v>5100.83329059447</v>
      </c>
      <c r="Z45" s="319" t="n">
        <f aca="false">Z40+Z42+Z43</f>
        <v>5359.20070224671</v>
      </c>
      <c r="AA45" s="319" t="n">
        <f aca="false">AA40+AA42+AA43</f>
        <v>5637.56705414147</v>
      </c>
      <c r="AB45" s="319" t="n">
        <f aca="false">AB40+AB42+AB43</f>
        <v>5937.37053652425</v>
      </c>
      <c r="AC45" s="319" t="n">
        <f aca="false">AC40+AC42+AC43</f>
        <v>6260.15077824633</v>
      </c>
      <c r="AD45" s="319" t="n">
        <f aca="false">AD40+AD42+AD43</f>
        <v>6607.5559627729</v>
      </c>
      <c r="AE45" s="319" t="n">
        <f aca="false">AE40+AE42+AE43</f>
        <v>6981.35044261796</v>
      </c>
      <c r="AF45" s="319" t="n">
        <f aca="false">AF40+AF42+AF43</f>
        <v>7383.42288710184</v>
      </c>
      <c r="AG45" s="319" t="n">
        <f aca="false">AG40+AG42+AG43</f>
        <v>139.65836361877</v>
      </c>
    </row>
    <row r="46" customFormat="false" ht="15.75" hidden="false" customHeight="false" outlineLevel="0" collapsed="false">
      <c r="A46" s="318"/>
      <c r="B46" s="4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</row>
    <row r="47" customFormat="false" ht="15.75" hidden="false" customHeight="false" outlineLevel="0" collapsed="false">
      <c r="A47" s="318"/>
      <c r="B47" s="4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</row>
    <row r="49" customFormat="false" ht="15.75" hidden="false" customHeight="false" outlineLevel="0" collapsed="false">
      <c r="A49" s="248" t="s">
        <v>406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</row>
    <row r="50" customFormat="false" ht="15.75" hidden="false" customHeight="false" outlineLevel="0" collapsed="false">
      <c r="A50" s="24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</row>
    <row r="51" customFormat="false" ht="12.75" hidden="false" customHeight="false" outlineLevel="0" collapsed="false">
      <c r="A51" s="271" t="s">
        <v>407</v>
      </c>
      <c r="C51" s="166" t="n">
        <f aca="false">C45+C34</f>
        <v>6170.99013273216</v>
      </c>
      <c r="D51" s="166" t="n">
        <f aca="false">D45+D34</f>
        <v>9504.4910853827</v>
      </c>
      <c r="E51" s="166" t="n">
        <f aca="false">E45+E34</f>
        <v>9550.88561214137</v>
      </c>
      <c r="F51" s="166" t="n">
        <f aca="false">F45+F34</f>
        <v>9601.79005300271</v>
      </c>
      <c r="G51" s="166" t="n">
        <f aca="false">G45+G34</f>
        <v>9657.54534789851</v>
      </c>
      <c r="H51" s="166" t="n">
        <f aca="false">H45+H34</f>
        <v>9006.137253178</v>
      </c>
      <c r="I51" s="166" t="n">
        <f aca="false">I45+I34</f>
        <v>8716.52649769454</v>
      </c>
      <c r="J51" s="166" t="n">
        <f aca="false">J45+J34</f>
        <v>8789.13240199273</v>
      </c>
      <c r="K51" s="166" t="n">
        <f aca="false">K45+K34</f>
        <v>8868.21439773088</v>
      </c>
      <c r="L51" s="166" t="n">
        <f aca="false">L45+L34</f>
        <v>8954.2536848726</v>
      </c>
      <c r="M51" s="166" t="n">
        <f aca="false">M45+M34</f>
        <v>9047.76570485015</v>
      </c>
      <c r="N51" s="166" t="n">
        <f aca="false">N45+N34</f>
        <v>9149.30254861678</v>
      </c>
      <c r="O51" s="166" t="n">
        <f aca="false">O45+O34</f>
        <v>9259.45553348551</v>
      </c>
      <c r="P51" s="166" t="n">
        <f aca="false">P45+P34</f>
        <v>9378.85796057428</v>
      </c>
      <c r="Q51" s="166" t="n">
        <f aca="false">Q45+Q34</f>
        <v>9508.18806550407</v>
      </c>
      <c r="R51" s="166" t="n">
        <f aca="false">R45+R34</f>
        <v>9648.17217588264</v>
      </c>
      <c r="S51" s="166" t="n">
        <f aca="false">S45+S34</f>
        <v>9799.58809005349</v>
      </c>
      <c r="T51" s="166" t="n">
        <f aca="false">T45+T34</f>
        <v>9963.26869260339</v>
      </c>
      <c r="U51" s="166" t="n">
        <f aca="false">U45+U34</f>
        <v>10140.1058232066</v>
      </c>
      <c r="V51" s="166" t="n">
        <f aca="false">V45+V34</f>
        <v>10331.0544165444</v>
      </c>
      <c r="W51" s="166" t="n">
        <f aca="false">W45+W34</f>
        <v>10537.13693228</v>
      </c>
      <c r="X51" s="166" t="n">
        <f aca="false">X45+X34</f>
        <v>10759.4480953985</v>
      </c>
      <c r="Y51" s="166" t="n">
        <f aca="false">Y45+Y34</f>
        <v>10999.1599686425</v>
      </c>
      <c r="Z51" s="166" t="n">
        <f aca="false">Z45+Z34</f>
        <v>11257.5273802947</v>
      </c>
      <c r="AA51" s="166" t="n">
        <f aca="false">AA45+AA34</f>
        <v>11535.8937321895</v>
      </c>
      <c r="AB51" s="166" t="n">
        <f aca="false">AB45+AB34</f>
        <v>11835.6972145723</v>
      </c>
      <c r="AC51" s="166" t="n">
        <f aca="false">AC45+AC34</f>
        <v>12158.4774562943</v>
      </c>
      <c r="AD51" s="166" t="n">
        <f aca="false">AD45+AD34</f>
        <v>12505.8826408209</v>
      </c>
      <c r="AE51" s="166" t="n">
        <f aca="false">AE45+AE34</f>
        <v>12879.677120666</v>
      </c>
      <c r="AF51" s="166" t="n">
        <f aca="false">AF45+AF34</f>
        <v>13281.7495651499</v>
      </c>
      <c r="AG51" s="166" t="n">
        <f aca="false">AG45+AG34</f>
        <v>2105.76725630144</v>
      </c>
    </row>
    <row r="52" customFormat="false" ht="12.75" hidden="false" customHeight="false" outlineLevel="0" collapsed="false">
      <c r="A52" s="271" t="s">
        <v>408</v>
      </c>
      <c r="C52" s="166" t="n">
        <f aca="false">'Revised Debt'!C19</f>
        <v>1582.26897180951</v>
      </c>
      <c r="D52" s="166" t="n">
        <f aca="false">'Revised Debt'!D19</f>
        <v>1693.02779983618</v>
      </c>
      <c r="E52" s="166" t="n">
        <f aca="false">'Revised Debt'!E19</f>
        <v>1811.53974582471</v>
      </c>
      <c r="F52" s="166" t="n">
        <f aca="false">'Revised Debt'!F19</f>
        <v>1938.34752803244</v>
      </c>
      <c r="G52" s="166" t="n">
        <f aca="false">'Revised Debt'!G19</f>
        <v>2074.03185499471</v>
      </c>
      <c r="H52" s="166" t="n">
        <f aca="false">'Revised Debt'!H19</f>
        <v>2219.21408484434</v>
      </c>
      <c r="I52" s="166" t="n">
        <f aca="false">'Revised Debt'!I19</f>
        <v>2374.55907078344</v>
      </c>
      <c r="J52" s="166" t="n">
        <f aca="false">'Revised Debt'!J19</f>
        <v>2540.77820573828</v>
      </c>
      <c r="K52" s="166" t="n">
        <f aca="false">'Revised Debt'!K19</f>
        <v>2718.63268013996</v>
      </c>
      <c r="L52" s="166" t="n">
        <f aca="false">'Revised Debt'!L19</f>
        <v>2908.93696774976</v>
      </c>
      <c r="M52" s="166" t="n">
        <f aca="false">'Revised Debt'!M19</f>
        <v>3112.56255549224</v>
      </c>
      <c r="N52" s="166" t="n">
        <f aca="false">'Revised Debt'!N19</f>
        <v>3330.4419343767</v>
      </c>
      <c r="O52" s="166" t="n">
        <f aca="false">'Revised Debt'!O19</f>
        <v>3563.57286978307</v>
      </c>
      <c r="P52" s="166" t="n">
        <f aca="false">'Revised Debt'!P19</f>
        <v>3813.02297066788</v>
      </c>
      <c r="Q52" s="166" t="n">
        <f aca="false">'Revised Debt'!Q19</f>
        <v>4079.93457861463</v>
      </c>
      <c r="R52" s="166" t="n">
        <f aca="false">'Revised Debt'!R19</f>
        <v>4365.52999911766</v>
      </c>
      <c r="S52" s="166" t="n">
        <f aca="false">'Revised Debt'!S19</f>
        <v>4671.11709905589</v>
      </c>
      <c r="T52" s="166" t="n">
        <f aca="false">'Revised Debt'!T19</f>
        <v>4998.09529598981</v>
      </c>
      <c r="U52" s="166" t="n">
        <f aca="false">'Revised Debt'!U19</f>
        <v>5347.96196670909</v>
      </c>
      <c r="V52" s="166" t="n">
        <f aca="false">'Revised Debt'!V19</f>
        <v>5722.31930437873</v>
      </c>
      <c r="W52" s="166" t="n">
        <f aca="false">'Revised Debt'!W19</f>
        <v>6122.88165568524</v>
      </c>
      <c r="X52" s="166" t="n">
        <f aca="false">'Revised Debt'!X19</f>
        <v>6551.48337158321</v>
      </c>
      <c r="Y52" s="166" t="n">
        <f aca="false">'Revised Debt'!Y19</f>
        <v>7010.08720759403</v>
      </c>
      <c r="Z52" s="166" t="n">
        <f aca="false">'Revised Debt'!Z19</f>
        <v>7500.79331212561</v>
      </c>
      <c r="AA52" s="166" t="n">
        <f aca="false">'Revised Debt'!AA19</f>
        <v>8025.84884397441</v>
      </c>
      <c r="AB52" s="166" t="n">
        <f aca="false">'Revised Debt'!AB19</f>
        <v>8587.65826305261</v>
      </c>
      <c r="AC52" s="166" t="n">
        <f aca="false">'Revised Debt'!AC19</f>
        <v>9188.7943414663</v>
      </c>
      <c r="AD52" s="166" t="n">
        <f aca="false">'Revised Debt'!AD19</f>
        <v>9832.00994536894</v>
      </c>
      <c r="AE52" s="166" t="n">
        <f aca="false">'Revised Debt'!AE19</f>
        <v>10520.2506415448</v>
      </c>
      <c r="AF52" s="166" t="n">
        <f aca="false">'Revised Debt'!AF19</f>
        <v>11256.6681864529</v>
      </c>
      <c r="AG52" s="166" t="n">
        <f aca="false">'Revised Debt'!AG19</f>
        <v>0</v>
      </c>
    </row>
    <row r="53" customFormat="false" ht="12.75" hidden="false" customHeight="false" outlineLevel="0" collapsed="false">
      <c r="A53" s="271" t="s">
        <v>409</v>
      </c>
      <c r="C53" s="166" t="n">
        <v>0</v>
      </c>
      <c r="D53" s="166" t="n">
        <v>0</v>
      </c>
      <c r="E53" s="166" t="n">
        <v>0</v>
      </c>
      <c r="F53" s="166" t="n">
        <v>0</v>
      </c>
      <c r="G53" s="166" t="n">
        <v>0</v>
      </c>
      <c r="H53" s="166" t="n">
        <v>0</v>
      </c>
      <c r="I53" s="166" t="n">
        <v>0</v>
      </c>
      <c r="J53" s="166" t="n">
        <v>0</v>
      </c>
      <c r="K53" s="166" t="n">
        <v>0</v>
      </c>
      <c r="L53" s="166" t="n">
        <v>0</v>
      </c>
      <c r="M53" s="166" t="n">
        <v>0</v>
      </c>
      <c r="N53" s="166" t="n">
        <v>0</v>
      </c>
      <c r="O53" s="166" t="n">
        <v>0</v>
      </c>
      <c r="P53" s="166" t="n">
        <v>0</v>
      </c>
      <c r="Q53" s="166" t="n">
        <v>0</v>
      </c>
      <c r="R53" s="166" t="n">
        <v>0</v>
      </c>
      <c r="S53" s="166" t="n">
        <v>0</v>
      </c>
      <c r="T53" s="166" t="n">
        <v>0</v>
      </c>
      <c r="U53" s="166" t="n">
        <v>0</v>
      </c>
      <c r="V53" s="166" t="n">
        <v>0</v>
      </c>
      <c r="W53" s="166" t="n">
        <v>0</v>
      </c>
      <c r="X53" s="166" t="n">
        <v>0</v>
      </c>
      <c r="Y53" s="166" t="n">
        <v>0</v>
      </c>
      <c r="Z53" s="166" t="n">
        <v>0</v>
      </c>
      <c r="AA53" s="166" t="n">
        <v>0</v>
      </c>
      <c r="AB53" s="166" t="n">
        <v>0</v>
      </c>
      <c r="AC53" s="166" t="n">
        <v>0</v>
      </c>
      <c r="AD53" s="166" t="n">
        <v>0</v>
      </c>
      <c r="AE53" s="166" t="n">
        <v>0</v>
      </c>
      <c r="AF53" s="166" t="n">
        <v>0</v>
      </c>
      <c r="AG53" s="166" t="n">
        <v>0</v>
      </c>
    </row>
    <row r="54" customFormat="false" ht="12.75" hidden="false" customHeight="false" outlineLevel="0" collapsed="false">
      <c r="A54" s="271" t="s">
        <v>410</v>
      </c>
      <c r="B54" s="271"/>
      <c r="C54" s="320" t="n">
        <f aca="false">C51-C52-C53</f>
        <v>4588.72116092265</v>
      </c>
      <c r="D54" s="320" t="n">
        <f aca="false">D51-D52-D53</f>
        <v>7811.46328554652</v>
      </c>
      <c r="E54" s="320" t="n">
        <f aca="false">E51-E52-E53</f>
        <v>7739.34586631666</v>
      </c>
      <c r="F54" s="320" t="n">
        <f aca="false">F51-F52-F53</f>
        <v>7663.44252497027</v>
      </c>
      <c r="G54" s="320" t="n">
        <f aca="false">G51-G52-G53</f>
        <v>7583.51349290381</v>
      </c>
      <c r="H54" s="320" t="n">
        <f aca="false">H51-H52-H53</f>
        <v>6786.92316833366</v>
      </c>
      <c r="I54" s="320" t="n">
        <f aca="false">I51-I52-I53</f>
        <v>6341.9674269111</v>
      </c>
      <c r="J54" s="320" t="n">
        <f aca="false">J51-J52-J53</f>
        <v>6248.35419625444</v>
      </c>
      <c r="K54" s="320" t="n">
        <f aca="false">K51-K52-K53</f>
        <v>6149.58171759092</v>
      </c>
      <c r="L54" s="320" t="n">
        <f aca="false">L51-L52-L53</f>
        <v>6045.31671712284</v>
      </c>
      <c r="M54" s="320" t="n">
        <f aca="false">M51-M52-M53</f>
        <v>5935.20314935791</v>
      </c>
      <c r="N54" s="320" t="n">
        <f aca="false">N51-N52-N53</f>
        <v>5818.86061424008</v>
      </c>
      <c r="O54" s="320" t="n">
        <f aca="false">O51-O52-O53</f>
        <v>5695.88266370244</v>
      </c>
      <c r="P54" s="320" t="n">
        <f aca="false">P51-P52-P53</f>
        <v>5565.8349899064</v>
      </c>
      <c r="Q54" s="320" t="n">
        <f aca="false">Q51-Q52-Q53</f>
        <v>5428.25348688943</v>
      </c>
      <c r="R54" s="320" t="n">
        <f aca="false">R51-R52-R53</f>
        <v>5282.64217676498</v>
      </c>
      <c r="S54" s="320" t="n">
        <f aca="false">S51-S52-S53</f>
        <v>5128.4709909976</v>
      </c>
      <c r="T54" s="320" t="n">
        <f aca="false">T51-T52-T53</f>
        <v>4965.17339661358</v>
      </c>
      <c r="U54" s="320" t="n">
        <f aca="false">U51-U52-U53</f>
        <v>4792.14385649752</v>
      </c>
      <c r="V54" s="320" t="n">
        <f aca="false">V51-V52-V53</f>
        <v>4608.73511216567</v>
      </c>
      <c r="W54" s="320" t="n">
        <f aca="false">W51-W52-W53</f>
        <v>4414.25527659476</v>
      </c>
      <c r="X54" s="320" t="n">
        <f aca="false">X51-X52-X53</f>
        <v>4207.96472381534</v>
      </c>
      <c r="Y54" s="320" t="n">
        <f aca="false">Y51-Y52-Y53</f>
        <v>3989.07276104845</v>
      </c>
      <c r="Z54" s="320" t="n">
        <f aca="false">Z51-Z52-Z53</f>
        <v>3756.73406816911</v>
      </c>
      <c r="AA54" s="320" t="n">
        <f aca="false">AA51-AA52-AA53</f>
        <v>3510.04488821508</v>
      </c>
      <c r="AB54" s="320" t="n">
        <f aca="false">AB51-AB52-AB53</f>
        <v>3248.03895151966</v>
      </c>
      <c r="AC54" s="320" t="n">
        <f aca="false">AC51-AC52-AC53</f>
        <v>2969.68311482805</v>
      </c>
      <c r="AD54" s="320" t="n">
        <f aca="false">AD51-AD52-AD53</f>
        <v>2673.87269545198</v>
      </c>
      <c r="AE54" s="320" t="n">
        <f aca="false">AE51-AE52-AE53</f>
        <v>2359.42647912121</v>
      </c>
      <c r="AF54" s="320" t="n">
        <f aca="false">AF51-AF52-AF53</f>
        <v>2025.08137869695</v>
      </c>
      <c r="AG54" s="320" t="n">
        <f aca="false">AG51-AG52-AG53</f>
        <v>2105.76725630144</v>
      </c>
      <c r="AH54" s="271"/>
      <c r="AI54" s="271"/>
      <c r="AJ54" s="271"/>
      <c r="AK54" s="271"/>
      <c r="AL54" s="271"/>
      <c r="AM54" s="271"/>
      <c r="AN54" s="271"/>
      <c r="AO54" s="271"/>
      <c r="AP54" s="271"/>
      <c r="AQ54" s="271"/>
      <c r="AR54" s="271"/>
      <c r="AS54" s="271"/>
      <c r="AT54" s="271"/>
      <c r="AU54" s="271"/>
      <c r="AV54" s="271"/>
      <c r="AW54" s="271"/>
      <c r="AX54" s="271"/>
      <c r="AY54" s="271"/>
      <c r="AZ54" s="271"/>
      <c r="BA54" s="271"/>
      <c r="BB54" s="271"/>
      <c r="BC54" s="271"/>
      <c r="BD54" s="271"/>
      <c r="BE54" s="271"/>
      <c r="BF54" s="271"/>
      <c r="BG54" s="271"/>
      <c r="BH54" s="271"/>
      <c r="BI54" s="271"/>
      <c r="BJ54" s="271"/>
      <c r="BK54" s="271"/>
      <c r="BL54" s="271"/>
      <c r="BM54" s="271"/>
      <c r="BN54" s="271"/>
      <c r="BO54" s="271"/>
      <c r="BP54" s="271"/>
      <c r="BQ54" s="271"/>
      <c r="BR54" s="271"/>
      <c r="BS54" s="271"/>
      <c r="BT54" s="271"/>
      <c r="BU54" s="271"/>
      <c r="BV54" s="271"/>
      <c r="BW54" s="271"/>
      <c r="BX54" s="271"/>
      <c r="BY54" s="271"/>
      <c r="BZ54" s="271"/>
      <c r="CA54" s="271"/>
      <c r="CB54" s="271"/>
      <c r="CC54" s="271"/>
      <c r="CD54" s="271"/>
      <c r="CE54" s="271"/>
      <c r="CF54" s="271"/>
      <c r="CG54" s="271"/>
      <c r="CH54" s="271"/>
      <c r="CI54" s="271"/>
      <c r="CJ54" s="271"/>
      <c r="CK54" s="271"/>
      <c r="CL54" s="271"/>
      <c r="CM54" s="271"/>
      <c r="CN54" s="271"/>
      <c r="CO54" s="271"/>
      <c r="CP54" s="271"/>
      <c r="CQ54" s="271"/>
      <c r="CR54" s="271"/>
      <c r="CS54" s="271"/>
      <c r="CT54" s="271"/>
      <c r="CU54" s="271"/>
      <c r="CV54" s="271"/>
      <c r="CW54" s="271"/>
      <c r="CX54" s="271"/>
      <c r="CY54" s="271"/>
      <c r="CZ54" s="271"/>
      <c r="DA54" s="271"/>
      <c r="DB54" s="271"/>
      <c r="DC54" s="271"/>
      <c r="DD54" s="271"/>
      <c r="DE54" s="271"/>
      <c r="DF54" s="271"/>
      <c r="DG54" s="271"/>
      <c r="DH54" s="271"/>
      <c r="DI54" s="271"/>
      <c r="DJ54" s="271"/>
      <c r="DK54" s="271"/>
      <c r="DL54" s="271"/>
      <c r="DM54" s="271"/>
      <c r="DN54" s="271"/>
      <c r="DO54" s="271"/>
      <c r="DP54" s="271"/>
      <c r="DQ54" s="271"/>
      <c r="DR54" s="271"/>
      <c r="DS54" s="271"/>
      <c r="DT54" s="271"/>
      <c r="DU54" s="271"/>
      <c r="DV54" s="271"/>
      <c r="DW54" s="271"/>
      <c r="DX54" s="271"/>
      <c r="DY54" s="271"/>
      <c r="DZ54" s="271"/>
      <c r="EA54" s="271"/>
      <c r="EB54" s="271"/>
      <c r="EC54" s="271"/>
      <c r="ED54" s="271"/>
      <c r="EE54" s="271"/>
      <c r="EF54" s="271"/>
      <c r="EG54" s="271"/>
      <c r="EH54" s="271"/>
      <c r="EI54" s="271"/>
      <c r="EJ54" s="271"/>
      <c r="EK54" s="271"/>
      <c r="EL54" s="271"/>
      <c r="EM54" s="271"/>
      <c r="EN54" s="271"/>
      <c r="EO54" s="271"/>
      <c r="EP54" s="271"/>
      <c r="EQ54" s="271"/>
      <c r="ER54" s="271"/>
      <c r="ES54" s="271"/>
      <c r="ET54" s="271"/>
      <c r="EU54" s="271"/>
      <c r="EV54" s="271"/>
      <c r="EW54" s="271"/>
      <c r="EX54" s="271"/>
      <c r="EY54" s="271"/>
      <c r="EZ54" s="271"/>
      <c r="FA54" s="271"/>
      <c r="FB54" s="271"/>
      <c r="FC54" s="271"/>
      <c r="FD54" s="271"/>
      <c r="FE54" s="271"/>
      <c r="FF54" s="271"/>
      <c r="FG54" s="271"/>
      <c r="FH54" s="271"/>
      <c r="FI54" s="271"/>
      <c r="FJ54" s="271"/>
      <c r="FK54" s="271"/>
      <c r="FL54" s="271"/>
      <c r="FM54" s="271"/>
      <c r="FN54" s="271"/>
      <c r="FO54" s="271"/>
      <c r="FP54" s="271"/>
      <c r="FQ54" s="271"/>
      <c r="FR54" s="271"/>
      <c r="FS54" s="271"/>
      <c r="FT54" s="271"/>
      <c r="FU54" s="271"/>
      <c r="FV54" s="271"/>
      <c r="FW54" s="271"/>
      <c r="FX54" s="271"/>
      <c r="FY54" s="271"/>
      <c r="FZ54" s="271"/>
      <c r="GA54" s="271"/>
      <c r="GB54" s="271"/>
      <c r="GC54" s="271"/>
      <c r="GD54" s="271"/>
      <c r="GE54" s="271"/>
      <c r="GF54" s="271"/>
      <c r="GG54" s="271"/>
      <c r="GH54" s="271"/>
      <c r="GI54" s="271"/>
      <c r="GJ54" s="271"/>
      <c r="GK54" s="271"/>
      <c r="GL54" s="271"/>
      <c r="GM54" s="271"/>
      <c r="GN54" s="271"/>
      <c r="GO54" s="271"/>
      <c r="GP54" s="271"/>
      <c r="GQ54" s="271"/>
      <c r="GR54" s="271"/>
      <c r="GS54" s="271"/>
      <c r="GT54" s="271"/>
      <c r="GU54" s="271"/>
      <c r="GV54" s="271"/>
      <c r="GW54" s="271"/>
      <c r="GX54" s="271"/>
      <c r="GY54" s="271"/>
      <c r="GZ54" s="271"/>
      <c r="HA54" s="271"/>
      <c r="HB54" s="271"/>
      <c r="HC54" s="271"/>
      <c r="HD54" s="271"/>
      <c r="HE54" s="271"/>
      <c r="HF54" s="271"/>
      <c r="HG54" s="271"/>
      <c r="HH54" s="271"/>
      <c r="HI54" s="271"/>
      <c r="HJ54" s="271"/>
      <c r="HK54" s="271"/>
      <c r="HL54" s="271"/>
      <c r="HM54" s="271"/>
      <c r="HN54" s="271"/>
      <c r="HO54" s="271"/>
      <c r="HP54" s="271"/>
      <c r="HQ54" s="271"/>
      <c r="HR54" s="271"/>
      <c r="HS54" s="271"/>
      <c r="HT54" s="271"/>
      <c r="HU54" s="271"/>
      <c r="HV54" s="271"/>
      <c r="HW54" s="271"/>
      <c r="HX54" s="271"/>
      <c r="HY54" s="271"/>
      <c r="HZ54" s="271"/>
      <c r="IA54" s="271"/>
      <c r="IB54" s="271"/>
      <c r="IC54" s="271"/>
      <c r="ID54" s="271"/>
      <c r="IE54" s="271"/>
      <c r="IF54" s="271"/>
      <c r="IG54" s="271"/>
      <c r="IH54" s="271"/>
      <c r="II54" s="271"/>
      <c r="IJ54" s="271"/>
      <c r="IK54" s="271"/>
      <c r="IL54" s="271"/>
      <c r="IM54" s="271"/>
      <c r="IN54" s="271"/>
      <c r="IO54" s="271"/>
      <c r="IP54" s="271"/>
      <c r="IQ54" s="271"/>
      <c r="IR54" s="271"/>
      <c r="IS54" s="271"/>
      <c r="IT54" s="271"/>
      <c r="IU54" s="271"/>
      <c r="IV54" s="271"/>
      <c r="IW54" s="271"/>
    </row>
    <row r="55" customFormat="false" ht="12.75" hidden="false" customHeight="false" outlineLevel="0" collapsed="false">
      <c r="C55" s="110"/>
      <c r="D55" s="110"/>
      <c r="E55" s="110"/>
      <c r="F55" s="110"/>
      <c r="G55" s="110"/>
    </row>
    <row r="56" customFormat="false" ht="12.75" hidden="false" customHeight="false" outlineLevel="0" collapsed="false">
      <c r="A56" s="271" t="s">
        <v>411</v>
      </c>
      <c r="B56" s="321" t="n">
        <f aca="false">NPV(0.12,C54:AG54)</f>
        <v>50070.505535418</v>
      </c>
      <c r="C56" s="322"/>
      <c r="D56" s="322"/>
      <c r="E56" s="322"/>
      <c r="F56" s="322"/>
      <c r="G56" s="322"/>
    </row>
    <row r="57" customFormat="false" ht="12.75" hidden="false" customHeight="false" outlineLevel="0" collapsed="false">
      <c r="C57" s="322"/>
      <c r="D57" s="322"/>
      <c r="E57" s="322"/>
      <c r="F57" s="322"/>
      <c r="G57" s="322"/>
    </row>
    <row r="58" customFormat="false" ht="12.75" hidden="false" customHeight="false" outlineLevel="0" collapsed="false">
      <c r="C58" s="322"/>
      <c r="D58" s="322"/>
      <c r="E58" s="322"/>
      <c r="F58" s="322"/>
      <c r="G58" s="322"/>
    </row>
    <row r="59" customFormat="false" ht="12.75" hidden="false" customHeight="false" outlineLevel="0" collapsed="false">
      <c r="C59" s="322"/>
      <c r="D59" s="322"/>
      <c r="E59" s="322"/>
      <c r="F59" s="322"/>
      <c r="G59" s="322"/>
    </row>
    <row r="60" customFormat="false" ht="12.75" hidden="false" customHeight="false" outlineLevel="0" collapsed="false">
      <c r="C60" s="322"/>
      <c r="D60" s="322"/>
      <c r="E60" s="322"/>
      <c r="F60" s="322"/>
      <c r="G60" s="322"/>
    </row>
    <row r="61" customFormat="false" ht="12.75" hidden="false" customHeight="false" outlineLevel="0" collapsed="false">
      <c r="C61" s="110"/>
      <c r="D61" s="110"/>
      <c r="E61" s="110"/>
      <c r="F61" s="110"/>
      <c r="G61" s="110"/>
    </row>
    <row r="62" customFormat="false" ht="12.75" hidden="false" customHeight="false" outlineLevel="0" collapsed="false">
      <c r="C62" s="110"/>
      <c r="D62" s="110"/>
      <c r="E62" s="110"/>
      <c r="F62" s="110"/>
      <c r="G62" s="110"/>
    </row>
    <row r="63" customFormat="false" ht="12.75" hidden="false" customHeight="false" outlineLevel="0" collapsed="false">
      <c r="C63" s="323"/>
      <c r="D63" s="323"/>
      <c r="E63" s="323"/>
      <c r="F63" s="323"/>
      <c r="G63" s="110"/>
    </row>
    <row r="64" customFormat="false" ht="12.75" hidden="false" customHeight="false" outlineLevel="0" collapsed="false">
      <c r="C64" s="110"/>
      <c r="D64" s="110"/>
      <c r="E64" s="110"/>
      <c r="F64" s="110"/>
      <c r="G64" s="110"/>
    </row>
    <row r="65" customFormat="false" ht="12.75" hidden="false" customHeight="false" outlineLevel="0" collapsed="false">
      <c r="C65" s="323"/>
      <c r="D65" s="110"/>
      <c r="E65" s="110"/>
      <c r="F65" s="110"/>
      <c r="G65" s="110"/>
    </row>
    <row r="66" customFormat="false" ht="12.75" hidden="false" customHeight="false" outlineLevel="0" collapsed="false">
      <c r="C66" s="110"/>
      <c r="D66" s="110"/>
      <c r="E66" s="110"/>
      <c r="F66" s="110"/>
      <c r="G66" s="110"/>
    </row>
    <row r="67" customFormat="false" ht="12.75" hidden="false" customHeight="false" outlineLevel="0" collapsed="false">
      <c r="C67" s="110"/>
      <c r="D67" s="110"/>
      <c r="E67" s="110"/>
      <c r="F67" s="110"/>
      <c r="G67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3.56"/>
    <col collapsed="false" customWidth="true" hidden="false" outlineLevel="0" max="3" min="3" style="1" width="12.28"/>
    <col collapsed="false" customWidth="true" hidden="false" outlineLevel="0" max="4" min="4" style="1" width="10.71"/>
    <col collapsed="false" customWidth="true" hidden="false" outlineLevel="0" max="7" min="5" style="1" width="9.7"/>
    <col collapsed="false" customWidth="true" hidden="false" outlineLevel="0" max="8" min="8" style="1" width="10.71"/>
    <col collapsed="false" customWidth="true" hidden="false" outlineLevel="0" max="9" min="9" style="1" width="10.99"/>
    <col collapsed="false" customWidth="true" hidden="false" outlineLevel="0" max="13" min="10" style="1" width="9.7"/>
    <col collapsed="false" customWidth="false" hidden="false" outlineLevel="0" max="15" min="14" style="1" width="9.14"/>
    <col collapsed="false" customWidth="true" hidden="false" outlineLevel="0" max="22" min="16" style="1" width="10.28"/>
    <col collapsed="false" customWidth="false" hidden="false" outlineLevel="0" max="257" min="2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14"/>
      <c r="C2" s="324" t="s">
        <v>255</v>
      </c>
    </row>
    <row r="3" customFormat="false" ht="12.75" hidden="false" customHeight="false" outlineLevel="0" collapsed="false">
      <c r="B3" s="325" t="s">
        <v>412</v>
      </c>
      <c r="C3" s="326" t="n">
        <f aca="false">Assumptions!C60</f>
        <v>213517.673218267</v>
      </c>
    </row>
    <row r="4" customFormat="false" ht="12.75" hidden="false" customHeight="false" outlineLevel="0" collapsed="false">
      <c r="B4" s="325" t="s">
        <v>413</v>
      </c>
      <c r="C4" s="327" t="n">
        <f aca="false">C3*C6</f>
        <v>149462.371252787</v>
      </c>
    </row>
    <row r="5" customFormat="false" ht="12.75" hidden="false" customHeight="false" outlineLevel="0" collapsed="false">
      <c r="B5" s="325" t="s">
        <v>414</v>
      </c>
      <c r="C5" s="328" t="n">
        <f aca="false">C9</f>
        <v>30</v>
      </c>
    </row>
    <row r="6" customFormat="false" ht="12.75" hidden="false" customHeight="false" outlineLevel="0" collapsed="false">
      <c r="B6" s="325" t="s">
        <v>415</v>
      </c>
      <c r="C6" s="329" t="n">
        <f aca="false">Assumptions!B12</f>
        <v>0.7</v>
      </c>
    </row>
    <row r="7" customFormat="false" ht="12.75" hidden="false" customHeight="false" outlineLevel="0" collapsed="false">
      <c r="B7" s="325" t="s">
        <v>416</v>
      </c>
      <c r="C7" s="330" t="n">
        <f aca="false">1-C6</f>
        <v>0.3</v>
      </c>
    </row>
    <row r="8" customFormat="false" ht="12.75" hidden="false" customHeight="false" outlineLevel="0" collapsed="false">
      <c r="B8" s="325" t="s">
        <v>417</v>
      </c>
      <c r="C8" s="331" t="n">
        <f aca="false">Assumptions!G39</f>
        <v>0.07</v>
      </c>
    </row>
    <row r="9" customFormat="false" ht="12.75" hidden="false" customHeight="false" outlineLevel="0" collapsed="false">
      <c r="B9" s="325" t="s">
        <v>418</v>
      </c>
      <c r="C9" s="332" t="n">
        <f aca="false">Assumptions!G33</f>
        <v>30</v>
      </c>
    </row>
    <row r="10" customFormat="false" ht="12.75" hidden="false" customHeight="false" outlineLevel="0" collapsed="false">
      <c r="B10" s="325" t="s">
        <v>419</v>
      </c>
      <c r="C10" s="327" t="n">
        <f aca="false">C3-C4</f>
        <v>64055.3019654802</v>
      </c>
    </row>
    <row r="11" customFormat="false" ht="12.75" hidden="false" customHeight="false" outlineLevel="0" collapsed="false">
      <c r="B11" s="325" t="s">
        <v>420</v>
      </c>
      <c r="C11" s="32" t="n">
        <f aca="false">Assumptions!H68</f>
        <v>348</v>
      </c>
    </row>
    <row r="12" customFormat="false" ht="13.5" hidden="false" customHeight="false" outlineLevel="0" collapsed="false">
      <c r="B12" s="333" t="s">
        <v>421</v>
      </c>
      <c r="C12" s="334" t="n">
        <f aca="false">Assumptions!H54</f>
        <v>6.39863928893547</v>
      </c>
    </row>
    <row r="13" customFormat="false" ht="12.75" hidden="false" customHeight="false" outlineLevel="0" collapsed="false">
      <c r="B13" s="335"/>
      <c r="C13" s="336"/>
    </row>
    <row r="14" customFormat="false" ht="12.75" hidden="false" customHeight="false" outlineLevel="0" collapsed="false">
      <c r="C14" s="337" t="n">
        <f aca="false">IS!C6</f>
        <v>0.666666666666667</v>
      </c>
      <c r="D14" s="337" t="n">
        <f aca="false">IS!D6</f>
        <v>1.66666666666667</v>
      </c>
      <c r="E14" s="337" t="n">
        <f aca="false">IS!E6</f>
        <v>2.66666666666667</v>
      </c>
      <c r="F14" s="337" t="n">
        <f aca="false">IS!F6</f>
        <v>3.66666666666667</v>
      </c>
      <c r="G14" s="337" t="n">
        <f aca="false">IS!G6</f>
        <v>4.66666666666667</v>
      </c>
      <c r="H14" s="337" t="n">
        <f aca="false">IS!H6</f>
        <v>5.66666666666667</v>
      </c>
      <c r="I14" s="337" t="n">
        <f aca="false">IS!I6</f>
        <v>6.66666666666667</v>
      </c>
      <c r="J14" s="337" t="n">
        <f aca="false">IS!J6</f>
        <v>7.66666666666667</v>
      </c>
      <c r="K14" s="337" t="n">
        <f aca="false">IS!K6</f>
        <v>8.66666666666667</v>
      </c>
      <c r="L14" s="337" t="n">
        <f aca="false">IS!L6</f>
        <v>9.66666666666667</v>
      </c>
      <c r="M14" s="337" t="n">
        <f aca="false">IS!M6</f>
        <v>10.6666666666667</v>
      </c>
      <c r="N14" s="337" t="n">
        <f aca="false">IS!N6</f>
        <v>11.6666666666667</v>
      </c>
      <c r="O14" s="337" t="n">
        <f aca="false">IS!O6</f>
        <v>12.6666666666667</v>
      </c>
      <c r="P14" s="337" t="n">
        <f aca="false">IS!P6</f>
        <v>13.6666666666667</v>
      </c>
      <c r="Q14" s="337" t="n">
        <f aca="false">IS!Q6</f>
        <v>14.6666666666667</v>
      </c>
      <c r="R14" s="337" t="n">
        <f aca="false">IS!R6</f>
        <v>15.6666666666667</v>
      </c>
      <c r="S14" s="337" t="n">
        <f aca="false">IS!S6</f>
        <v>16.6666666666667</v>
      </c>
      <c r="T14" s="337" t="n">
        <f aca="false">IS!T6</f>
        <v>17.6666666666667</v>
      </c>
      <c r="U14" s="337" t="n">
        <f aca="false">IS!U6</f>
        <v>18.6666666666667</v>
      </c>
      <c r="V14" s="337" t="n">
        <f aca="false">IS!V6</f>
        <v>19.6666666666667</v>
      </c>
      <c r="W14" s="337" t="n">
        <f aca="false">IS!W6</f>
        <v>20.6666666666667</v>
      </c>
      <c r="X14" s="337" t="n">
        <f aca="false">IS!X6</f>
        <v>21.6666666666667</v>
      </c>
      <c r="Y14" s="337" t="n">
        <f aca="false">IS!Y6</f>
        <v>22.6666666666667</v>
      </c>
      <c r="Z14" s="337" t="n">
        <f aca="false">IS!Z6</f>
        <v>23.6666666666667</v>
      </c>
      <c r="AA14" s="337" t="n">
        <f aca="false">IS!AA6</f>
        <v>24.6666666666667</v>
      </c>
      <c r="AB14" s="337" t="n">
        <f aca="false">IS!AB6</f>
        <v>25.6666666666667</v>
      </c>
      <c r="AC14" s="337" t="n">
        <f aca="false">IS!AC6</f>
        <v>26.6666666666667</v>
      </c>
      <c r="AD14" s="337" t="n">
        <f aca="false">IS!AD6</f>
        <v>27.6666666666667</v>
      </c>
      <c r="AE14" s="337" t="n">
        <f aca="false">IS!AE6</f>
        <v>28.6666666666667</v>
      </c>
      <c r="AF14" s="337" t="n">
        <f aca="false">IS!AF6</f>
        <v>29.6666666666667</v>
      </c>
    </row>
    <row r="15" customFormat="false" ht="12.75" hidden="false" customHeight="false" outlineLevel="0" collapsed="false">
      <c r="C15" s="12" t="n">
        <f aca="false">IS!C7</f>
        <v>2001</v>
      </c>
      <c r="D15" s="12" t="n">
        <f aca="false">IS!D7</f>
        <v>2002</v>
      </c>
      <c r="E15" s="12" t="n">
        <f aca="false">IS!E7</f>
        <v>2003</v>
      </c>
      <c r="F15" s="12" t="n">
        <f aca="false">IS!F7</f>
        <v>2004</v>
      </c>
      <c r="G15" s="12" t="n">
        <f aca="false">IS!G7</f>
        <v>2005</v>
      </c>
      <c r="H15" s="12" t="n">
        <f aca="false">IS!H7</f>
        <v>2006</v>
      </c>
      <c r="I15" s="12" t="n">
        <f aca="false">IS!I7</f>
        <v>2007</v>
      </c>
      <c r="J15" s="12" t="n">
        <f aca="false">IS!J7</f>
        <v>2008</v>
      </c>
      <c r="K15" s="12" t="n">
        <f aca="false">IS!K7</f>
        <v>2009</v>
      </c>
      <c r="L15" s="12" t="n">
        <f aca="false">IS!L7</f>
        <v>2010</v>
      </c>
      <c r="M15" s="12" t="n">
        <f aca="false">IS!M7</f>
        <v>2011</v>
      </c>
      <c r="N15" s="12" t="n">
        <f aca="false">IS!N7</f>
        <v>2012</v>
      </c>
      <c r="O15" s="12" t="n">
        <f aca="false">IS!O7</f>
        <v>2013</v>
      </c>
      <c r="P15" s="12" t="n">
        <f aca="false">IS!P7</f>
        <v>2014</v>
      </c>
      <c r="Q15" s="12" t="n">
        <f aca="false">IS!Q7</f>
        <v>2015</v>
      </c>
      <c r="R15" s="12" t="n">
        <f aca="false">IS!R7</f>
        <v>2016</v>
      </c>
      <c r="S15" s="12" t="n">
        <f aca="false">IS!S7</f>
        <v>2017</v>
      </c>
      <c r="T15" s="12" t="n">
        <f aca="false">IS!T7</f>
        <v>2018</v>
      </c>
      <c r="U15" s="12" t="n">
        <f aca="false">IS!U7</f>
        <v>2019</v>
      </c>
      <c r="V15" s="12" t="n">
        <f aca="false">IS!V7</f>
        <v>2020</v>
      </c>
      <c r="W15" s="12" t="n">
        <f aca="false">IS!W7</f>
        <v>2021</v>
      </c>
      <c r="X15" s="12" t="n">
        <f aca="false">IS!X7</f>
        <v>2022</v>
      </c>
      <c r="Y15" s="12" t="n">
        <f aca="false">IS!Y7</f>
        <v>2023</v>
      </c>
      <c r="Z15" s="12" t="n">
        <f aca="false">IS!Z7</f>
        <v>2024</v>
      </c>
      <c r="AA15" s="12" t="n">
        <f aca="false">IS!AA7</f>
        <v>2025</v>
      </c>
      <c r="AB15" s="12" t="n">
        <f aca="false">IS!AB7</f>
        <v>2026</v>
      </c>
      <c r="AC15" s="12" t="n">
        <f aca="false">IS!AC7</f>
        <v>2027</v>
      </c>
      <c r="AD15" s="12" t="n">
        <f aca="false">IS!AD7</f>
        <v>2028</v>
      </c>
      <c r="AE15" s="12" t="n">
        <f aca="false">IS!AE7</f>
        <v>2029</v>
      </c>
      <c r="AF15" s="12" t="n">
        <f aca="false">IS!AF7</f>
        <v>2030</v>
      </c>
    </row>
    <row r="16" customFormat="false" ht="12.75" hidden="false" customHeight="false" outlineLevel="0" collapsed="false">
      <c r="B16" s="1" t="s">
        <v>422</v>
      </c>
      <c r="C16" s="338" t="n">
        <f aca="false">C4</f>
        <v>149462.371252787</v>
      </c>
      <c r="D16" s="338" t="n">
        <f aca="false">C16-C19</f>
        <v>147880.102280978</v>
      </c>
      <c r="E16" s="338" t="n">
        <f aca="false">D16-D19</f>
        <v>146187.074481141</v>
      </c>
      <c r="F16" s="338" t="n">
        <f aca="false">E16-E19</f>
        <v>144375.534735317</v>
      </c>
      <c r="G16" s="338" t="n">
        <f aca="false">F16-F19</f>
        <v>142437.187207284</v>
      </c>
      <c r="H16" s="338" t="n">
        <f aca="false">G16-G19</f>
        <v>140363.155352289</v>
      </c>
      <c r="I16" s="338" t="n">
        <f aca="false">H16-H19</f>
        <v>138143.941267445</v>
      </c>
      <c r="J16" s="338" t="n">
        <f aca="false">I16-I19</f>
        <v>135769.382196662</v>
      </c>
      <c r="K16" s="338" t="n">
        <f aca="false">J16-J19</f>
        <v>133228.603990923</v>
      </c>
      <c r="L16" s="338" t="n">
        <f aca="false">K16-K19</f>
        <v>130509.971310783</v>
      </c>
      <c r="M16" s="338" t="n">
        <f aca="false">L16-L19</f>
        <v>127601.034343034</v>
      </c>
      <c r="N16" s="338" t="n">
        <f aca="false">M16-M19</f>
        <v>124488.471787541</v>
      </c>
      <c r="O16" s="338" t="n">
        <f aca="false">N16-N19</f>
        <v>121158.029853165</v>
      </c>
      <c r="P16" s="338" t="n">
        <f aca="false">O16-O19</f>
        <v>117594.456983382</v>
      </c>
      <c r="Q16" s="338" t="n">
        <f aca="false">P16-P19</f>
        <v>113781.434012714</v>
      </c>
      <c r="R16" s="338" t="n">
        <f aca="false">Q16-Q19</f>
        <v>109701.499434099</v>
      </c>
      <c r="S16" s="338" t="n">
        <f aca="false">R16-R19</f>
        <v>105335.969434982</v>
      </c>
      <c r="T16" s="338" t="n">
        <f aca="false">S16-S19</f>
        <v>100664.852335926</v>
      </c>
      <c r="U16" s="338" t="n">
        <f aca="false">T16-T19</f>
        <v>95666.7570399358</v>
      </c>
      <c r="V16" s="338" t="n">
        <f aca="false">U16-U19</f>
        <v>90318.7950732267</v>
      </c>
      <c r="W16" s="338" t="n">
        <f aca="false">V16-V19</f>
        <v>84596.475768848</v>
      </c>
      <c r="X16" s="338" t="n">
        <f aca="false">W16-W19</f>
        <v>78473.5941131628</v>
      </c>
      <c r="Y16" s="338" t="n">
        <f aca="false">X16-X19</f>
        <v>71922.1107415796</v>
      </c>
      <c r="Z16" s="338" t="n">
        <f aca="false">Y16-Y19</f>
        <v>64912.0235339855</v>
      </c>
      <c r="AA16" s="338" t="n">
        <f aca="false">Z16-Z19</f>
        <v>57411.2302218599</v>
      </c>
      <c r="AB16" s="338" t="n">
        <f aca="false">AA16-AA19</f>
        <v>49385.3813778855</v>
      </c>
      <c r="AC16" s="338" t="n">
        <f aca="false">AB16-AB19</f>
        <v>40797.7231148329</v>
      </c>
      <c r="AD16" s="338" t="n">
        <f aca="false">AC16-AC19</f>
        <v>31608.9287733666</v>
      </c>
      <c r="AE16" s="338" t="n">
        <f aca="false">AD16-AD19</f>
        <v>21776.9188279977</v>
      </c>
      <c r="AF16" s="338" t="n">
        <f aca="false">AE16-AE19</f>
        <v>11256.6681864529</v>
      </c>
    </row>
    <row r="17" customFormat="false" ht="12.75" hidden="false" customHeight="false" outlineLevel="0" collapsed="false">
      <c r="B17" s="1" t="s">
        <v>423</v>
      </c>
      <c r="C17" s="339" t="n">
        <f aca="false">-PMT($C$8,$C$9,$C$4)</f>
        <v>12044.6349595046</v>
      </c>
      <c r="D17" s="339" t="n">
        <f aca="false">-PMT($C$8,$C$9,$C$4)</f>
        <v>12044.6349595046</v>
      </c>
      <c r="E17" s="339" t="n">
        <f aca="false">-PMT($C$8,$C$9,$C$4)</f>
        <v>12044.6349595046</v>
      </c>
      <c r="F17" s="339" t="n">
        <f aca="false">-PMT($C$8,$C$9,$C$4)</f>
        <v>12044.6349595046</v>
      </c>
      <c r="G17" s="339" t="n">
        <f aca="false">-PMT($C$8,$C$9,$C$4)</f>
        <v>12044.6349595046</v>
      </c>
      <c r="H17" s="339" t="n">
        <f aca="false">-PMT($C$8,$C$9,$C$4)</f>
        <v>12044.6349595046</v>
      </c>
      <c r="I17" s="339" t="n">
        <f aca="false">-PMT($C$8,$C$9,$C$4)</f>
        <v>12044.6349595046</v>
      </c>
      <c r="J17" s="339" t="n">
        <f aca="false">-PMT($C$8,$C$9,$C$4)</f>
        <v>12044.6349595046</v>
      </c>
      <c r="K17" s="339" t="n">
        <f aca="false">-PMT($C$8,$C$9,$C$4)</f>
        <v>12044.6349595046</v>
      </c>
      <c r="L17" s="339" t="n">
        <f aca="false">-PMT($C$8,$C$9,$C$4)</f>
        <v>12044.6349595046</v>
      </c>
      <c r="M17" s="339" t="n">
        <f aca="false">-PMT($C$8,$C$9,$C$4)</f>
        <v>12044.6349595046</v>
      </c>
      <c r="N17" s="339" t="n">
        <f aca="false">-PMT($C$8,$C$9,$C$4)</f>
        <v>12044.6349595046</v>
      </c>
      <c r="O17" s="339" t="n">
        <f aca="false">-PMT($C$8,$C$9,$C$4)</f>
        <v>12044.6349595046</v>
      </c>
      <c r="P17" s="339" t="n">
        <f aca="false">-PMT($C$8,$C$9,$C$4)</f>
        <v>12044.6349595046</v>
      </c>
      <c r="Q17" s="339" t="n">
        <f aca="false">-PMT($C$8,$C$9,$C$4)</f>
        <v>12044.6349595046</v>
      </c>
      <c r="R17" s="339" t="n">
        <f aca="false">-PMT($C$8,$C$9,$C$4)</f>
        <v>12044.6349595046</v>
      </c>
      <c r="S17" s="339" t="n">
        <f aca="false">-PMT($C$8,$C$9,$C$4)</f>
        <v>12044.6349595046</v>
      </c>
      <c r="T17" s="339" t="n">
        <f aca="false">-PMT($C$8,$C$9,$C$4)</f>
        <v>12044.6349595046</v>
      </c>
      <c r="U17" s="339" t="n">
        <f aca="false">-PMT($C$8,$C$9,$C$4)</f>
        <v>12044.6349595046</v>
      </c>
      <c r="V17" s="339" t="n">
        <f aca="false">-PMT($C$8,$C$9,$C$4)</f>
        <v>12044.6349595046</v>
      </c>
      <c r="W17" s="339" t="n">
        <f aca="false">-PMT($C$8,$C$9,$C$4)</f>
        <v>12044.6349595046</v>
      </c>
      <c r="X17" s="339" t="n">
        <f aca="false">-PMT($C$8,$C$9,$C$4)</f>
        <v>12044.6349595046</v>
      </c>
      <c r="Y17" s="339" t="n">
        <f aca="false">-PMT($C$8,$C$9,$C$4)</f>
        <v>12044.6349595046</v>
      </c>
      <c r="Z17" s="339" t="n">
        <f aca="false">-PMT($C$8,$C$9,$C$4)</f>
        <v>12044.6349595046</v>
      </c>
      <c r="AA17" s="339" t="n">
        <f aca="false">-PMT($C$8,$C$9,$C$4)</f>
        <v>12044.6349595046</v>
      </c>
      <c r="AB17" s="339" t="n">
        <f aca="false">-PMT($C$8,$C$9,$C$4)</f>
        <v>12044.6349595046</v>
      </c>
      <c r="AC17" s="339" t="n">
        <f aca="false">-PMT($C$8,$C$9,$C$4)</f>
        <v>12044.6349595046</v>
      </c>
      <c r="AD17" s="339" t="n">
        <f aca="false">-PMT($C$8,$C$9,$C$4)</f>
        <v>12044.6349595046</v>
      </c>
      <c r="AE17" s="339" t="n">
        <f aca="false">-PMT($C$8,$C$9,$C$4)</f>
        <v>12044.6349595046</v>
      </c>
      <c r="AF17" s="339" t="n">
        <f aca="false">-PMT($C$8,$C$9,$C$4)</f>
        <v>12044.6349595046</v>
      </c>
    </row>
    <row r="18" customFormat="false" ht="12.75" hidden="false" customHeight="false" outlineLevel="0" collapsed="false">
      <c r="B18" s="1" t="s">
        <v>424</v>
      </c>
      <c r="C18" s="166" t="n">
        <f aca="false">C16*$C$8</f>
        <v>10462.3659876951</v>
      </c>
      <c r="D18" s="166" t="n">
        <f aca="false">D16*$C$8</f>
        <v>10351.6071596684</v>
      </c>
      <c r="E18" s="166" t="n">
        <f aca="false">E16*$C$8</f>
        <v>10233.0952136799</v>
      </c>
      <c r="F18" s="166" t="n">
        <f aca="false">F16*$C$8</f>
        <v>10106.2874314722</v>
      </c>
      <c r="G18" s="166" t="n">
        <f aca="false">G16*$C$8</f>
        <v>9970.60310450989</v>
      </c>
      <c r="H18" s="166" t="n">
        <f aca="false">H16*$C$8</f>
        <v>9825.42087466026</v>
      </c>
      <c r="I18" s="166" t="n">
        <f aca="false">I16*$C$8</f>
        <v>9670.07588872116</v>
      </c>
      <c r="J18" s="166" t="n">
        <f aca="false">J16*$C$8</f>
        <v>9503.85675376632</v>
      </c>
      <c r="K18" s="166" t="n">
        <f aca="false">K16*$C$8</f>
        <v>9326.00227936464</v>
      </c>
      <c r="L18" s="166" t="n">
        <f aca="false">L16*$C$8</f>
        <v>9135.69799175484</v>
      </c>
      <c r="M18" s="166" t="n">
        <f aca="false">M16*$C$8</f>
        <v>8932.07240401236</v>
      </c>
      <c r="N18" s="166" t="n">
        <f aca="false">N16*$C$8</f>
        <v>8714.1930251279</v>
      </c>
      <c r="O18" s="166" t="n">
        <f aca="false">O16*$C$8</f>
        <v>8481.06208972153</v>
      </c>
      <c r="P18" s="166" t="n">
        <f aca="false">P16*$C$8</f>
        <v>8231.61198883672</v>
      </c>
      <c r="Q18" s="166" t="n">
        <f aca="false">Q16*$C$8</f>
        <v>7964.70038088997</v>
      </c>
      <c r="R18" s="166" t="n">
        <f aca="false">R16*$C$8</f>
        <v>7679.10496038694</v>
      </c>
      <c r="S18" s="166" t="n">
        <f aca="false">S16*$C$8</f>
        <v>7373.51786044871</v>
      </c>
      <c r="T18" s="166" t="n">
        <f aca="false">T16*$C$8</f>
        <v>7046.53966351479</v>
      </c>
      <c r="U18" s="166" t="n">
        <f aca="false">U16*$C$8</f>
        <v>6696.67299279551</v>
      </c>
      <c r="V18" s="166" t="n">
        <f aca="false">V16*$C$8</f>
        <v>6322.31565512587</v>
      </c>
      <c r="W18" s="166" t="n">
        <f aca="false">W16*$C$8</f>
        <v>5921.75330381936</v>
      </c>
      <c r="X18" s="166" t="n">
        <f aca="false">X16*$C$8</f>
        <v>5493.15158792139</v>
      </c>
      <c r="Y18" s="166" t="n">
        <f aca="false">Y16*$C$8</f>
        <v>5034.54775191057</v>
      </c>
      <c r="Z18" s="166" t="n">
        <f aca="false">Z16*$C$8</f>
        <v>4543.84164737899</v>
      </c>
      <c r="AA18" s="166" t="n">
        <f aca="false">AA16*$C$8</f>
        <v>4018.78611553019</v>
      </c>
      <c r="AB18" s="166" t="n">
        <f aca="false">AB16*$C$8</f>
        <v>3456.97669645199</v>
      </c>
      <c r="AC18" s="166" t="n">
        <f aca="false">AC16*$C$8</f>
        <v>2855.8406180383</v>
      </c>
      <c r="AD18" s="166" t="n">
        <f aca="false">AD16*$C$8</f>
        <v>2212.62501413566</v>
      </c>
      <c r="AE18" s="166" t="n">
        <f aca="false">AE16*$C$8</f>
        <v>1524.38431795984</v>
      </c>
      <c r="AF18" s="166" t="n">
        <f aca="false">AF16*$C$8</f>
        <v>787.966773051703</v>
      </c>
    </row>
    <row r="19" customFormat="false" ht="12.75" hidden="false" customHeight="false" outlineLevel="0" collapsed="false">
      <c r="B19" s="1" t="s">
        <v>425</v>
      </c>
      <c r="C19" s="338" t="n">
        <f aca="false">C17-C18</f>
        <v>1582.26897180951</v>
      </c>
      <c r="D19" s="338" t="n">
        <f aca="false">D17-D18</f>
        <v>1693.02779983618</v>
      </c>
      <c r="E19" s="338" t="n">
        <f aca="false">E17-E18</f>
        <v>1811.53974582471</v>
      </c>
      <c r="F19" s="338" t="n">
        <f aca="false">F17-F18</f>
        <v>1938.34752803244</v>
      </c>
      <c r="G19" s="338" t="n">
        <f aca="false">G17-G18</f>
        <v>2074.03185499471</v>
      </c>
      <c r="H19" s="338" t="n">
        <f aca="false">H17-H18</f>
        <v>2219.21408484434</v>
      </c>
      <c r="I19" s="338" t="n">
        <f aca="false">I17-I18</f>
        <v>2374.55907078344</v>
      </c>
      <c r="J19" s="338" t="n">
        <f aca="false">J17-J18</f>
        <v>2540.77820573828</v>
      </c>
      <c r="K19" s="338" t="n">
        <f aca="false">K17-K18</f>
        <v>2718.63268013996</v>
      </c>
      <c r="L19" s="338" t="n">
        <f aca="false">L17-L18</f>
        <v>2908.93696774976</v>
      </c>
      <c r="M19" s="338" t="n">
        <f aca="false">M17-M18</f>
        <v>3112.56255549224</v>
      </c>
      <c r="N19" s="338" t="n">
        <f aca="false">N17-N18</f>
        <v>3330.4419343767</v>
      </c>
      <c r="O19" s="338" t="n">
        <f aca="false">O17-O18</f>
        <v>3563.57286978307</v>
      </c>
      <c r="P19" s="338" t="n">
        <f aca="false">P17-P18</f>
        <v>3813.02297066788</v>
      </c>
      <c r="Q19" s="338" t="n">
        <f aca="false">Q17-Q18</f>
        <v>4079.93457861463</v>
      </c>
      <c r="R19" s="338" t="n">
        <f aca="false">R17-R18</f>
        <v>4365.52999911766</v>
      </c>
      <c r="S19" s="338" t="n">
        <f aca="false">S17-S18</f>
        <v>4671.11709905589</v>
      </c>
      <c r="T19" s="338" t="n">
        <f aca="false">T17-T18</f>
        <v>4998.09529598981</v>
      </c>
      <c r="U19" s="338" t="n">
        <f aca="false">U17-U18</f>
        <v>5347.96196670909</v>
      </c>
      <c r="V19" s="338" t="n">
        <f aca="false">V17-V18</f>
        <v>5722.31930437873</v>
      </c>
      <c r="W19" s="338" t="n">
        <f aca="false">W17-W18</f>
        <v>6122.88165568524</v>
      </c>
      <c r="X19" s="338" t="n">
        <f aca="false">X17-X18</f>
        <v>6551.48337158321</v>
      </c>
      <c r="Y19" s="338" t="n">
        <f aca="false">Y17-Y18</f>
        <v>7010.08720759403</v>
      </c>
      <c r="Z19" s="338" t="n">
        <f aca="false">Z17-Z18</f>
        <v>7500.79331212561</v>
      </c>
      <c r="AA19" s="338" t="n">
        <f aca="false">AA17-AA18</f>
        <v>8025.84884397441</v>
      </c>
      <c r="AB19" s="338" t="n">
        <f aca="false">AB17-AB18</f>
        <v>8587.65826305261</v>
      </c>
      <c r="AC19" s="338" t="n">
        <f aca="false">AC17-AC18</f>
        <v>9188.7943414663</v>
      </c>
      <c r="AD19" s="338" t="n">
        <f aca="false">AD17-AD18</f>
        <v>9832.00994536894</v>
      </c>
      <c r="AE19" s="338" t="n">
        <f aca="false">AE17-AE18</f>
        <v>10520.2506415448</v>
      </c>
      <c r="AF19" s="338" t="n">
        <f aca="false">AF17-AF18</f>
        <v>11256.6681864529</v>
      </c>
    </row>
    <row r="21" customFormat="false" ht="12.75" hidden="false" customHeight="false" outlineLevel="0" collapsed="false">
      <c r="B21" s="1" t="s">
        <v>398</v>
      </c>
      <c r="C21" s="282" t="n">
        <f aca="false">IS!C32</f>
        <v>12560.3147241265</v>
      </c>
      <c r="D21" s="282" t="n">
        <f aca="false">IS!D32</f>
        <v>20447.7751543247</v>
      </c>
      <c r="E21" s="282" t="n">
        <f aca="false">IS!E32</f>
        <v>20406.0118051247</v>
      </c>
      <c r="F21" s="282" t="n">
        <f aca="false">IS!F32</f>
        <v>20363.4131889407</v>
      </c>
      <c r="G21" s="282" t="n">
        <f aca="false">IS!G32</f>
        <v>20319.962600433</v>
      </c>
      <c r="H21" s="282" t="n">
        <f aca="false">IS!H32</f>
        <v>20275.6430001552</v>
      </c>
      <c r="I21" s="282" t="n">
        <f aca="false">IS!I32</f>
        <v>20230.4370078718</v>
      </c>
      <c r="J21" s="282" t="n">
        <f aca="false">IS!J32</f>
        <v>20184.3268957427</v>
      </c>
      <c r="K21" s="282" t="n">
        <f aca="false">IS!K32</f>
        <v>20137.2945813711</v>
      </c>
      <c r="L21" s="282" t="n">
        <f aca="false">IS!L32</f>
        <v>20089.321620712</v>
      </c>
      <c r="M21" s="282" t="n">
        <f aca="false">IS!M32</f>
        <v>20040.3892008398</v>
      </c>
      <c r="N21" s="282" t="n">
        <f aca="false">IS!N32</f>
        <v>19990.4781325701</v>
      </c>
      <c r="O21" s="282" t="n">
        <f aca="false">IS!O32</f>
        <v>19939.568842935</v>
      </c>
      <c r="P21" s="282" t="n">
        <f aca="false">IS!P32</f>
        <v>19887.6413675072</v>
      </c>
      <c r="Q21" s="282" t="n">
        <f aca="false">IS!Q32</f>
        <v>19834.6753425708</v>
      </c>
      <c r="R21" s="282" t="n">
        <f aca="false">IS!R32</f>
        <v>19780.6499971357</v>
      </c>
      <c r="S21" s="282" t="n">
        <f aca="false">IS!S32</f>
        <v>19725.544144792</v>
      </c>
      <c r="T21" s="282" t="n">
        <f aca="false">IS!T32</f>
        <v>19669.3361754013</v>
      </c>
      <c r="U21" s="282" t="n">
        <f aca="false">IS!U32</f>
        <v>19612.0040466228</v>
      </c>
      <c r="V21" s="282" t="n">
        <f aca="false">IS!V32</f>
        <v>19553.5252752688</v>
      </c>
      <c r="W21" s="282" t="n">
        <f aca="false">IS!W32</f>
        <v>19493.8769284877</v>
      </c>
      <c r="X21" s="282" t="n">
        <f aca="false">IS!X32</f>
        <v>19433.0356147709</v>
      </c>
      <c r="Y21" s="282" t="n">
        <f aca="false">IS!Y32</f>
        <v>19370.9774747799</v>
      </c>
      <c r="Z21" s="282" t="n">
        <f aca="false">IS!Z32</f>
        <v>19307.678171989</v>
      </c>
      <c r="AA21" s="282" t="n">
        <f aca="false">IS!AA32</f>
        <v>19243.1128831423</v>
      </c>
      <c r="AB21" s="282" t="n">
        <f aca="false">IS!AB32</f>
        <v>19177.2562885186</v>
      </c>
      <c r="AC21" s="282" t="n">
        <f aca="false">IS!AC32</f>
        <v>19110.0825620025</v>
      </c>
      <c r="AD21" s="282" t="n">
        <f aca="false">IS!AD32</f>
        <v>19041.5653609561</v>
      </c>
      <c r="AE21" s="282" t="n">
        <f aca="false">IS!AE32</f>
        <v>18971.6778158887</v>
      </c>
      <c r="AF21" s="282" t="n">
        <f aca="false">IS!AF32</f>
        <v>18900.39251992</v>
      </c>
    </row>
    <row r="22" customFormat="false" ht="12.75" hidden="false" customHeight="false" outlineLevel="0" collapsed="false">
      <c r="A22" s="299"/>
      <c r="B22" s="299" t="s">
        <v>62</v>
      </c>
      <c r="C22" s="340" t="n">
        <f aca="false">C21/(C19+C18)</f>
        <v>1.04281406338637</v>
      </c>
      <c r="D22" s="340" t="n">
        <f aca="false">D21/(D19+D18)</f>
        <v>1.69766665599019</v>
      </c>
      <c r="E22" s="340" t="n">
        <f aca="false">E21/(E19+E18)</f>
        <v>1.6941992740944</v>
      </c>
      <c r="F22" s="340" t="n">
        <f aca="false">F21/(F19+F18)</f>
        <v>1.69066254456069</v>
      </c>
      <c r="G22" s="340" t="n">
        <f aca="false">G21/(G19+G18)</f>
        <v>1.68705508043631</v>
      </c>
      <c r="H22" s="340" t="n">
        <f aca="false">H21/(H19+H18)</f>
        <v>1.68337546702944</v>
      </c>
      <c r="I22" s="340" t="n">
        <f aca="false">I21/(I19+I18)</f>
        <v>1.67962226135443</v>
      </c>
      <c r="J22" s="340" t="n">
        <f aca="false">J21/(J19+J18)</f>
        <v>1.67579399156593</v>
      </c>
      <c r="K22" s="340" t="n">
        <f aca="false">K21/(K19+K18)</f>
        <v>1.67188915638165</v>
      </c>
      <c r="L22" s="340" t="n">
        <f aca="false">L21/(L19+L18)</f>
        <v>1.66790622449369</v>
      </c>
      <c r="M22" s="340" t="n">
        <f aca="false">M21/(M19+M18)</f>
        <v>1.66384363396797</v>
      </c>
      <c r="N22" s="340" t="n">
        <f aca="false">N21/(N19+N18)</f>
        <v>1.65969979163173</v>
      </c>
      <c r="O22" s="340" t="n">
        <f aca="false">O21/(O19+O18)</f>
        <v>1.65547307244877</v>
      </c>
      <c r="P22" s="340" t="n">
        <f aca="false">P21/(P19+P18)</f>
        <v>1.65116181888215</v>
      </c>
      <c r="Q22" s="340" t="n">
        <f aca="false">Q21/(Q19+Q18)</f>
        <v>1.6467643402442</v>
      </c>
      <c r="R22" s="340" t="n">
        <f aca="false">R21/(R19+R18)</f>
        <v>1.64227891203349</v>
      </c>
      <c r="S22" s="340" t="n">
        <f aca="false">S21/(S19+S18)</f>
        <v>1.63770377525856</v>
      </c>
      <c r="T22" s="340" t="n">
        <f aca="false">T21/(T19+T18)</f>
        <v>1.63303713574814</v>
      </c>
      <c r="U22" s="340" t="n">
        <f aca="false">U21/(U19+U18)</f>
        <v>1.62827716344751</v>
      </c>
      <c r="V22" s="340" t="n">
        <f aca="false">V21/(V19+V18)</f>
        <v>1.62342199170086</v>
      </c>
      <c r="W22" s="340" t="n">
        <f aca="false">W21/(W19+W18)</f>
        <v>1.61846971651929</v>
      </c>
      <c r="X22" s="340" t="n">
        <f aca="false">X21/(X19+X18)</f>
        <v>1.61341839583408</v>
      </c>
      <c r="Y22" s="340" t="n">
        <f aca="false">Y21/(Y19+Y18)</f>
        <v>1.60826604873516</v>
      </c>
      <c r="Z22" s="340" t="n">
        <f aca="false">Z21/(Z19+Z18)</f>
        <v>1.60301065469427</v>
      </c>
      <c r="AA22" s="340" t="n">
        <f aca="false">AA21/(AA19+AA18)</f>
        <v>1.59765015277256</v>
      </c>
      <c r="AB22" s="340" t="n">
        <f aca="false">AB21/(AB19+AB18)</f>
        <v>1.59218244081242</v>
      </c>
      <c r="AC22" s="340" t="n">
        <f aca="false">AC21/(AC19+AC18)</f>
        <v>1.58660537461307</v>
      </c>
      <c r="AD22" s="340" t="n">
        <f aca="false">AD21/(AD19+AD18)</f>
        <v>1.58091676708974</v>
      </c>
      <c r="AE22" s="340" t="n">
        <f aca="false">AE21/(AE19+AE18)</f>
        <v>1.57511438741594</v>
      </c>
      <c r="AF22" s="340" t="n">
        <f aca="false">AF21/(AF19+AF18)</f>
        <v>1.56919596014866</v>
      </c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  <c r="IW22" s="2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2000-05-03T11:40:28Z</cp:lastPrinted>
  <cp:revision>0</cp:revision>
  <dc:subject/>
  <dc:title/>
</cp:coreProperties>
</file>