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Put" sheetId="3" state="visible" r:id="rId5"/>
    <sheet name="Call" sheetId="4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Summary!$B$1:$L$26</definedName>
    <definedName function="false" hidden="false" name="AMC" vbProcedure="false">[3]Inputs!$E$5</definedName>
    <definedName function="false" hidden="false" name="Avg_Load" vbProcedure="false">[3]Inputs!$B$28</definedName>
    <definedName function="false" hidden="false" name="days_month" vbProcedure="false">[3]Inputs!$B$34</definedName>
    <definedName function="false" hidden="false" name="days_year" vbProcedure="false">[3]Inputs!$B$33</definedName>
    <definedName function="false" hidden="false" name="End_Year" vbProcedure="false">[3]Inputs!$E$19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s_Price" vbProcedure="false">[3]Inputs!$B$11</definedName>
    <definedName function="false" hidden="false" name="Heat_Rate" vbProcedure="false">[3]Inputs!$B$6</definedName>
    <definedName function="false" hidden="false" name="hours_year" vbProcedure="false">[3]Inputs!$B$35</definedName>
    <definedName function="false" hidden="false" name="HP" vbProcedure="false">[3]Inputs!$B$5</definedName>
    <definedName function="false" hidden="false" name="kW_HP" vbProcedure="false">[3]Inputs!$B$40</definedName>
    <definedName function="false" hidden="false" name="Min_Load" vbProcedure="false">[3]Inputs!$B$29</definedName>
    <definedName function="false" hidden="false" name="mthbeg" vbProcedure="false">'[2]'!$A$3</definedName>
    <definedName function="false" hidden="false" name="mthend" vbProcedure="false">'[2]'!$B$3</definedName>
    <definedName function="false" hidden="false" name="post_id" vbProcedure="false">#REF!</definedName>
    <definedName function="false" hidden="false" name="PW" vbProcedure="false">#REF!</definedName>
    <definedName function="false" hidden="false" name="sencount" vbProcedure="false">1</definedName>
    <definedName function="false" hidden="false" name="Start_Year" vbProcedure="false">[3]Inputs!$E$18</definedName>
    <definedName function="false" hidden="false" name="UID" vbProcedure="false">#REF!</definedName>
    <definedName function="false" hidden="false" name="weeks_month" vbProcedure="false">[3]Inputs!$B$38</definedName>
    <definedName function="false" hidden="false" localSheetId="2" name="mthbeg" vbProcedure="false">Put!$A$3</definedName>
    <definedName function="false" hidden="false" localSheetId="2" name="mthend" vbProcedure="false">Put!$B$3</definedName>
    <definedName function="false" hidden="false" localSheetId="3" name="mthbeg" vbProcedure="false">Call!$A$3</definedName>
    <definedName function="false" hidden="false" localSheetId="3" name="mthend" vbProcedure="false">Call!$B$3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weldon: 
Enter total spread from mid on underlying with appropriate sign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49</xdr:colOff>
                <xdr:row>21</xdr:row>
                <xdr:rowOff>11</xdr:rowOff>
              </xdr:from>
              <xdr:to>
                <xdr:col>3</xdr:col>
                <xdr:colOff>86</xdr:colOff>
                <xdr:row>25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weldon:
</t>
        </r>
        <r>
          <rPr>
            <sz val="8"/>
            <color rgb="FF000000"/>
            <rFont val="Tahoma"/>
            <family val="0"/>
          </rPr>
          <t xml:space="preserve">Enter total distance (with sign) from Mid which includes skew effect and "normal" mid spread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49</xdr:colOff>
                <xdr:row>23</xdr:row>
                <xdr:rowOff>7</xdr:rowOff>
              </xdr:from>
              <xdr:to>
                <xdr:col>3</xdr:col>
                <xdr:colOff>86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weldon:
</t>
        </r>
        <r>
          <rPr>
            <sz val="8"/>
            <color rgb="FF000000"/>
            <rFont val="Tahoma"/>
            <family val="0"/>
          </rPr>
          <t xml:space="preserve">Enter total distance (with sign) from Mid which includes skew effect and "normal" mid spread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49</xdr:colOff>
                <xdr:row>24</xdr:row>
                <xdr:rowOff>7</xdr:rowOff>
              </xdr:from>
              <xdr:to>
                <xdr:col>3</xdr:col>
                <xdr:colOff>86</xdr:colOff>
                <xdr:row>28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<sst xmlns="http://schemas.openxmlformats.org/spreadsheetml/2006/main" count="191" uniqueCount="83">
  <si>
    <t xml:space="preserve">COSTLESS COLLAR TRANSACTION</t>
  </si>
  <si>
    <t xml:space="preserve">Start Date:</t>
  </si>
  <si>
    <t xml:space="preserve">End Date:</t>
  </si>
  <si>
    <t xml:space="preserve">Daily Volume:</t>
  </si>
  <si>
    <t xml:space="preserve">Enter Desk Position (0 or 1):</t>
  </si>
  <si>
    <t xml:space="preserve">0 = Sell Put/Buy Call</t>
  </si>
  <si>
    <t xml:space="preserve">1 = Buy Put/Sell Call</t>
  </si>
  <si>
    <t xml:space="preserve">OPTION</t>
  </si>
  <si>
    <t xml:space="preserve">STRIKE</t>
  </si>
  <si>
    <t xml:space="preserve">PREMIUM</t>
  </si>
  <si>
    <t xml:space="preserve">VALUE</t>
  </si>
  <si>
    <t xml:space="preserve">PUT VALUATION</t>
  </si>
  <si>
    <t xml:space="preserve">Desk</t>
  </si>
  <si>
    <t xml:space="preserve">Put</t>
  </si>
  <si>
    <t xml:space="preserve">CALL VALUATION</t>
  </si>
  <si>
    <t xml:space="preserve">Call</t>
  </si>
  <si>
    <t xml:space="preserve">TOTAL</t>
  </si>
  <si>
    <t xml:space="preserve">=</t>
  </si>
  <si>
    <t xml:space="preserve">USE GOAL SEEK</t>
  </si>
  <si>
    <t xml:space="preserve">DELTA</t>
  </si>
  <si>
    <t xml:space="preserve">Nymex Mid Spread</t>
  </si>
  <si>
    <t xml:space="preserve">Actual Vol</t>
  </si>
  <si>
    <t xml:space="preserve">Put Mid Spread</t>
  </si>
  <si>
    <t xml:space="preserve">Call Mid Spread</t>
  </si>
  <si>
    <t xml:space="preserve">Based on Nymex quotes after 4/23 close</t>
  </si>
  <si>
    <t xml:space="preserve">Estimated from previous days quotes</t>
  </si>
  <si>
    <t xml:space="preserve">Case</t>
  </si>
  <si>
    <t xml:space="preserve">Daily Volume</t>
  </si>
  <si>
    <t xml:space="preserve">Floor</t>
  </si>
  <si>
    <t xml:space="preserve">Nymex Spread</t>
  </si>
  <si>
    <t xml:space="preserve">Sprd</t>
  </si>
  <si>
    <t xml:space="preserve">MMBtu/day 1</t>
  </si>
  <si>
    <t xml:space="preserve">Basis</t>
  </si>
  <si>
    <t xml:space="preserve">Index</t>
  </si>
  <si>
    <t xml:space="preserve">Cost of Funds</t>
  </si>
  <si>
    <t xml:space="preserve">Start Date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</si>
  <si>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</si>
  <si>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</si>
  <si>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</si>
  <si>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</si>
  <si>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</si>
  <si>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</si>
  <si>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</si>
  <si>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</si>
  <si>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</si>
  <si>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Henry Hub</t>
  </si>
  <si>
    <t xml:space="preserve">Real</t>
  </si>
  <si>
    <t xml:space="preserve">PV</t>
  </si>
  <si>
    <t xml:space="preserve">NG-P</t>
  </si>
  <si>
    <t xml:space="preserve">IF-HEHUB-D</t>
  </si>
  <si>
    <t xml:space="preserve">HEHUB-VO</t>
  </si>
  <si>
    <t xml:space="preserve">NYMEX</t>
  </si>
  <si>
    <t xml:space="preserve">Accum</t>
  </si>
  <si>
    <t xml:space="preserve">LIBOR-AA</t>
  </si>
  <si>
    <t xml:space="preserve">Delivery</t>
  </si>
  <si>
    <t xml:space="preserve">Monthly</t>
  </si>
  <si>
    <t xml:space="preserve">Nymex</t>
  </si>
  <si>
    <t xml:space="preserve">Nymex </t>
  </si>
  <si>
    <t xml:space="preserve">STRIKE </t>
  </si>
  <si>
    <t xml:space="preserve">VOL</t>
  </si>
  <si>
    <t xml:space="preserve">EXPIRATION</t>
  </si>
  <si>
    <t xml:space="preserve">Calendar</t>
  </si>
  <si>
    <t xml:space="preserve">Discount</t>
  </si>
  <si>
    <t xml:space="preserve">Libor</t>
  </si>
  <si>
    <t xml:space="preserve">Active</t>
  </si>
  <si>
    <t xml:space="preserve">OPTION </t>
  </si>
  <si>
    <t xml:space="preserve">Month</t>
  </si>
  <si>
    <t xml:space="preserve">MMbtu</t>
  </si>
  <si>
    <t xml:space="preserve">Mid</t>
  </si>
  <si>
    <t xml:space="preserve">Contract</t>
  </si>
  <si>
    <t xml:space="preserve">PRICE</t>
  </si>
  <si>
    <t xml:space="preserve">EXPIRY</t>
  </si>
  <si>
    <t xml:space="preserve">DAYS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</si>
  <si>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</si>
  <si>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</si>
  <si>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</si>
  <si>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</si>
  <si>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</si>
  <si>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SWAP PRICE</t>
  </si>
  <si>
    <t xml:space="preserve">Call Delta</t>
  </si>
  <si>
    <t xml:space="preserve">Total Delta</t>
  </si>
  <si>
    <t xml:space="preserve">Total Delta Volume</t>
  </si>
  <si>
    <t xml:space="preserve">Contracts to Hedge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</si>
</sst>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0"/>
    <numFmt numFmtId="166" formatCode="\$#,##0_);[RED]&quot;($&quot;#,##0\)"/>
    <numFmt numFmtId="167" formatCode="#,##0;\(#,##0\)"/>
    <numFmt numFmtId="168" formatCode="#,##0.0000;\(#,##0.0000\)"/>
    <numFmt numFmtId="169" formatCode="#,##0.;\-#,##0."/>
    <numFmt numFmtId="170" formatCode="#,##0.000;\(#,##0.000\)"/>
    <numFmt numFmtId="171" formatCode="[$-409]#,##0_);\(#,##0\)"/>
    <numFmt numFmtId="172" formatCode="0.00%"/>
    <numFmt numFmtId="173" formatCode="[$-409]#,##0_);[RED]\(#,##0\)"/>
    <numFmt numFmtId="174" formatCode="[$-409]#,##0.00_);[RED]\(#,##0.00\)"/>
    <numFmt numFmtId="175" formatCode="#,##0"/>
    <numFmt numFmtId="176" formatCode="\£#,##0;[RED]&quot;-£&quot;#,##0"/>
    <numFmt numFmtId="177" formatCode="[$-409]mmm\-yy"/>
    <numFmt numFmtId="178" formatCode="\$#,##0.00_);[RED]&quot;($&quot;#,##0.00\)"/>
    <numFmt numFmtId="179" formatCode="\$#,##0.000_);[RED]&quot;($&quot;#,##0.000\)"/>
    <numFmt numFmtId="180" formatCode="\$#,##0_);&quot;($&quot;#,##0\)"/>
    <numFmt numFmtId="181" formatCode="0.0000"/>
    <numFmt numFmtId="182" formatCode="0.00"/>
    <numFmt numFmtId="183" formatCode="\$#,##0.0000"/>
    <numFmt numFmtId="184" formatCode="\$#,##0.0000_);[RED]&quot;($&quot;#,##0.0000\)"/>
    <numFmt numFmtId="185" formatCode="mm/dd/yy"/>
    <numFmt numFmtId="186" formatCode="0.0000_);\(0.0000\)"/>
    <numFmt numFmtId="187" formatCode="0%"/>
    <numFmt numFmtId="188" formatCode="mm/yy"/>
    <numFmt numFmtId="189" formatCode="[$-409]m/d/yyyy"/>
    <numFmt numFmtId="190" formatCode="0.0000000"/>
    <numFmt numFmtId="191" formatCode="\$#,##0"/>
    <numFmt numFmtId="192" formatCode="0.0000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80000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color rgb="FF0000FF"/>
      <name val="Times New Roman"/>
      <family val="1"/>
    </font>
    <font>
      <b val="true"/>
      <sz val="10"/>
      <color rgb="FFFF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71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" applyFont="true" applyBorder="tru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5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3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553680</xdr:colOff>
      <xdr:row>16</xdr:row>
      <xdr:rowOff>56880</xdr:rowOff>
    </xdr:from>
    <xdr:to>
      <xdr:col>4</xdr:col>
      <xdr:colOff>313200</xdr:colOff>
      <xdr:row>18</xdr:row>
      <xdr:rowOff>133560</xdr:rowOff>
    </xdr:to>
    <xdr:sp>
      <xdr:nvSpPr>
        <xdr:cNvPr id="0" name="Line 1"/>
        <xdr:cNvSpPr/>
      </xdr:nvSpPr>
      <xdr:spPr>
        <a:xfrm flipV="1">
          <a:off x="2415600" y="2723760"/>
          <a:ext cx="1721520" cy="419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oday" refersTo="[3]Curves!$A$6"/>
      <definedName name="CurveTable" refersTo="[3]Curves!$C$8:$H$400"/>
      <definedName name="CurveType" refersTo="[3]Curves!$C$8:$H$8"/>
    </definedNames>
    <sheetDataSet>
      <sheetData sheetId="0">
        <row r="6">
          <cell r="A6">
            <v>37005</v>
          </cell>
        </row>
        <row r="8">
          <cell r="D8" t="str">
            <v>LIBOR-AA</v>
          </cell>
          <cell r="E8" t="str">
            <v>NG-P</v>
          </cell>
          <cell r="F8" t="str">
            <v>HEHUB-VO</v>
          </cell>
          <cell r="G8" t="str">
            <v>IF-HEHUB-D</v>
          </cell>
          <cell r="H8" t="str">
            <v>IF-HEHUB-I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</row>
        <row r="11">
          <cell r="C11" t="str">
            <v>Effective Date</v>
          </cell>
          <cell r="D11">
            <v>37005</v>
          </cell>
          <cell r="E11">
            <v>37005</v>
          </cell>
          <cell r="F11">
            <v>37005</v>
          </cell>
          <cell r="G11">
            <v>37005</v>
          </cell>
          <cell r="H11">
            <v>37005</v>
          </cell>
        </row>
        <row r="12">
          <cell r="C12" t="str">
            <v>Prompt Month</v>
          </cell>
          <cell r="D12">
            <v>37012</v>
          </cell>
          <cell r="E12">
            <v>37012</v>
          </cell>
          <cell r="F12">
            <v>37012</v>
          </cell>
          <cell r="G12">
            <v>37012</v>
          </cell>
          <cell r="H12">
            <v>37012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IF-HEHUB</v>
          </cell>
          <cell r="G13" t="str">
            <v>IF-HEHUB</v>
          </cell>
          <cell r="H13" t="str">
            <v>IF-HEHUB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D</v>
          </cell>
          <cell r="H15" t="str">
            <v>I</v>
          </cell>
        </row>
        <row r="16">
          <cell r="C16" t="str">
            <v>Publisher</v>
          </cell>
          <cell r="D16" t="str">
            <v>ATEST_PC</v>
          </cell>
          <cell r="E16" t="str">
            <v>DQUIGLE</v>
          </cell>
          <cell r="F16" t="str">
            <v>GHUAN</v>
          </cell>
          <cell r="G16" t="str">
            <v>SBRAWNE</v>
          </cell>
          <cell r="H16" t="str">
            <v>SBRAWNE</v>
          </cell>
        </row>
        <row r="17">
          <cell r="C17">
            <v>37012</v>
          </cell>
          <cell r="D17">
            <v>0.0464784367185409</v>
          </cell>
          <cell r="E17">
            <v>5.078</v>
          </cell>
          <cell r="F17">
            <v>0.75</v>
          </cell>
          <cell r="G17">
            <v>0</v>
          </cell>
          <cell r="H17">
            <v>0</v>
          </cell>
        </row>
        <row r="18">
          <cell r="C18">
            <v>37043</v>
          </cell>
          <cell r="D18">
            <v>0.0457565288603288</v>
          </cell>
          <cell r="E18">
            <v>5.114</v>
          </cell>
          <cell r="F18">
            <v>0.51</v>
          </cell>
          <cell r="G18">
            <v>0.0025</v>
          </cell>
          <cell r="H18">
            <v>0</v>
          </cell>
        </row>
        <row r="19">
          <cell r="C19">
            <v>37073</v>
          </cell>
          <cell r="D19">
            <v>0.0450962302715325</v>
          </cell>
          <cell r="E19">
            <v>5.177</v>
          </cell>
          <cell r="F19">
            <v>0.518</v>
          </cell>
          <cell r="G19">
            <v>0.0025</v>
          </cell>
          <cell r="H19">
            <v>0</v>
          </cell>
        </row>
        <row r="20">
          <cell r="C20">
            <v>37104</v>
          </cell>
          <cell r="D20">
            <v>0.0443867961015414</v>
          </cell>
          <cell r="E20">
            <v>5.232</v>
          </cell>
          <cell r="F20">
            <v>0.528</v>
          </cell>
          <cell r="G20">
            <v>0.0025</v>
          </cell>
          <cell r="H20">
            <v>0</v>
          </cell>
        </row>
        <row r="21">
          <cell r="C21">
            <v>37135</v>
          </cell>
          <cell r="D21">
            <v>0.0437101438183372</v>
          </cell>
          <cell r="E21">
            <v>5.245</v>
          </cell>
          <cell r="F21">
            <v>0.54</v>
          </cell>
          <cell r="G21">
            <v>0.0025</v>
          </cell>
          <cell r="H21">
            <v>0</v>
          </cell>
        </row>
        <row r="22">
          <cell r="C22">
            <v>37165</v>
          </cell>
          <cell r="D22">
            <v>0.043216619670376</v>
          </cell>
          <cell r="E22">
            <v>5.275</v>
          </cell>
          <cell r="F22">
            <v>0.545</v>
          </cell>
          <cell r="G22">
            <v>0.0025</v>
          </cell>
          <cell r="H22">
            <v>0</v>
          </cell>
        </row>
        <row r="23">
          <cell r="C23">
            <v>37196</v>
          </cell>
          <cell r="D23">
            <v>0.0429703031404305</v>
          </cell>
          <cell r="E23">
            <v>5.42</v>
          </cell>
          <cell r="F23">
            <v>0.545</v>
          </cell>
          <cell r="G23">
            <v>0.0025</v>
          </cell>
          <cell r="H23">
            <v>0</v>
          </cell>
        </row>
        <row r="24">
          <cell r="C24">
            <v>37226</v>
          </cell>
          <cell r="D24">
            <v>0.0427319323243531</v>
          </cell>
          <cell r="E24">
            <v>5.562</v>
          </cell>
          <cell r="F24">
            <v>0.55</v>
          </cell>
          <cell r="G24">
            <v>0.0025</v>
          </cell>
          <cell r="H24">
            <v>0</v>
          </cell>
        </row>
        <row r="25">
          <cell r="C25">
            <v>37257</v>
          </cell>
          <cell r="D25">
            <v>0.0426402677237934</v>
          </cell>
          <cell r="E25">
            <v>5.617</v>
          </cell>
          <cell r="F25">
            <v>0.555</v>
          </cell>
          <cell r="G25">
            <v>0.0025</v>
          </cell>
          <cell r="H25">
            <v>0</v>
          </cell>
        </row>
        <row r="26">
          <cell r="C26">
            <v>37288</v>
          </cell>
          <cell r="D26">
            <v>0.0427627365180054</v>
          </cell>
          <cell r="E26">
            <v>5.462</v>
          </cell>
          <cell r="F26">
            <v>0.55</v>
          </cell>
          <cell r="G26">
            <v>0.0025</v>
          </cell>
          <cell r="H26">
            <v>0</v>
          </cell>
        </row>
        <row r="27">
          <cell r="C27">
            <v>37316</v>
          </cell>
          <cell r="D27">
            <v>0.0428733534977428</v>
          </cell>
          <cell r="E27">
            <v>5.205</v>
          </cell>
          <cell r="F27">
            <v>0.5</v>
          </cell>
          <cell r="G27">
            <v>0.0025</v>
          </cell>
          <cell r="H27">
            <v>0</v>
          </cell>
        </row>
        <row r="28">
          <cell r="C28">
            <v>37347</v>
          </cell>
          <cell r="D28">
            <v>0.0430309485453297</v>
          </cell>
          <cell r="E28">
            <v>4.749</v>
          </cell>
          <cell r="F28">
            <v>0.385</v>
          </cell>
          <cell r="G28">
            <v>0.0025</v>
          </cell>
          <cell r="H28">
            <v>0</v>
          </cell>
        </row>
        <row r="29">
          <cell r="C29">
            <v>37377</v>
          </cell>
          <cell r="D29">
            <v>0.0432245587032569</v>
          </cell>
          <cell r="E29">
            <v>4.624</v>
          </cell>
          <cell r="F29">
            <v>0.343</v>
          </cell>
          <cell r="G29">
            <v>0.001</v>
          </cell>
          <cell r="H29">
            <v>0</v>
          </cell>
        </row>
        <row r="30">
          <cell r="C30">
            <v>37408</v>
          </cell>
          <cell r="D30">
            <v>0.0434246225463064</v>
          </cell>
          <cell r="E30">
            <v>4.652</v>
          </cell>
          <cell r="F30">
            <v>0.343</v>
          </cell>
          <cell r="G30">
            <v>0.0035</v>
          </cell>
          <cell r="H30">
            <v>0</v>
          </cell>
        </row>
        <row r="31">
          <cell r="C31">
            <v>37438</v>
          </cell>
          <cell r="D31">
            <v>0.0436627397718064</v>
          </cell>
          <cell r="E31">
            <v>4.696</v>
          </cell>
          <cell r="F31">
            <v>0.343</v>
          </cell>
          <cell r="G31">
            <v>0.0035</v>
          </cell>
          <cell r="H31">
            <v>0</v>
          </cell>
        </row>
        <row r="32">
          <cell r="C32">
            <v>37469</v>
          </cell>
          <cell r="D32">
            <v>0.0439816467269187</v>
          </cell>
          <cell r="E32">
            <v>4.709</v>
          </cell>
          <cell r="F32">
            <v>0.343</v>
          </cell>
          <cell r="G32">
            <v>0.0035</v>
          </cell>
          <cell r="H32">
            <v>0</v>
          </cell>
        </row>
        <row r="33">
          <cell r="C33">
            <v>37500</v>
          </cell>
          <cell r="D33">
            <v>0.044300553716087</v>
          </cell>
          <cell r="E33">
            <v>4.694</v>
          </cell>
          <cell r="F33">
            <v>0.345</v>
          </cell>
          <cell r="G33">
            <v>0.0035</v>
          </cell>
          <cell r="H33">
            <v>0</v>
          </cell>
        </row>
        <row r="34">
          <cell r="C34">
            <v>37530</v>
          </cell>
          <cell r="D34">
            <v>0.0446254077174668</v>
          </cell>
          <cell r="E34">
            <v>4.704</v>
          </cell>
          <cell r="F34">
            <v>0.348</v>
          </cell>
          <cell r="G34">
            <v>0.0035</v>
          </cell>
          <cell r="H34">
            <v>0</v>
          </cell>
        </row>
        <row r="35">
          <cell r="C35">
            <v>37561</v>
          </cell>
          <cell r="D35">
            <v>0.0449842953887325</v>
          </cell>
          <cell r="E35">
            <v>4.824</v>
          </cell>
          <cell r="F35">
            <v>0.355</v>
          </cell>
          <cell r="G35">
            <v>0.0035</v>
          </cell>
          <cell r="H35">
            <v>0</v>
          </cell>
        </row>
        <row r="36">
          <cell r="C36">
            <v>37591</v>
          </cell>
          <cell r="D36">
            <v>0.0453316060793907</v>
          </cell>
          <cell r="E36">
            <v>4.934</v>
          </cell>
          <cell r="F36">
            <v>0.36</v>
          </cell>
          <cell r="G36">
            <v>0.0035</v>
          </cell>
          <cell r="H36">
            <v>0</v>
          </cell>
        </row>
        <row r="37">
          <cell r="C37">
            <v>37622</v>
          </cell>
          <cell r="D37">
            <v>0.0457045450155351</v>
          </cell>
          <cell r="E37">
            <v>4.965</v>
          </cell>
          <cell r="F37">
            <v>0.363</v>
          </cell>
          <cell r="G37">
            <v>0</v>
          </cell>
          <cell r="H37">
            <v>0</v>
          </cell>
        </row>
        <row r="38">
          <cell r="C38">
            <v>37653</v>
          </cell>
          <cell r="D38">
            <v>0.0460945461476445</v>
          </cell>
          <cell r="E38">
            <v>4.805</v>
          </cell>
          <cell r="F38">
            <v>0.358</v>
          </cell>
          <cell r="G38">
            <v>0</v>
          </cell>
          <cell r="H38">
            <v>0</v>
          </cell>
        </row>
        <row r="39">
          <cell r="C39">
            <v>37681</v>
          </cell>
          <cell r="D39">
            <v>0.0464468052784452</v>
          </cell>
          <cell r="E39">
            <v>4.576</v>
          </cell>
          <cell r="F39">
            <v>0.338</v>
          </cell>
          <cell r="G39">
            <v>0</v>
          </cell>
          <cell r="H39">
            <v>0</v>
          </cell>
        </row>
        <row r="40">
          <cell r="C40">
            <v>37712</v>
          </cell>
          <cell r="D40">
            <v>0.0468172548062005</v>
          </cell>
          <cell r="E40">
            <v>4.276</v>
          </cell>
          <cell r="F40">
            <v>0.318</v>
          </cell>
          <cell r="G40">
            <v>0</v>
          </cell>
          <cell r="H40">
            <v>0</v>
          </cell>
        </row>
        <row r="41">
          <cell r="C41">
            <v>37742</v>
          </cell>
          <cell r="D41">
            <v>0.0471484771198298</v>
          </cell>
          <cell r="E41">
            <v>4.21</v>
          </cell>
          <cell r="F41">
            <v>0.315</v>
          </cell>
          <cell r="G41">
            <v>0</v>
          </cell>
          <cell r="H41">
            <v>0</v>
          </cell>
        </row>
        <row r="42">
          <cell r="C42">
            <v>37773</v>
          </cell>
          <cell r="D42">
            <v>0.0474907402157809</v>
          </cell>
          <cell r="E42">
            <v>4.23</v>
          </cell>
          <cell r="F42">
            <v>0.315</v>
          </cell>
          <cell r="G42">
            <v>0</v>
          </cell>
          <cell r="H42">
            <v>0</v>
          </cell>
        </row>
        <row r="43">
          <cell r="C43">
            <v>37803</v>
          </cell>
          <cell r="D43">
            <v>0.0478155495683135</v>
          </cell>
          <cell r="E43">
            <v>4.255</v>
          </cell>
          <cell r="F43">
            <v>0.315</v>
          </cell>
          <cell r="G43">
            <v>0</v>
          </cell>
          <cell r="H43">
            <v>0</v>
          </cell>
        </row>
        <row r="44">
          <cell r="C44">
            <v>37834</v>
          </cell>
          <cell r="D44">
            <v>0.0481419910232317</v>
          </cell>
          <cell r="E44">
            <v>4.28</v>
          </cell>
          <cell r="F44">
            <v>0.315</v>
          </cell>
          <cell r="G44">
            <v>0</v>
          </cell>
          <cell r="H44">
            <v>0</v>
          </cell>
        </row>
        <row r="45">
          <cell r="C45">
            <v>37865</v>
          </cell>
          <cell r="D45">
            <v>0.0484684325137623</v>
          </cell>
          <cell r="E45">
            <v>4.27</v>
          </cell>
          <cell r="F45">
            <v>0.315</v>
          </cell>
          <cell r="G45">
            <v>0</v>
          </cell>
          <cell r="H45">
            <v>0</v>
          </cell>
        </row>
        <row r="46">
          <cell r="C46">
            <v>37895</v>
          </cell>
          <cell r="D46">
            <v>0.0487707015972547</v>
          </cell>
          <cell r="E46">
            <v>4.275</v>
          </cell>
          <cell r="F46">
            <v>0.318</v>
          </cell>
          <cell r="G46">
            <v>0</v>
          </cell>
          <cell r="H46">
            <v>0</v>
          </cell>
        </row>
        <row r="47">
          <cell r="C47">
            <v>37926</v>
          </cell>
          <cell r="D47">
            <v>0.0490659362742267</v>
          </cell>
          <cell r="E47">
            <v>4.385</v>
          </cell>
          <cell r="F47">
            <v>0.318</v>
          </cell>
          <cell r="G47">
            <v>0</v>
          </cell>
          <cell r="H47">
            <v>0</v>
          </cell>
        </row>
        <row r="48">
          <cell r="C48">
            <v>37956</v>
          </cell>
          <cell r="D48">
            <v>0.0493516472796642</v>
          </cell>
          <cell r="E48">
            <v>4.505</v>
          </cell>
          <cell r="F48">
            <v>0.318</v>
          </cell>
          <cell r="G48">
            <v>0</v>
          </cell>
          <cell r="H48">
            <v>0</v>
          </cell>
        </row>
        <row r="49">
          <cell r="C49">
            <v>37987</v>
          </cell>
          <cell r="D49">
            <v>0.0496436366116444</v>
          </cell>
          <cell r="E49">
            <v>4.545</v>
          </cell>
          <cell r="F49">
            <v>0.323</v>
          </cell>
          <cell r="G49">
            <v>0</v>
          </cell>
          <cell r="H49">
            <v>0</v>
          </cell>
        </row>
        <row r="50">
          <cell r="C50">
            <v>38018</v>
          </cell>
          <cell r="D50">
            <v>0.0499321642093298</v>
          </cell>
          <cell r="E50">
            <v>4.425</v>
          </cell>
          <cell r="F50">
            <v>0.315</v>
          </cell>
          <cell r="G50">
            <v>0</v>
          </cell>
          <cell r="H50">
            <v>0</v>
          </cell>
        </row>
        <row r="51">
          <cell r="C51">
            <v>38047</v>
          </cell>
          <cell r="D51">
            <v>0.0502020771484575</v>
          </cell>
          <cell r="E51">
            <v>4.286</v>
          </cell>
          <cell r="F51">
            <v>0.308</v>
          </cell>
          <cell r="G51">
            <v>0</v>
          </cell>
          <cell r="H51">
            <v>0</v>
          </cell>
        </row>
        <row r="52">
          <cell r="C52">
            <v>38078</v>
          </cell>
          <cell r="D52">
            <v>0.0504684222549909</v>
          </cell>
          <cell r="E52">
            <v>4.116</v>
          </cell>
          <cell r="F52">
            <v>0.295</v>
          </cell>
          <cell r="G52">
            <v>0</v>
          </cell>
          <cell r="H52">
            <v>0</v>
          </cell>
        </row>
        <row r="53">
          <cell r="C53">
            <v>38108</v>
          </cell>
          <cell r="D53">
            <v>0.0507032774937293</v>
          </cell>
          <cell r="E53">
            <v>4.175</v>
          </cell>
          <cell r="F53">
            <v>0.293</v>
          </cell>
          <cell r="G53">
            <v>0</v>
          </cell>
          <cell r="H53">
            <v>0</v>
          </cell>
        </row>
        <row r="54">
          <cell r="C54">
            <v>38139</v>
          </cell>
          <cell r="D54">
            <v>0.050945961259766</v>
          </cell>
          <cell r="E54">
            <v>4.215</v>
          </cell>
          <cell r="F54">
            <v>0.293</v>
          </cell>
          <cell r="G54">
            <v>0</v>
          </cell>
          <cell r="H54">
            <v>0</v>
          </cell>
        </row>
        <row r="55">
          <cell r="C55">
            <v>38169</v>
          </cell>
          <cell r="D55">
            <v>0.0511723996067595</v>
          </cell>
          <cell r="E55">
            <v>4.26</v>
          </cell>
          <cell r="F55">
            <v>0.293</v>
          </cell>
          <cell r="G55">
            <v>0</v>
          </cell>
          <cell r="H55">
            <v>0</v>
          </cell>
        </row>
        <row r="56">
          <cell r="C56">
            <v>38200</v>
          </cell>
          <cell r="D56">
            <v>0.0513971413943959</v>
          </cell>
          <cell r="E56">
            <v>4.295</v>
          </cell>
          <cell r="F56">
            <v>0.293</v>
          </cell>
          <cell r="G56">
            <v>0</v>
          </cell>
          <cell r="H56">
            <v>0</v>
          </cell>
        </row>
        <row r="57">
          <cell r="C57">
            <v>38231</v>
          </cell>
          <cell r="D57">
            <v>0.0516218831988855</v>
          </cell>
          <cell r="E57">
            <v>4.3</v>
          </cell>
          <cell r="F57">
            <v>0.293</v>
          </cell>
          <cell r="G57">
            <v>0</v>
          </cell>
          <cell r="H57">
            <v>0</v>
          </cell>
        </row>
        <row r="58">
          <cell r="C58">
            <v>38261</v>
          </cell>
          <cell r="D58">
            <v>0.0518312821295193</v>
          </cell>
          <cell r="E58">
            <v>4.33</v>
          </cell>
          <cell r="F58">
            <v>0.293</v>
          </cell>
          <cell r="G58">
            <v>0</v>
          </cell>
          <cell r="H58">
            <v>0</v>
          </cell>
        </row>
        <row r="59">
          <cell r="C59">
            <v>38292</v>
          </cell>
          <cell r="D59">
            <v>0.0520398756570528</v>
          </cell>
          <cell r="E59">
            <v>4.44</v>
          </cell>
          <cell r="F59">
            <v>0.293</v>
          </cell>
          <cell r="G59">
            <v>0</v>
          </cell>
          <cell r="H59">
            <v>0</v>
          </cell>
        </row>
        <row r="60">
          <cell r="C60">
            <v>38322</v>
          </cell>
          <cell r="D60">
            <v>0.0522417403749364</v>
          </cell>
          <cell r="E60">
            <v>4.56</v>
          </cell>
          <cell r="F60">
            <v>0.293</v>
          </cell>
          <cell r="G60">
            <v>0</v>
          </cell>
          <cell r="H60">
            <v>0</v>
          </cell>
        </row>
        <row r="61">
          <cell r="C61">
            <v>38353</v>
          </cell>
          <cell r="D61">
            <v>0.0524503748150922</v>
          </cell>
          <cell r="E61">
            <v>4.56</v>
          </cell>
          <cell r="F61">
            <v>0.295</v>
          </cell>
          <cell r="G61">
            <v>0</v>
          </cell>
          <cell r="H61">
            <v>0</v>
          </cell>
        </row>
        <row r="62">
          <cell r="C62">
            <v>38384</v>
          </cell>
          <cell r="D62">
            <v>0.052659042938997</v>
          </cell>
          <cell r="E62">
            <v>4.44</v>
          </cell>
          <cell r="F62">
            <v>0.29</v>
          </cell>
          <cell r="G62">
            <v>0</v>
          </cell>
          <cell r="H62">
            <v>0</v>
          </cell>
        </row>
        <row r="63">
          <cell r="C63">
            <v>38412</v>
          </cell>
          <cell r="D63">
            <v>0.0528475173859713</v>
          </cell>
          <cell r="E63">
            <v>4.301</v>
          </cell>
          <cell r="F63">
            <v>0.285</v>
          </cell>
          <cell r="G63">
            <v>0</v>
          </cell>
          <cell r="H63">
            <v>0</v>
          </cell>
        </row>
        <row r="64">
          <cell r="C64">
            <v>38443</v>
          </cell>
          <cell r="D64">
            <v>0.0530403688442012</v>
          </cell>
          <cell r="E64">
            <v>4.131</v>
          </cell>
          <cell r="F64">
            <v>0.275</v>
          </cell>
          <cell r="G64">
            <v>0</v>
          </cell>
          <cell r="H64">
            <v>0</v>
          </cell>
        </row>
        <row r="65">
          <cell r="C65">
            <v>38473</v>
          </cell>
          <cell r="D65">
            <v>0.0532131411912102</v>
          </cell>
          <cell r="E65">
            <v>4.19</v>
          </cell>
          <cell r="F65">
            <v>0.265</v>
          </cell>
          <cell r="G65">
            <v>0</v>
          </cell>
          <cell r="H65">
            <v>0</v>
          </cell>
        </row>
        <row r="66">
          <cell r="C66">
            <v>38504</v>
          </cell>
          <cell r="D66">
            <v>0.053391672626907</v>
          </cell>
          <cell r="E66">
            <v>4.23</v>
          </cell>
          <cell r="F66">
            <v>0.26</v>
          </cell>
          <cell r="G66">
            <v>0</v>
          </cell>
          <cell r="H66">
            <v>0</v>
          </cell>
        </row>
        <row r="67">
          <cell r="C67">
            <v>38534</v>
          </cell>
          <cell r="D67">
            <v>0.0535664317213267</v>
          </cell>
          <cell r="E67">
            <v>4.275</v>
          </cell>
          <cell r="F67">
            <v>0.26</v>
          </cell>
          <cell r="G67">
            <v>0</v>
          </cell>
          <cell r="H67">
            <v>0</v>
          </cell>
        </row>
        <row r="68">
          <cell r="C68">
            <v>38565</v>
          </cell>
          <cell r="D68">
            <v>0.0537490690811313</v>
          </cell>
          <cell r="E68">
            <v>4.31</v>
          </cell>
          <cell r="F68">
            <v>0.26</v>
          </cell>
          <cell r="G68">
            <v>0</v>
          </cell>
          <cell r="H68">
            <v>0</v>
          </cell>
        </row>
        <row r="69">
          <cell r="C69">
            <v>38596</v>
          </cell>
          <cell r="D69">
            <v>0.0539317064520519</v>
          </cell>
          <cell r="E69">
            <v>4.315</v>
          </cell>
          <cell r="F69">
            <v>0.26</v>
          </cell>
          <cell r="G69">
            <v>0</v>
          </cell>
          <cell r="H69">
            <v>0</v>
          </cell>
        </row>
        <row r="70">
          <cell r="C70">
            <v>38626</v>
          </cell>
          <cell r="D70">
            <v>0.0541084523054622</v>
          </cell>
          <cell r="E70">
            <v>4.345</v>
          </cell>
          <cell r="F70">
            <v>0.26</v>
          </cell>
          <cell r="G70">
            <v>0</v>
          </cell>
          <cell r="H70">
            <v>0</v>
          </cell>
        </row>
        <row r="71">
          <cell r="C71">
            <v>38657</v>
          </cell>
          <cell r="D71">
            <v>0.0542910896982556</v>
          </cell>
          <cell r="E71">
            <v>4.455</v>
          </cell>
          <cell r="F71">
            <v>0.26</v>
          </cell>
          <cell r="G71">
            <v>0</v>
          </cell>
          <cell r="H71">
            <v>0</v>
          </cell>
        </row>
        <row r="72">
          <cell r="C72">
            <v>38687</v>
          </cell>
          <cell r="D72">
            <v>0.0544678355728303</v>
          </cell>
          <cell r="E72">
            <v>4.575</v>
          </cell>
          <cell r="F72">
            <v>0.26</v>
          </cell>
          <cell r="G72">
            <v>0</v>
          </cell>
          <cell r="H72">
            <v>0</v>
          </cell>
        </row>
        <row r="73">
          <cell r="C73">
            <v>38718</v>
          </cell>
          <cell r="D73">
            <v>0.0546504729874924</v>
          </cell>
          <cell r="E73">
            <v>4.585</v>
          </cell>
          <cell r="F73">
            <v>0.26</v>
          </cell>
          <cell r="G73">
            <v>0</v>
          </cell>
          <cell r="H73">
            <v>0</v>
          </cell>
        </row>
        <row r="74">
          <cell r="C74">
            <v>38749</v>
          </cell>
          <cell r="D74">
            <v>0.0548331104132656</v>
          </cell>
          <cell r="E74">
            <v>4.465</v>
          </cell>
          <cell r="F74">
            <v>0.26</v>
          </cell>
          <cell r="G74">
            <v>0</v>
          </cell>
          <cell r="H74">
            <v>0</v>
          </cell>
        </row>
        <row r="75">
          <cell r="C75">
            <v>38777</v>
          </cell>
          <cell r="D75">
            <v>0.0549980732589979</v>
          </cell>
          <cell r="E75">
            <v>4.326</v>
          </cell>
          <cell r="F75">
            <v>0.253</v>
          </cell>
          <cell r="G75">
            <v>0</v>
          </cell>
          <cell r="H75">
            <v>0</v>
          </cell>
        </row>
        <row r="76">
          <cell r="C76">
            <v>38808</v>
          </cell>
          <cell r="D76">
            <v>0.0551807107059172</v>
          </cell>
          <cell r="E76">
            <v>4.156</v>
          </cell>
          <cell r="F76">
            <v>0.248</v>
          </cell>
          <cell r="G76">
            <v>0</v>
          </cell>
          <cell r="H76">
            <v>0</v>
          </cell>
        </row>
        <row r="77">
          <cell r="C77">
            <v>38838</v>
          </cell>
          <cell r="D77">
            <v>0.0553500047063031</v>
          </cell>
          <cell r="E77">
            <v>4.215</v>
          </cell>
          <cell r="F77">
            <v>0.24</v>
          </cell>
          <cell r="G77">
            <v>0</v>
          </cell>
          <cell r="H77">
            <v>0</v>
          </cell>
        </row>
        <row r="78">
          <cell r="C78">
            <v>38869</v>
          </cell>
          <cell r="D78">
            <v>0.0554864402275292</v>
          </cell>
          <cell r="E78">
            <v>4.255</v>
          </cell>
          <cell r="F78">
            <v>0.24</v>
          </cell>
          <cell r="G78">
            <v>0</v>
          </cell>
          <cell r="H78">
            <v>0</v>
          </cell>
        </row>
        <row r="79">
          <cell r="C79">
            <v>38899</v>
          </cell>
          <cell r="D79">
            <v>0.0556184746088104</v>
          </cell>
          <cell r="E79">
            <v>4.3</v>
          </cell>
          <cell r="F79">
            <v>0.24</v>
          </cell>
          <cell r="G79">
            <v>0</v>
          </cell>
          <cell r="H79">
            <v>0</v>
          </cell>
        </row>
        <row r="80">
          <cell r="C80">
            <v>38930</v>
          </cell>
          <cell r="D80">
            <v>0.055754910142233</v>
          </cell>
          <cell r="E80">
            <v>4.335</v>
          </cell>
          <cell r="F80">
            <v>0.24</v>
          </cell>
          <cell r="G80">
            <v>0</v>
          </cell>
          <cell r="H80">
            <v>0</v>
          </cell>
        </row>
        <row r="81">
          <cell r="C81">
            <v>38961</v>
          </cell>
          <cell r="D81">
            <v>0.0558913456818533</v>
          </cell>
          <cell r="E81">
            <v>4.34</v>
          </cell>
          <cell r="F81">
            <v>0.24</v>
          </cell>
          <cell r="G81">
            <v>0</v>
          </cell>
          <cell r="H81">
            <v>0</v>
          </cell>
        </row>
        <row r="82">
          <cell r="C82">
            <v>38991</v>
          </cell>
          <cell r="D82">
            <v>0.0560233800809353</v>
          </cell>
          <cell r="E82">
            <v>4.37</v>
          </cell>
          <cell r="F82">
            <v>0.24</v>
          </cell>
          <cell r="G82">
            <v>0</v>
          </cell>
          <cell r="H82">
            <v>0</v>
          </cell>
        </row>
        <row r="83">
          <cell r="C83">
            <v>39022</v>
          </cell>
          <cell r="D83">
            <v>0.0561598156327494</v>
          </cell>
          <cell r="E83">
            <v>4.48</v>
          </cell>
          <cell r="F83">
            <v>0.243</v>
          </cell>
          <cell r="G83">
            <v>0</v>
          </cell>
          <cell r="H83">
            <v>0</v>
          </cell>
        </row>
        <row r="84">
          <cell r="C84">
            <v>39052</v>
          </cell>
          <cell r="D84">
            <v>0.0562918500436314</v>
          </cell>
          <cell r="E84">
            <v>4.6</v>
          </cell>
          <cell r="F84">
            <v>0.25</v>
          </cell>
          <cell r="G84">
            <v>0</v>
          </cell>
          <cell r="H84">
            <v>0</v>
          </cell>
        </row>
        <row r="85">
          <cell r="C85">
            <v>39083</v>
          </cell>
          <cell r="D85">
            <v>0.0564282856076388</v>
          </cell>
          <cell r="E85">
            <v>4.62</v>
          </cell>
          <cell r="F85">
            <v>0.253</v>
          </cell>
          <cell r="G85">
            <v>0</v>
          </cell>
          <cell r="H85">
            <v>0.0025</v>
          </cell>
        </row>
        <row r="86">
          <cell r="C86">
            <v>39114</v>
          </cell>
          <cell r="D86">
            <v>0.0565647211778422</v>
          </cell>
          <cell r="E86">
            <v>4.5</v>
          </cell>
          <cell r="F86">
            <v>0.24</v>
          </cell>
          <cell r="G86">
            <v>0</v>
          </cell>
          <cell r="H86">
            <v>0.0025</v>
          </cell>
        </row>
        <row r="87">
          <cell r="C87">
            <v>39142</v>
          </cell>
          <cell r="D87">
            <v>0.056687953311092</v>
          </cell>
          <cell r="E87">
            <v>4.361</v>
          </cell>
          <cell r="F87">
            <v>0.233</v>
          </cell>
          <cell r="G87">
            <v>0</v>
          </cell>
          <cell r="H87">
            <v>0.0025</v>
          </cell>
        </row>
        <row r="88">
          <cell r="C88">
            <v>39173</v>
          </cell>
          <cell r="D88">
            <v>0.0568243888930859</v>
          </cell>
          <cell r="E88">
            <v>4.191</v>
          </cell>
          <cell r="F88">
            <v>0.233</v>
          </cell>
          <cell r="G88">
            <v>0</v>
          </cell>
          <cell r="H88">
            <v>0.0025</v>
          </cell>
        </row>
        <row r="89">
          <cell r="C89">
            <v>39203</v>
          </cell>
          <cell r="D89">
            <v>0.0569564233331712</v>
          </cell>
          <cell r="E89">
            <v>4.25</v>
          </cell>
          <cell r="F89">
            <v>0.233</v>
          </cell>
          <cell r="G89">
            <v>0</v>
          </cell>
          <cell r="H89">
            <v>0.0025</v>
          </cell>
        </row>
        <row r="90">
          <cell r="C90">
            <v>39234</v>
          </cell>
          <cell r="D90">
            <v>0.057092858927354</v>
          </cell>
          <cell r="E90">
            <v>4.29</v>
          </cell>
          <cell r="F90">
            <v>0.223</v>
          </cell>
          <cell r="G90">
            <v>0</v>
          </cell>
          <cell r="H90">
            <v>0.0025</v>
          </cell>
        </row>
        <row r="91">
          <cell r="C91">
            <v>39264</v>
          </cell>
          <cell r="D91">
            <v>0.0572248933792348</v>
          </cell>
          <cell r="E91">
            <v>4.335</v>
          </cell>
          <cell r="F91">
            <v>0.223</v>
          </cell>
          <cell r="G91">
            <v>0</v>
          </cell>
          <cell r="H91">
            <v>0.0025</v>
          </cell>
        </row>
        <row r="92">
          <cell r="C92">
            <v>39295</v>
          </cell>
          <cell r="D92">
            <v>0.0573613289856048</v>
          </cell>
          <cell r="E92">
            <v>4.37</v>
          </cell>
          <cell r="F92">
            <v>0.223</v>
          </cell>
          <cell r="G92">
            <v>0</v>
          </cell>
          <cell r="H92">
            <v>0.0025</v>
          </cell>
        </row>
        <row r="93">
          <cell r="C93">
            <v>39326</v>
          </cell>
          <cell r="D93">
            <v>0.0574977645981671</v>
          </cell>
          <cell r="E93">
            <v>4.375</v>
          </cell>
          <cell r="F93">
            <v>0.223</v>
          </cell>
          <cell r="G93">
            <v>0</v>
          </cell>
          <cell r="H93">
            <v>0.0025</v>
          </cell>
        </row>
        <row r="94">
          <cell r="C94">
            <v>39356</v>
          </cell>
          <cell r="D94">
            <v>0.0576297990678336</v>
          </cell>
          <cell r="E94">
            <v>4.405</v>
          </cell>
          <cell r="F94">
            <v>0.223</v>
          </cell>
          <cell r="G94">
            <v>0</v>
          </cell>
          <cell r="H94">
            <v>0.0025</v>
          </cell>
        </row>
        <row r="95">
          <cell r="C95">
            <v>39387</v>
          </cell>
          <cell r="D95">
            <v>0.0577662346925814</v>
          </cell>
          <cell r="E95">
            <v>4.515</v>
          </cell>
          <cell r="F95">
            <v>0.223</v>
          </cell>
          <cell r="G95">
            <v>0</v>
          </cell>
          <cell r="H95">
            <v>0.0025</v>
          </cell>
        </row>
        <row r="96">
          <cell r="C96">
            <v>39417</v>
          </cell>
          <cell r="D96">
            <v>0.0578982691740388</v>
          </cell>
          <cell r="E96">
            <v>4.635</v>
          </cell>
          <cell r="F96">
            <v>0.223</v>
          </cell>
          <cell r="G96">
            <v>0</v>
          </cell>
          <cell r="H96">
            <v>0.0025</v>
          </cell>
        </row>
        <row r="97">
          <cell r="C97">
            <v>39448</v>
          </cell>
          <cell r="D97">
            <v>0.0580347048109697</v>
          </cell>
          <cell r="E97">
            <v>4.665</v>
          </cell>
          <cell r="F97">
            <v>0.223</v>
          </cell>
          <cell r="G97">
            <v>0</v>
          </cell>
          <cell r="H97">
            <v>0.0025</v>
          </cell>
        </row>
        <row r="98">
          <cell r="C98">
            <v>39479</v>
          </cell>
          <cell r="D98">
            <v>0.0581711404540917</v>
          </cell>
          <cell r="E98">
            <v>4.545</v>
          </cell>
          <cell r="F98">
            <v>0.223</v>
          </cell>
          <cell r="G98">
            <v>0</v>
          </cell>
          <cell r="H98">
            <v>0.0025</v>
          </cell>
        </row>
        <row r="99">
          <cell r="C99">
            <v>39508</v>
          </cell>
          <cell r="D99">
            <v>0.0582987738032616</v>
          </cell>
          <cell r="E99">
            <v>4.406</v>
          </cell>
          <cell r="F99">
            <v>0.208</v>
          </cell>
          <cell r="G99">
            <v>0</v>
          </cell>
          <cell r="H99">
            <v>0.0025</v>
          </cell>
        </row>
        <row r="100">
          <cell r="C100">
            <v>39539</v>
          </cell>
          <cell r="D100">
            <v>0.0584352094583647</v>
          </cell>
          <cell r="E100">
            <v>4.236</v>
          </cell>
          <cell r="F100">
            <v>0.208</v>
          </cell>
          <cell r="G100">
            <v>0</v>
          </cell>
          <cell r="H100">
            <v>0.0025</v>
          </cell>
        </row>
        <row r="101">
          <cell r="C101">
            <v>39569</v>
          </cell>
          <cell r="D101">
            <v>0.0585639592068992</v>
          </cell>
          <cell r="E101">
            <v>4.295</v>
          </cell>
          <cell r="F101">
            <v>0.208</v>
          </cell>
          <cell r="G101">
            <v>0</v>
          </cell>
          <cell r="H101">
            <v>0.0025</v>
          </cell>
        </row>
        <row r="102">
          <cell r="C102">
            <v>39600</v>
          </cell>
          <cell r="D102">
            <v>0.0586664523289642</v>
          </cell>
          <cell r="E102">
            <v>4.335</v>
          </cell>
          <cell r="F102">
            <v>0.208</v>
          </cell>
          <cell r="G102">
            <v>0</v>
          </cell>
          <cell r="H102">
            <v>0.0025</v>
          </cell>
        </row>
        <row r="103">
          <cell r="C103">
            <v>39630</v>
          </cell>
          <cell r="D103">
            <v>0.0587656392246108</v>
          </cell>
          <cell r="E103">
            <v>4.38</v>
          </cell>
          <cell r="F103">
            <v>0.203</v>
          </cell>
          <cell r="G103">
            <v>0</v>
          </cell>
          <cell r="H103">
            <v>0.0025</v>
          </cell>
        </row>
        <row r="104">
          <cell r="C104">
            <v>39661</v>
          </cell>
          <cell r="D104">
            <v>0.058868132353548</v>
          </cell>
          <cell r="E104">
            <v>4.415</v>
          </cell>
          <cell r="F104">
            <v>0.203</v>
          </cell>
          <cell r="G104">
            <v>0</v>
          </cell>
          <cell r="H104">
            <v>0.0025</v>
          </cell>
        </row>
        <row r="105">
          <cell r="C105">
            <v>39692</v>
          </cell>
          <cell r="D105">
            <v>0.0589706254859781</v>
          </cell>
          <cell r="E105">
            <v>4.42</v>
          </cell>
          <cell r="F105">
            <v>0.203</v>
          </cell>
          <cell r="G105">
            <v>0</v>
          </cell>
          <cell r="H105">
            <v>0.0025</v>
          </cell>
        </row>
        <row r="106">
          <cell r="C106">
            <v>39722</v>
          </cell>
          <cell r="D106">
            <v>0.0590698123916544</v>
          </cell>
          <cell r="E106">
            <v>4.45</v>
          </cell>
          <cell r="F106">
            <v>0.203</v>
          </cell>
          <cell r="G106">
            <v>0</v>
          </cell>
          <cell r="H106">
            <v>0.0025</v>
          </cell>
        </row>
        <row r="107">
          <cell r="C107">
            <v>39753</v>
          </cell>
          <cell r="D107">
            <v>0.0591723055309559</v>
          </cell>
          <cell r="E107">
            <v>4.56</v>
          </cell>
          <cell r="F107">
            <v>0.203</v>
          </cell>
          <cell r="G107">
            <v>0</v>
          </cell>
          <cell r="H107">
            <v>0.0025</v>
          </cell>
        </row>
        <row r="108">
          <cell r="C108">
            <v>39783</v>
          </cell>
          <cell r="D108">
            <v>0.0592714924432816</v>
          </cell>
          <cell r="E108">
            <v>4.68</v>
          </cell>
          <cell r="F108">
            <v>0.205</v>
          </cell>
          <cell r="G108">
            <v>0</v>
          </cell>
          <cell r="H108">
            <v>0.0025</v>
          </cell>
        </row>
        <row r="109">
          <cell r="C109">
            <v>39814</v>
          </cell>
          <cell r="D109">
            <v>0.059373985589454</v>
          </cell>
          <cell r="E109">
            <v>4.72</v>
          </cell>
          <cell r="F109">
            <v>0.205</v>
          </cell>
          <cell r="G109">
            <v>0</v>
          </cell>
          <cell r="H109">
            <v>0.0025</v>
          </cell>
        </row>
        <row r="110">
          <cell r="C110">
            <v>39845</v>
          </cell>
          <cell r="D110">
            <v>0.0594764787391173</v>
          </cell>
          <cell r="E110">
            <v>4.6</v>
          </cell>
          <cell r="F110">
            <v>0.2</v>
          </cell>
          <cell r="G110">
            <v>0</v>
          </cell>
          <cell r="H110">
            <v>0.0025</v>
          </cell>
        </row>
        <row r="111">
          <cell r="C111">
            <v>39873</v>
          </cell>
          <cell r="D111">
            <v>0.0595690531998785</v>
          </cell>
          <cell r="E111">
            <v>4.461</v>
          </cell>
          <cell r="F111">
            <v>0.19</v>
          </cell>
          <cell r="G111">
            <v>0</v>
          </cell>
          <cell r="H111">
            <v>0.0025</v>
          </cell>
        </row>
        <row r="112">
          <cell r="C112">
            <v>39904</v>
          </cell>
          <cell r="D112">
            <v>0.0596715463561868</v>
          </cell>
          <cell r="E112">
            <v>4.291</v>
          </cell>
          <cell r="F112">
            <v>0.19</v>
          </cell>
          <cell r="G112">
            <v>0</v>
          </cell>
          <cell r="H112">
            <v>0.0025</v>
          </cell>
        </row>
        <row r="113">
          <cell r="C113">
            <v>39934</v>
          </cell>
          <cell r="D113">
            <v>0.05977073328497</v>
          </cell>
          <cell r="E113">
            <v>4.35</v>
          </cell>
          <cell r="F113">
            <v>0.19</v>
          </cell>
          <cell r="G113">
            <v>0</v>
          </cell>
          <cell r="H113">
            <v>0.0025</v>
          </cell>
        </row>
        <row r="114">
          <cell r="C114">
            <v>39965</v>
          </cell>
          <cell r="D114">
            <v>0.059873226448147</v>
          </cell>
          <cell r="E114">
            <v>4.39</v>
          </cell>
          <cell r="F114">
            <v>0.19</v>
          </cell>
          <cell r="G114">
            <v>0</v>
          </cell>
          <cell r="H114">
            <v>0.0025</v>
          </cell>
        </row>
        <row r="115">
          <cell r="C115">
            <v>39995</v>
          </cell>
          <cell r="D115">
            <v>0.0599724133835773</v>
          </cell>
          <cell r="E115">
            <v>4.435</v>
          </cell>
          <cell r="F115">
            <v>0.19</v>
          </cell>
          <cell r="G115">
            <v>0</v>
          </cell>
          <cell r="H115">
            <v>0.0025</v>
          </cell>
        </row>
        <row r="116">
          <cell r="C116">
            <v>40026</v>
          </cell>
          <cell r="D116">
            <v>0.060074906553623</v>
          </cell>
          <cell r="E116">
            <v>4.47</v>
          </cell>
          <cell r="F116">
            <v>0.19</v>
          </cell>
          <cell r="G116">
            <v>0</v>
          </cell>
          <cell r="H116">
            <v>0.0025</v>
          </cell>
        </row>
        <row r="117">
          <cell r="C117">
            <v>40057</v>
          </cell>
          <cell r="D117">
            <v>0.0601773997271584</v>
          </cell>
          <cell r="E117">
            <v>4.475</v>
          </cell>
          <cell r="F117">
            <v>0.19</v>
          </cell>
          <cell r="G117">
            <v>0</v>
          </cell>
          <cell r="H117">
            <v>0.0025</v>
          </cell>
        </row>
        <row r="118">
          <cell r="C118">
            <v>40087</v>
          </cell>
          <cell r="D118">
            <v>0.0602765866726132</v>
          </cell>
          <cell r="E118">
            <v>4.505</v>
          </cell>
          <cell r="F118">
            <v>0.19</v>
          </cell>
          <cell r="G118">
            <v>0</v>
          </cell>
          <cell r="H118">
            <v>0.0025</v>
          </cell>
        </row>
        <row r="119">
          <cell r="C119">
            <v>40118</v>
          </cell>
          <cell r="D119">
            <v>0.0603790798530159</v>
          </cell>
          <cell r="E119">
            <v>4.615</v>
          </cell>
          <cell r="F119">
            <v>0.19</v>
          </cell>
          <cell r="G119">
            <v>0</v>
          </cell>
          <cell r="H119">
            <v>0.0025</v>
          </cell>
        </row>
        <row r="120">
          <cell r="C120">
            <v>40148</v>
          </cell>
          <cell r="D120">
            <v>0.060478266805116</v>
          </cell>
          <cell r="E120">
            <v>4.735</v>
          </cell>
          <cell r="F120">
            <v>0.193</v>
          </cell>
          <cell r="G120">
            <v>0</v>
          </cell>
          <cell r="H120">
            <v>0.0025</v>
          </cell>
        </row>
        <row r="121">
          <cell r="C121">
            <v>40179</v>
          </cell>
          <cell r="D121">
            <v>0.0605807599923862</v>
          </cell>
          <cell r="E121">
            <v>4.785</v>
          </cell>
          <cell r="F121">
            <v>0.193</v>
          </cell>
          <cell r="G121">
            <v>0</v>
          </cell>
          <cell r="H121">
            <v>0.0025</v>
          </cell>
        </row>
        <row r="122">
          <cell r="C122">
            <v>40210</v>
          </cell>
          <cell r="D122">
            <v>0.0606832531831456</v>
          </cell>
          <cell r="E122">
            <v>4.665</v>
          </cell>
          <cell r="F122">
            <v>0.188</v>
          </cell>
          <cell r="G122">
            <v>0</v>
          </cell>
          <cell r="H122">
            <v>0.0025</v>
          </cell>
        </row>
        <row r="123">
          <cell r="C123">
            <v>40238</v>
          </cell>
          <cell r="D123">
            <v>0.0607758276810242</v>
          </cell>
          <cell r="E123">
            <v>4.526</v>
          </cell>
          <cell r="F123">
            <v>0.185</v>
          </cell>
          <cell r="G123">
            <v>0</v>
          </cell>
          <cell r="H123">
            <v>0.0025</v>
          </cell>
        </row>
        <row r="124">
          <cell r="C124">
            <v>40269</v>
          </cell>
          <cell r="D124">
            <v>0.060878320878424</v>
          </cell>
          <cell r="E124">
            <v>4.356</v>
          </cell>
          <cell r="F124">
            <v>0.185</v>
          </cell>
          <cell r="G124">
            <v>0</v>
          </cell>
          <cell r="H124">
            <v>0.0025</v>
          </cell>
        </row>
        <row r="125">
          <cell r="C125">
            <v>40299</v>
          </cell>
          <cell r="D125">
            <v>0.0609775078469714</v>
          </cell>
          <cell r="E125">
            <v>4.415</v>
          </cell>
          <cell r="F125">
            <v>0.185</v>
          </cell>
          <cell r="G125">
            <v>0</v>
          </cell>
          <cell r="H125">
            <v>0.0025</v>
          </cell>
        </row>
        <row r="126">
          <cell r="C126">
            <v>40330</v>
          </cell>
          <cell r="D126">
            <v>0.0610800010512365</v>
          </cell>
          <cell r="E126">
            <v>4.455</v>
          </cell>
          <cell r="F126">
            <v>0.185</v>
          </cell>
          <cell r="G126">
            <v>0</v>
          </cell>
          <cell r="H126">
            <v>0.0025</v>
          </cell>
        </row>
        <row r="127">
          <cell r="C127">
            <v>40360</v>
          </cell>
          <cell r="D127">
            <v>0.0611791880264274</v>
          </cell>
          <cell r="E127">
            <v>4.5</v>
          </cell>
          <cell r="F127">
            <v>0.185</v>
          </cell>
          <cell r="G127">
            <v>0</v>
          </cell>
          <cell r="H127">
            <v>0.0025</v>
          </cell>
        </row>
        <row r="128">
          <cell r="C128">
            <v>40391</v>
          </cell>
          <cell r="D128">
            <v>0.0612816812375567</v>
          </cell>
          <cell r="E128">
            <v>4.535</v>
          </cell>
          <cell r="F128">
            <v>0.185</v>
          </cell>
          <cell r="G128">
            <v>0</v>
          </cell>
          <cell r="H128">
            <v>0.0025</v>
          </cell>
        </row>
        <row r="129">
          <cell r="C129">
            <v>40422</v>
          </cell>
          <cell r="D129">
            <v>0.0613841744521744</v>
          </cell>
          <cell r="E129">
            <v>4.54</v>
          </cell>
          <cell r="F129">
            <v>0.185</v>
          </cell>
          <cell r="G129">
            <v>0</v>
          </cell>
          <cell r="H129">
            <v>0.0025</v>
          </cell>
        </row>
        <row r="130">
          <cell r="C130">
            <v>40452</v>
          </cell>
          <cell r="D130">
            <v>0.0614833614373835</v>
          </cell>
          <cell r="E130">
            <v>4.57</v>
          </cell>
          <cell r="F130">
            <v>0.185</v>
          </cell>
          <cell r="G130">
            <v>0</v>
          </cell>
          <cell r="H130">
            <v>0.0025</v>
          </cell>
        </row>
        <row r="131">
          <cell r="C131">
            <v>40483</v>
          </cell>
          <cell r="D131">
            <v>0.061585854658865</v>
          </cell>
          <cell r="E131">
            <v>4.68</v>
          </cell>
          <cell r="F131">
            <v>0.185</v>
          </cell>
          <cell r="G131">
            <v>0</v>
          </cell>
          <cell r="H131">
            <v>0.0025</v>
          </cell>
        </row>
        <row r="132">
          <cell r="C132">
            <v>40513</v>
          </cell>
          <cell r="D132">
            <v>0.0616850416507155</v>
          </cell>
          <cell r="E132">
            <v>4.8</v>
          </cell>
          <cell r="F132">
            <v>0.185</v>
          </cell>
          <cell r="G132">
            <v>0</v>
          </cell>
          <cell r="H132">
            <v>0.0025</v>
          </cell>
        </row>
        <row r="133">
          <cell r="C133">
            <v>40544</v>
          </cell>
          <cell r="D133">
            <v>0.0617875348790591</v>
          </cell>
          <cell r="E133">
            <v>4.86</v>
          </cell>
          <cell r="F133">
            <v>0.185</v>
          </cell>
          <cell r="G133">
            <v>0</v>
          </cell>
          <cell r="H133">
            <v>0.0025</v>
          </cell>
        </row>
        <row r="134">
          <cell r="C134">
            <v>40575</v>
          </cell>
          <cell r="D134">
            <v>0.0618900281108901</v>
          </cell>
          <cell r="E134">
            <v>4.74</v>
          </cell>
          <cell r="F134">
            <v>0.185</v>
          </cell>
          <cell r="G134">
            <v>0</v>
          </cell>
          <cell r="H134">
            <v>0.0025</v>
          </cell>
        </row>
        <row r="135">
          <cell r="C135">
            <v>40603</v>
          </cell>
          <cell r="D135">
            <v>0.0619826026458643</v>
          </cell>
          <cell r="E135">
            <v>4.601</v>
          </cell>
          <cell r="F135">
            <v>0.18</v>
          </cell>
          <cell r="G135">
            <v>0</v>
          </cell>
          <cell r="H135">
            <v>0.0025</v>
          </cell>
        </row>
        <row r="136">
          <cell r="C136">
            <v>40634</v>
          </cell>
          <cell r="D136">
            <v>0.0620850958843318</v>
          </cell>
          <cell r="E136">
            <v>4.431</v>
          </cell>
          <cell r="F136">
            <v>0.18</v>
          </cell>
          <cell r="G136">
            <v>0</v>
          </cell>
          <cell r="H136">
            <v>0.0025</v>
          </cell>
        </row>
        <row r="137">
          <cell r="C137">
            <v>40664</v>
          </cell>
          <cell r="D137">
            <v>0.0621746094126641</v>
          </cell>
          <cell r="E137">
            <v>4.49</v>
          </cell>
          <cell r="F137">
            <v>0.18</v>
          </cell>
          <cell r="G137">
            <v>0</v>
          </cell>
          <cell r="H137">
            <v>0.0025</v>
          </cell>
        </row>
        <row r="138">
          <cell r="C138">
            <v>40695</v>
          </cell>
          <cell r="D138">
            <v>0.0622171270805874</v>
          </cell>
          <cell r="E138">
            <v>4.53</v>
          </cell>
          <cell r="F138">
            <v>0.18</v>
          </cell>
          <cell r="G138">
            <v>0</v>
          </cell>
          <cell r="H138">
            <v>0.0025</v>
          </cell>
        </row>
        <row r="139">
          <cell r="C139">
            <v>40725</v>
          </cell>
          <cell r="D139">
            <v>0.0622582732114063</v>
          </cell>
          <cell r="E139">
            <v>4.575</v>
          </cell>
          <cell r="F139">
            <v>0.18</v>
          </cell>
          <cell r="G139">
            <v>0</v>
          </cell>
          <cell r="H139">
            <v>0.0025</v>
          </cell>
        </row>
        <row r="140">
          <cell r="C140">
            <v>40756</v>
          </cell>
          <cell r="D140">
            <v>0.06230079088051</v>
          </cell>
          <cell r="E140">
            <v>4.61</v>
          </cell>
          <cell r="F140">
            <v>0.18</v>
          </cell>
          <cell r="G140">
            <v>0</v>
          </cell>
          <cell r="H140">
            <v>0.0025</v>
          </cell>
        </row>
        <row r="141">
          <cell r="C141">
            <v>40787</v>
          </cell>
          <cell r="D141">
            <v>0.0623433085502136</v>
          </cell>
          <cell r="E141">
            <v>4.615</v>
          </cell>
          <cell r="F141">
            <v>0.18</v>
          </cell>
          <cell r="G141">
            <v>0</v>
          </cell>
          <cell r="H141">
            <v>0.0025</v>
          </cell>
        </row>
        <row r="142">
          <cell r="C142">
            <v>40817</v>
          </cell>
          <cell r="D142">
            <v>0.0623844546827561</v>
          </cell>
          <cell r="E142">
            <v>4.645</v>
          </cell>
          <cell r="F142">
            <v>0.18</v>
          </cell>
          <cell r="G142">
            <v>0</v>
          </cell>
          <cell r="H142">
            <v>0.0025</v>
          </cell>
        </row>
        <row r="143">
          <cell r="C143">
            <v>40848</v>
          </cell>
          <cell r="D143">
            <v>0.0624269723536406</v>
          </cell>
          <cell r="E143">
            <v>4.755</v>
          </cell>
          <cell r="F143">
            <v>0.18</v>
          </cell>
          <cell r="G143">
            <v>0</v>
          </cell>
          <cell r="H143">
            <v>0.0025</v>
          </cell>
        </row>
        <row r="144">
          <cell r="C144">
            <v>40878</v>
          </cell>
          <cell r="D144">
            <v>0.0624681184873252</v>
          </cell>
          <cell r="E144">
            <v>4.875</v>
          </cell>
          <cell r="F144">
            <v>0.18</v>
          </cell>
          <cell r="G144">
            <v>0</v>
          </cell>
          <cell r="H144">
            <v>0.0025</v>
          </cell>
        </row>
        <row r="145">
          <cell r="C145">
            <v>40909</v>
          </cell>
          <cell r="D145">
            <v>0.0625106361593901</v>
          </cell>
          <cell r="E145">
            <v>4.94</v>
          </cell>
          <cell r="F145">
            <v>0.18</v>
          </cell>
          <cell r="G145">
            <v>0</v>
          </cell>
          <cell r="H145">
            <v>0.0025</v>
          </cell>
        </row>
        <row r="146">
          <cell r="C146">
            <v>40940</v>
          </cell>
          <cell r="D146">
            <v>0.0625531538320545</v>
          </cell>
          <cell r="E146">
            <v>4.82</v>
          </cell>
          <cell r="F146">
            <v>0.175</v>
          </cell>
          <cell r="G146">
            <v>0</v>
          </cell>
          <cell r="H146">
            <v>0.0025</v>
          </cell>
        </row>
        <row r="147">
          <cell r="C147">
            <v>40969</v>
          </cell>
          <cell r="D147">
            <v>0.0625929284296065</v>
          </cell>
          <cell r="E147">
            <v>4.681</v>
          </cell>
          <cell r="F147">
            <v>0.17</v>
          </cell>
          <cell r="G147">
            <v>0</v>
          </cell>
          <cell r="H147">
            <v>0.0025</v>
          </cell>
        </row>
        <row r="148">
          <cell r="C148">
            <v>41000</v>
          </cell>
          <cell r="D148">
            <v>0.0626354461034322</v>
          </cell>
          <cell r="E148">
            <v>4.511</v>
          </cell>
          <cell r="F148">
            <v>0.17</v>
          </cell>
          <cell r="G148">
            <v>0</v>
          </cell>
          <cell r="H148">
            <v>0.0025</v>
          </cell>
        </row>
        <row r="149">
          <cell r="C149">
            <v>41030</v>
          </cell>
          <cell r="D149">
            <v>0.0626765922399639</v>
          </cell>
          <cell r="E149">
            <v>4.57</v>
          </cell>
          <cell r="F149">
            <v>0.17</v>
          </cell>
          <cell r="G149">
            <v>0</v>
          </cell>
          <cell r="H149">
            <v>0.0025</v>
          </cell>
        </row>
        <row r="150">
          <cell r="C150">
            <v>41061</v>
          </cell>
          <cell r="D150">
            <v>0.0627191099149695</v>
          </cell>
          <cell r="E150">
            <v>4.61</v>
          </cell>
          <cell r="F150">
            <v>0.17</v>
          </cell>
          <cell r="G150">
            <v>0</v>
          </cell>
          <cell r="H150">
            <v>0.0025</v>
          </cell>
        </row>
        <row r="151">
          <cell r="C151">
            <v>41091</v>
          </cell>
          <cell r="D151">
            <v>0.0627602560526439</v>
          </cell>
          <cell r="E151">
            <v>4.655</v>
          </cell>
          <cell r="F151">
            <v>0.17</v>
          </cell>
          <cell r="G151">
            <v>0</v>
          </cell>
          <cell r="H151">
            <v>0.0025</v>
          </cell>
        </row>
        <row r="152">
          <cell r="C152">
            <v>41122</v>
          </cell>
          <cell r="D152">
            <v>0.0628027737288299</v>
          </cell>
          <cell r="E152">
            <v>4.69</v>
          </cell>
          <cell r="F152">
            <v>0.17</v>
          </cell>
          <cell r="G152">
            <v>0</v>
          </cell>
          <cell r="H152">
            <v>0.0025</v>
          </cell>
        </row>
        <row r="153">
          <cell r="C153">
            <v>41153</v>
          </cell>
          <cell r="D153">
            <v>0.0628452914056163</v>
          </cell>
          <cell r="E153">
            <v>4.695</v>
          </cell>
          <cell r="F153">
            <v>0.17</v>
          </cell>
          <cell r="G153">
            <v>0</v>
          </cell>
          <cell r="H153">
            <v>0.0025</v>
          </cell>
        </row>
        <row r="154">
          <cell r="C154">
            <v>41183</v>
          </cell>
          <cell r="D154">
            <v>0.0628864375450129</v>
          </cell>
          <cell r="E154">
            <v>4.725</v>
          </cell>
          <cell r="F154">
            <v>0.17</v>
          </cell>
          <cell r="G154">
            <v>0</v>
          </cell>
          <cell r="H154">
            <v>0.0025</v>
          </cell>
        </row>
        <row r="155">
          <cell r="C155">
            <v>41214</v>
          </cell>
          <cell r="D155">
            <v>0.0629289552229797</v>
          </cell>
          <cell r="E155">
            <v>4.835</v>
          </cell>
          <cell r="F155">
            <v>0.17</v>
          </cell>
          <cell r="G155">
            <v>0</v>
          </cell>
          <cell r="H155">
            <v>0.0025</v>
          </cell>
        </row>
        <row r="156">
          <cell r="C156">
            <v>41244</v>
          </cell>
          <cell r="D156">
            <v>0.062970101363518</v>
          </cell>
          <cell r="E156">
            <v>4.955</v>
          </cell>
          <cell r="F156">
            <v>0.17</v>
          </cell>
          <cell r="G156">
            <v>0</v>
          </cell>
          <cell r="H156">
            <v>0.0025</v>
          </cell>
        </row>
        <row r="157">
          <cell r="C157">
            <v>41275</v>
          </cell>
          <cell r="D157">
            <v>0.0630126190426648</v>
          </cell>
          <cell r="E157">
            <v>5.025</v>
          </cell>
          <cell r="F157">
            <v>0.17</v>
          </cell>
          <cell r="G157">
            <v>0</v>
          </cell>
          <cell r="H157">
            <v>0.0025</v>
          </cell>
        </row>
        <row r="158">
          <cell r="C158">
            <v>41306</v>
          </cell>
          <cell r="D158">
            <v>0.0630551367224115</v>
          </cell>
          <cell r="E158">
            <v>4.905</v>
          </cell>
          <cell r="F158">
            <v>0.17</v>
          </cell>
          <cell r="G158">
            <v>0</v>
          </cell>
          <cell r="H158">
            <v>0.0025</v>
          </cell>
        </row>
        <row r="159">
          <cell r="C159">
            <v>41334</v>
          </cell>
          <cell r="D159">
            <v>0.0630935397885044</v>
          </cell>
          <cell r="E159">
            <v>4.766</v>
          </cell>
          <cell r="F159">
            <v>0.17</v>
          </cell>
          <cell r="G159">
            <v>0</v>
          </cell>
          <cell r="H159">
            <v>0.0025</v>
          </cell>
        </row>
        <row r="160">
          <cell r="C160">
            <v>41365</v>
          </cell>
          <cell r="D160">
            <v>0.0631360574693929</v>
          </cell>
          <cell r="E160">
            <v>4.596</v>
          </cell>
          <cell r="F160">
            <v>0.17</v>
          </cell>
          <cell r="G160">
            <v>0</v>
          </cell>
          <cell r="H160">
            <v>0.0025</v>
          </cell>
        </row>
        <row r="161">
          <cell r="C161">
            <v>41395</v>
          </cell>
          <cell r="D161">
            <v>0.0631772036127587</v>
          </cell>
          <cell r="E161">
            <v>4.655</v>
          </cell>
          <cell r="F161">
            <v>0.17</v>
          </cell>
          <cell r="G161">
            <v>0</v>
          </cell>
          <cell r="H161">
            <v>0.0025</v>
          </cell>
        </row>
        <row r="162">
          <cell r="C162">
            <v>41426</v>
          </cell>
          <cell r="D162">
            <v>0.0632197212948267</v>
          </cell>
          <cell r="E162">
            <v>4.695</v>
          </cell>
          <cell r="F162">
            <v>0.17</v>
          </cell>
          <cell r="G162">
            <v>0</v>
          </cell>
          <cell r="H162">
            <v>0.0025</v>
          </cell>
        </row>
        <row r="163">
          <cell r="C163">
            <v>41456</v>
          </cell>
          <cell r="D163">
            <v>0.0632608674393347</v>
          </cell>
          <cell r="E163">
            <v>4.74</v>
          </cell>
          <cell r="F163">
            <v>0.17</v>
          </cell>
          <cell r="G163">
            <v>0</v>
          </cell>
          <cell r="H163">
            <v>0.0025</v>
          </cell>
        </row>
        <row r="164">
          <cell r="C164">
            <v>41487</v>
          </cell>
          <cell r="D164">
            <v>0.063303385122583</v>
          </cell>
          <cell r="E164">
            <v>4.775</v>
          </cell>
          <cell r="F164">
            <v>0.17</v>
          </cell>
          <cell r="G164">
            <v>0</v>
          </cell>
          <cell r="H164">
            <v>0.0025</v>
          </cell>
        </row>
        <row r="165">
          <cell r="C165">
            <v>41518</v>
          </cell>
          <cell r="D165">
            <v>0.0633459028064309</v>
          </cell>
          <cell r="E165">
            <v>4.78</v>
          </cell>
          <cell r="F165">
            <v>0.17</v>
          </cell>
          <cell r="G165">
            <v>0</v>
          </cell>
          <cell r="H165">
            <v>0.0025</v>
          </cell>
        </row>
        <row r="166">
          <cell r="C166">
            <v>41548</v>
          </cell>
          <cell r="D166">
            <v>0.0633870489526611</v>
          </cell>
          <cell r="E166">
            <v>4.81</v>
          </cell>
          <cell r="F166">
            <v>0.17</v>
          </cell>
          <cell r="G166">
            <v>0</v>
          </cell>
          <cell r="H166">
            <v>0.0025</v>
          </cell>
        </row>
        <row r="167">
          <cell r="C167">
            <v>41579</v>
          </cell>
          <cell r="D167">
            <v>0.063429566637689</v>
          </cell>
          <cell r="E167">
            <v>4.92</v>
          </cell>
          <cell r="F167">
            <v>0.17</v>
          </cell>
          <cell r="G167">
            <v>0</v>
          </cell>
          <cell r="H167">
            <v>0.0025</v>
          </cell>
        </row>
        <row r="168">
          <cell r="C168">
            <v>41609</v>
          </cell>
          <cell r="D168">
            <v>0.0634707127850613</v>
          </cell>
          <cell r="E168">
            <v>5.04</v>
          </cell>
          <cell r="F168">
            <v>0.17</v>
          </cell>
          <cell r="G168">
            <v>0</v>
          </cell>
          <cell r="H168">
            <v>0.0025</v>
          </cell>
        </row>
        <row r="169">
          <cell r="C169">
            <v>41640</v>
          </cell>
          <cell r="D169">
            <v>0.0635132304712691</v>
          </cell>
          <cell r="E169">
            <v>5.115</v>
          </cell>
          <cell r="F169">
            <v>0.17</v>
          </cell>
          <cell r="G169">
            <v>0</v>
          </cell>
          <cell r="H169">
            <v>0.0025</v>
          </cell>
        </row>
        <row r="170">
          <cell r="C170">
            <v>41671</v>
          </cell>
          <cell r="D170">
            <v>0.0635557481580768</v>
          </cell>
          <cell r="E170">
            <v>4.995</v>
          </cell>
          <cell r="F170">
            <v>0.17</v>
          </cell>
          <cell r="G170">
            <v>0</v>
          </cell>
          <cell r="H170">
            <v>0.0025</v>
          </cell>
        </row>
        <row r="171">
          <cell r="C171">
            <v>41699</v>
          </cell>
          <cell r="D171">
            <v>0.0635941512305474</v>
          </cell>
          <cell r="E171">
            <v>4.856</v>
          </cell>
          <cell r="F171">
            <v>0.17</v>
          </cell>
          <cell r="G171">
            <v>0</v>
          </cell>
          <cell r="H171">
            <v>0.0025</v>
          </cell>
        </row>
        <row r="172">
          <cell r="C172">
            <v>41730</v>
          </cell>
          <cell r="D172">
            <v>0.0636366689184955</v>
          </cell>
          <cell r="E172">
            <v>4.686</v>
          </cell>
          <cell r="F172">
            <v>0.17</v>
          </cell>
          <cell r="G172">
            <v>0</v>
          </cell>
          <cell r="H172">
            <v>0.0025</v>
          </cell>
        </row>
        <row r="173">
          <cell r="C173">
            <v>41760</v>
          </cell>
          <cell r="D173">
            <v>0.0636778150686945</v>
          </cell>
          <cell r="E173">
            <v>4.745</v>
          </cell>
          <cell r="F173">
            <v>0.17</v>
          </cell>
          <cell r="G173">
            <v>0</v>
          </cell>
          <cell r="H173">
            <v>0.0025</v>
          </cell>
        </row>
        <row r="174">
          <cell r="C174">
            <v>41791</v>
          </cell>
          <cell r="D174">
            <v>0.0637203327578226</v>
          </cell>
          <cell r="E174">
            <v>4.785</v>
          </cell>
          <cell r="F174">
            <v>0.17</v>
          </cell>
          <cell r="G174">
            <v>0</v>
          </cell>
          <cell r="H174">
            <v>0.0025</v>
          </cell>
        </row>
        <row r="175">
          <cell r="C175">
            <v>41821</v>
          </cell>
          <cell r="D175">
            <v>0.0637614789091634</v>
          </cell>
          <cell r="E175">
            <v>4.83</v>
          </cell>
          <cell r="F175">
            <v>0.17</v>
          </cell>
          <cell r="G175">
            <v>0</v>
          </cell>
          <cell r="H175">
            <v>0.0025</v>
          </cell>
        </row>
        <row r="176">
          <cell r="C176">
            <v>41852</v>
          </cell>
          <cell r="D176">
            <v>0.0638039965994714</v>
          </cell>
          <cell r="E176">
            <v>4.865</v>
          </cell>
          <cell r="F176">
            <v>0.17</v>
          </cell>
          <cell r="G176">
            <v>0</v>
          </cell>
          <cell r="H176">
            <v>0.0025</v>
          </cell>
        </row>
        <row r="177">
          <cell r="C177">
            <v>41883</v>
          </cell>
          <cell r="D177">
            <v>0.0638465142903795</v>
          </cell>
          <cell r="E177">
            <v>4.87</v>
          </cell>
          <cell r="F177">
            <v>0.17</v>
          </cell>
          <cell r="G177">
            <v>0</v>
          </cell>
          <cell r="H177">
            <v>0.0025</v>
          </cell>
        </row>
        <row r="178">
          <cell r="C178">
            <v>41913</v>
          </cell>
          <cell r="D178">
            <v>0.0638876604434415</v>
          </cell>
          <cell r="E178">
            <v>4.9</v>
          </cell>
          <cell r="F178">
            <v>0.17</v>
          </cell>
          <cell r="G178">
            <v>0</v>
          </cell>
          <cell r="H178">
            <v>0.0025</v>
          </cell>
        </row>
        <row r="179">
          <cell r="C179">
            <v>41944</v>
          </cell>
          <cell r="D179">
            <v>0.0639301781355295</v>
          </cell>
          <cell r="E179">
            <v>5.01</v>
          </cell>
          <cell r="F179">
            <v>0.17</v>
          </cell>
          <cell r="G179">
            <v>0</v>
          </cell>
          <cell r="H179">
            <v>0.0025</v>
          </cell>
        </row>
        <row r="180">
          <cell r="C180">
            <v>41974</v>
          </cell>
          <cell r="D180">
            <v>0.0639713242897333</v>
          </cell>
          <cell r="E180">
            <v>5.13</v>
          </cell>
          <cell r="F180">
            <v>0.17</v>
          </cell>
          <cell r="G180">
            <v>0</v>
          </cell>
          <cell r="H180">
            <v>0.0025</v>
          </cell>
        </row>
        <row r="181">
          <cell r="C181">
            <v>42005</v>
          </cell>
          <cell r="D181">
            <v>0.0640138419830008</v>
          </cell>
          <cell r="E181">
            <v>5.21</v>
          </cell>
          <cell r="F181">
            <v>0.17</v>
          </cell>
          <cell r="G181">
            <v>0</v>
          </cell>
          <cell r="H181">
            <v>0.0025</v>
          </cell>
        </row>
        <row r="182">
          <cell r="C182">
            <v>42036</v>
          </cell>
          <cell r="D182">
            <v>0.0640563596768673</v>
          </cell>
          <cell r="E182">
            <v>5.09</v>
          </cell>
          <cell r="F182">
            <v>0.17</v>
          </cell>
          <cell r="G182">
            <v>0</v>
          </cell>
          <cell r="H182">
            <v>0.0025</v>
          </cell>
        </row>
        <row r="183">
          <cell r="C183">
            <v>42064</v>
          </cell>
          <cell r="D183">
            <v>0.064094762755714</v>
          </cell>
          <cell r="E183">
            <v>4.951</v>
          </cell>
          <cell r="F183">
            <v>0.17</v>
          </cell>
          <cell r="G183">
            <v>0</v>
          </cell>
          <cell r="H183">
            <v>0.0025</v>
          </cell>
        </row>
        <row r="184">
          <cell r="C184">
            <v>42095</v>
          </cell>
          <cell r="D184">
            <v>0.0641372804507214</v>
          </cell>
          <cell r="E184">
            <v>4.781</v>
          </cell>
          <cell r="F184">
            <v>0.17</v>
          </cell>
          <cell r="G184">
            <v>0</v>
          </cell>
          <cell r="H184">
            <v>0.0025</v>
          </cell>
        </row>
        <row r="185">
          <cell r="C185">
            <v>42125</v>
          </cell>
          <cell r="D185">
            <v>0.064178426607751</v>
          </cell>
          <cell r="E185">
            <v>4.84</v>
          </cell>
          <cell r="F185">
            <v>0.17</v>
          </cell>
          <cell r="G185">
            <v>0</v>
          </cell>
          <cell r="H185">
            <v>0.0025</v>
          </cell>
        </row>
        <row r="186">
          <cell r="C186">
            <v>42156</v>
          </cell>
          <cell r="D186">
            <v>0.0642209443039383</v>
          </cell>
          <cell r="E186">
            <v>4.88</v>
          </cell>
          <cell r="F186">
            <v>0.17</v>
          </cell>
          <cell r="G186">
            <v>0</v>
          </cell>
          <cell r="H186">
            <v>0.0025</v>
          </cell>
        </row>
        <row r="187">
          <cell r="C187">
            <v>42186</v>
          </cell>
          <cell r="D187">
            <v>0.0642620904621092</v>
          </cell>
          <cell r="E187">
            <v>4.925</v>
          </cell>
          <cell r="F187">
            <v>0.17</v>
          </cell>
          <cell r="G187">
            <v>0</v>
          </cell>
          <cell r="H187">
            <v>0.0025</v>
          </cell>
        </row>
        <row r="188">
          <cell r="C188">
            <v>42217</v>
          </cell>
          <cell r="D188">
            <v>0.064304608159476</v>
          </cell>
          <cell r="E188">
            <v>4.96</v>
          </cell>
          <cell r="F188">
            <v>0.17</v>
          </cell>
          <cell r="G188">
            <v>0</v>
          </cell>
          <cell r="H188">
            <v>0.0025</v>
          </cell>
        </row>
        <row r="189">
          <cell r="C189">
            <v>42248</v>
          </cell>
          <cell r="D189">
            <v>0.064347125857442</v>
          </cell>
          <cell r="E189">
            <v>4.965</v>
          </cell>
          <cell r="F189">
            <v>0.17</v>
          </cell>
          <cell r="G189">
            <v>0</v>
          </cell>
          <cell r="H189">
            <v>0.0025</v>
          </cell>
        </row>
        <row r="190">
          <cell r="C190">
            <v>42278</v>
          </cell>
          <cell r="D190">
            <v>0.064388272017335</v>
          </cell>
          <cell r="E190">
            <v>4.995</v>
          </cell>
          <cell r="F190">
            <v>0.17</v>
          </cell>
          <cell r="G190">
            <v>0</v>
          </cell>
          <cell r="H190">
            <v>0.0025</v>
          </cell>
        </row>
        <row r="191">
          <cell r="C191">
            <v>42309</v>
          </cell>
          <cell r="D191">
            <v>0.06443078971648</v>
          </cell>
          <cell r="E191">
            <v>5.105</v>
          </cell>
          <cell r="F191">
            <v>0.17</v>
          </cell>
          <cell r="G191">
            <v>0</v>
          </cell>
          <cell r="H191">
            <v>0.0025</v>
          </cell>
        </row>
        <row r="192">
          <cell r="C192">
            <v>42339</v>
          </cell>
          <cell r="D192">
            <v>0.0644719358775143</v>
          </cell>
          <cell r="E192">
            <v>5.225</v>
          </cell>
          <cell r="F192">
            <v>0.17</v>
          </cell>
          <cell r="G192">
            <v>0</v>
          </cell>
          <cell r="H192">
            <v>0.0025</v>
          </cell>
        </row>
        <row r="193">
          <cell r="C193">
            <v>42370</v>
          </cell>
          <cell r="D193">
            <v>0.0645144535778392</v>
          </cell>
          <cell r="E193">
            <v>5.31</v>
          </cell>
          <cell r="F193">
            <v>0.17</v>
          </cell>
          <cell r="G193">
            <v>0</v>
          </cell>
          <cell r="H193">
            <v>0.0025</v>
          </cell>
        </row>
        <row r="194">
          <cell r="C194">
            <v>42401</v>
          </cell>
          <cell r="D194">
            <v>0.0645569712787637</v>
          </cell>
          <cell r="E194">
            <v>5.19</v>
          </cell>
          <cell r="F194">
            <v>0.17</v>
          </cell>
          <cell r="G194">
            <v>0</v>
          </cell>
          <cell r="H194">
            <v>0.0025</v>
          </cell>
        </row>
        <row r="195">
          <cell r="C195">
            <v>42430</v>
          </cell>
          <cell r="D195">
            <v>0.064596745902751</v>
          </cell>
          <cell r="E195">
            <v>5.051</v>
          </cell>
          <cell r="F195">
            <v>0.17</v>
          </cell>
          <cell r="G195">
            <v>0</v>
          </cell>
          <cell r="H195">
            <v>0</v>
          </cell>
        </row>
        <row r="196">
          <cell r="C196">
            <v>42461</v>
          </cell>
          <cell r="D196">
            <v>0.0646392636048354</v>
          </cell>
          <cell r="E196">
            <v>4.881</v>
          </cell>
          <cell r="F196">
            <v>0.17</v>
          </cell>
          <cell r="G196">
            <v>0</v>
          </cell>
          <cell r="H196">
            <v>0</v>
          </cell>
        </row>
        <row r="197">
          <cell r="C197">
            <v>42491</v>
          </cell>
          <cell r="D197">
            <v>0.0646804097687132</v>
          </cell>
          <cell r="E197">
            <v>4.94</v>
          </cell>
          <cell r="F197">
            <v>0.17</v>
          </cell>
          <cell r="G197">
            <v>0</v>
          </cell>
          <cell r="H197">
            <v>0</v>
          </cell>
        </row>
        <row r="198">
          <cell r="C198">
            <v>42522</v>
          </cell>
          <cell r="D198">
            <v>0.0647229274719767</v>
          </cell>
          <cell r="E198">
            <v>4.98</v>
          </cell>
          <cell r="F198">
            <v>0.17</v>
          </cell>
          <cell r="G198">
            <v>0</v>
          </cell>
          <cell r="H198">
            <v>0</v>
          </cell>
        </row>
        <row r="199">
          <cell r="C199">
            <v>42552</v>
          </cell>
          <cell r="D199">
            <v>0.0647640736369959</v>
          </cell>
          <cell r="E199">
            <v>5.025</v>
          </cell>
          <cell r="F199">
            <v>0.17</v>
          </cell>
          <cell r="G199">
            <v>0</v>
          </cell>
          <cell r="H199">
            <v>0</v>
          </cell>
        </row>
        <row r="200">
          <cell r="C200">
            <v>42583</v>
          </cell>
          <cell r="D200">
            <v>0.0648065913414388</v>
          </cell>
          <cell r="E200">
            <v>5.06</v>
          </cell>
          <cell r="F200">
            <v>0.17</v>
          </cell>
          <cell r="G200">
            <v>0</v>
          </cell>
          <cell r="H200">
            <v>0</v>
          </cell>
        </row>
        <row r="201">
          <cell r="C201">
            <v>42614</v>
          </cell>
          <cell r="D201">
            <v>0.0648491090464804</v>
          </cell>
          <cell r="E201">
            <v>5.065</v>
          </cell>
          <cell r="F201">
            <v>0.17</v>
          </cell>
          <cell r="G201">
            <v>0</v>
          </cell>
          <cell r="H201">
            <v>0</v>
          </cell>
        </row>
        <row r="202">
          <cell r="C202">
            <v>42644</v>
          </cell>
          <cell r="D202">
            <v>0.0648902552132204</v>
          </cell>
          <cell r="E202">
            <v>5.095</v>
          </cell>
          <cell r="F202">
            <v>0.17</v>
          </cell>
          <cell r="G202">
            <v>0</v>
          </cell>
          <cell r="H202">
            <v>0</v>
          </cell>
        </row>
        <row r="203">
          <cell r="C203">
            <v>42675</v>
          </cell>
          <cell r="D203">
            <v>0.0649327729194416</v>
          </cell>
          <cell r="E203">
            <v>5.205</v>
          </cell>
          <cell r="F203">
            <v>0.17</v>
          </cell>
          <cell r="G203">
            <v>0</v>
          </cell>
          <cell r="H203">
            <v>0</v>
          </cell>
        </row>
        <row r="204">
          <cell r="C204">
            <v>42705</v>
          </cell>
          <cell r="D204">
            <v>0.0649739190873224</v>
          </cell>
          <cell r="E204">
            <v>5.325</v>
          </cell>
          <cell r="F204">
            <v>0.17</v>
          </cell>
          <cell r="G204">
            <v>0</v>
          </cell>
          <cell r="H204">
            <v>0</v>
          </cell>
        </row>
        <row r="205">
          <cell r="C205">
            <v>42736</v>
          </cell>
          <cell r="D205">
            <v>0.065016436794723</v>
          </cell>
          <cell r="E205">
            <v>5.4125</v>
          </cell>
          <cell r="F205">
            <v>0.17</v>
          </cell>
          <cell r="G205">
            <v>0</v>
          </cell>
          <cell r="H205">
            <v>0</v>
          </cell>
        </row>
        <row r="206">
          <cell r="C206">
            <v>42767</v>
          </cell>
          <cell r="D206">
            <v>0.0650589545027218</v>
          </cell>
          <cell r="E206">
            <v>5.2925</v>
          </cell>
          <cell r="F206">
            <v>0.17</v>
          </cell>
          <cell r="G206">
            <v>0</v>
          </cell>
          <cell r="H206">
            <v>0</v>
          </cell>
        </row>
        <row r="207">
          <cell r="C207">
            <v>42795</v>
          </cell>
          <cell r="D207">
            <v>0.0650973575943334</v>
          </cell>
          <cell r="E207">
            <v>5.1535</v>
          </cell>
          <cell r="F207">
            <v>0.17</v>
          </cell>
          <cell r="G207">
            <v>0</v>
          </cell>
          <cell r="H207">
            <v>0</v>
          </cell>
        </row>
        <row r="208">
          <cell r="C208">
            <v>42826</v>
          </cell>
          <cell r="D208">
            <v>0.0651398753034726</v>
          </cell>
          <cell r="E208">
            <v>4.9835</v>
          </cell>
          <cell r="F208">
            <v>0.17</v>
          </cell>
          <cell r="G208">
            <v>0</v>
          </cell>
          <cell r="H208">
            <v>0</v>
          </cell>
        </row>
        <row r="209">
          <cell r="C209">
            <v>42856</v>
          </cell>
          <cell r="D209">
            <v>0.0651810214741788</v>
          </cell>
          <cell r="E209">
            <v>5.0425</v>
          </cell>
          <cell r="F209">
            <v>0.17</v>
          </cell>
          <cell r="G209">
            <v>0</v>
          </cell>
          <cell r="H209">
            <v>0</v>
          </cell>
        </row>
        <row r="210">
          <cell r="C210">
            <v>42887</v>
          </cell>
          <cell r="D210">
            <v>0.0652235391844971</v>
          </cell>
          <cell r="E210">
            <v>5.0825</v>
          </cell>
          <cell r="F210">
            <v>0.17</v>
          </cell>
          <cell r="G210">
            <v>0</v>
          </cell>
          <cell r="H210">
            <v>0</v>
          </cell>
        </row>
        <row r="211">
          <cell r="C211">
            <v>42917</v>
          </cell>
          <cell r="D211">
            <v>0.0652646853563441</v>
          </cell>
          <cell r="E211">
            <v>5.1275</v>
          </cell>
          <cell r="F211">
            <v>0.17</v>
          </cell>
          <cell r="G211">
            <v>0</v>
          </cell>
          <cell r="H211">
            <v>0</v>
          </cell>
        </row>
        <row r="212">
          <cell r="C212">
            <v>42948</v>
          </cell>
          <cell r="D212">
            <v>0.0653072030678414</v>
          </cell>
          <cell r="E212">
            <v>5.1625</v>
          </cell>
          <cell r="F212">
            <v>0.17</v>
          </cell>
          <cell r="G212">
            <v>0</v>
          </cell>
          <cell r="H212">
            <v>0</v>
          </cell>
        </row>
        <row r="213">
          <cell r="C213">
            <v>42979</v>
          </cell>
          <cell r="D213">
            <v>0.0653497207799383</v>
          </cell>
          <cell r="E213">
            <v>5.1675</v>
          </cell>
          <cell r="F213">
            <v>0.17</v>
          </cell>
          <cell r="G213">
            <v>0</v>
          </cell>
          <cell r="H213">
            <v>0</v>
          </cell>
        </row>
        <row r="214">
          <cell r="C214">
            <v>43009</v>
          </cell>
          <cell r="D214">
            <v>0.0653908669535053</v>
          </cell>
          <cell r="E214">
            <v>5.1975</v>
          </cell>
          <cell r="F214">
            <v>0.17</v>
          </cell>
          <cell r="G214">
            <v>0</v>
          </cell>
          <cell r="H214">
            <v>0</v>
          </cell>
        </row>
        <row r="215">
          <cell r="C215">
            <v>43040</v>
          </cell>
          <cell r="D215">
            <v>0.0654333846667812</v>
          </cell>
          <cell r="E215">
            <v>5.3075</v>
          </cell>
          <cell r="F215">
            <v>0.17</v>
          </cell>
          <cell r="G215">
            <v>0</v>
          </cell>
          <cell r="H215">
            <v>0</v>
          </cell>
        </row>
        <row r="216">
          <cell r="C216">
            <v>43070</v>
          </cell>
          <cell r="D216">
            <v>0.065474530841489</v>
          </cell>
          <cell r="E216">
            <v>5.4275</v>
          </cell>
          <cell r="F216">
            <v>0.17</v>
          </cell>
          <cell r="G216">
            <v>0</v>
          </cell>
          <cell r="H216">
            <v>0</v>
          </cell>
        </row>
        <row r="217">
          <cell r="C217">
            <v>43101</v>
          </cell>
          <cell r="D217">
            <v>0.0655170485559431</v>
          </cell>
          <cell r="E217">
            <v>5.5175</v>
          </cell>
          <cell r="F217">
            <v>0.17</v>
          </cell>
          <cell r="G217">
            <v>0</v>
          </cell>
          <cell r="H217">
            <v>0</v>
          </cell>
        </row>
        <row r="218">
          <cell r="C218">
            <v>43132</v>
          </cell>
          <cell r="D218">
            <v>0.0655595662709967</v>
          </cell>
          <cell r="E218">
            <v>5.3975</v>
          </cell>
          <cell r="F218">
            <v>0.17</v>
          </cell>
          <cell r="G218">
            <v>0</v>
          </cell>
          <cell r="H218">
            <v>0</v>
          </cell>
        </row>
        <row r="219">
          <cell r="C219">
            <v>43160</v>
          </cell>
          <cell r="D219">
            <v>0.0655979693689788</v>
          </cell>
          <cell r="E219">
            <v>5.2585</v>
          </cell>
          <cell r="F219">
            <v>0.17</v>
          </cell>
          <cell r="G219">
            <v>0</v>
          </cell>
          <cell r="H219">
            <v>0</v>
          </cell>
        </row>
        <row r="220">
          <cell r="C220">
            <v>43191</v>
          </cell>
          <cell r="D220">
            <v>0.0656404870851728</v>
          </cell>
          <cell r="E220">
            <v>5.0885</v>
          </cell>
          <cell r="F220">
            <v>0.17</v>
          </cell>
          <cell r="G220">
            <v>0</v>
          </cell>
          <cell r="H220">
            <v>0</v>
          </cell>
        </row>
        <row r="221">
          <cell r="C221">
            <v>43221</v>
          </cell>
          <cell r="D221">
            <v>0.0656816332627042</v>
          </cell>
          <cell r="E221">
            <v>5.1475</v>
          </cell>
          <cell r="F221">
            <v>0.17</v>
          </cell>
          <cell r="G221">
            <v>0</v>
          </cell>
          <cell r="H221">
            <v>0</v>
          </cell>
        </row>
        <row r="222">
          <cell r="C222">
            <v>43252</v>
          </cell>
          <cell r="D222">
            <v>0.0657241509800763</v>
          </cell>
          <cell r="E222">
            <v>5.1875</v>
          </cell>
          <cell r="F222">
            <v>0.17</v>
          </cell>
          <cell r="G222">
            <v>0</v>
          </cell>
          <cell r="H222">
            <v>0</v>
          </cell>
        </row>
        <row r="223">
          <cell r="C223">
            <v>43282</v>
          </cell>
          <cell r="D223">
            <v>0.0657652971587486</v>
          </cell>
          <cell r="E223">
            <v>5.2325</v>
          </cell>
        </row>
        <row r="223">
          <cell r="G223">
            <v>0</v>
          </cell>
          <cell r="H223">
            <v>0</v>
          </cell>
        </row>
        <row r="224">
          <cell r="C224">
            <v>43313</v>
          </cell>
          <cell r="D224">
            <v>0.0658078148772998</v>
          </cell>
          <cell r="E224">
            <v>5.2675</v>
          </cell>
        </row>
        <row r="224">
          <cell r="G224">
            <v>0</v>
          </cell>
          <cell r="H224">
            <v>0</v>
          </cell>
        </row>
        <row r="225">
          <cell r="C225">
            <v>43344</v>
          </cell>
          <cell r="D225">
            <v>0.0658503325964492</v>
          </cell>
          <cell r="E225">
            <v>5.2725</v>
          </cell>
        </row>
        <row r="225">
          <cell r="G225">
            <v>0</v>
          </cell>
          <cell r="H225">
            <v>0</v>
          </cell>
        </row>
        <row r="226">
          <cell r="C226">
            <v>43374</v>
          </cell>
          <cell r="D226">
            <v>0.0658914787768423</v>
          </cell>
          <cell r="E226">
            <v>5.3025</v>
          </cell>
        </row>
        <row r="226">
          <cell r="G226">
            <v>0</v>
          </cell>
          <cell r="H226">
            <v>0</v>
          </cell>
        </row>
        <row r="227">
          <cell r="C227">
            <v>43405</v>
          </cell>
          <cell r="D227">
            <v>0.0659339964971704</v>
          </cell>
          <cell r="E227">
            <v>5.4125</v>
          </cell>
        </row>
        <row r="227">
          <cell r="G227">
            <v>0</v>
          </cell>
          <cell r="H227">
            <v>0</v>
          </cell>
        </row>
        <row r="228">
          <cell r="C228">
            <v>43435</v>
          </cell>
          <cell r="D228">
            <v>0.0659751426787039</v>
          </cell>
          <cell r="E228">
            <v>5.5325</v>
          </cell>
        </row>
        <row r="228">
          <cell r="G228">
            <v>0</v>
          </cell>
          <cell r="H228">
            <v>0</v>
          </cell>
        </row>
        <row r="229">
          <cell r="C229">
            <v>43466</v>
          </cell>
          <cell r="D229">
            <v>0.0660176604002105</v>
          </cell>
          <cell r="E229">
            <v>5.6225</v>
          </cell>
        </row>
        <row r="229">
          <cell r="G229">
            <v>0</v>
          </cell>
          <cell r="H229">
            <v>0</v>
          </cell>
        </row>
        <row r="230">
          <cell r="C230">
            <v>43497</v>
          </cell>
          <cell r="D230">
            <v>0.0660601781223162</v>
          </cell>
          <cell r="E230">
            <v>5.5025</v>
          </cell>
        </row>
        <row r="230">
          <cell r="G230">
            <v>0</v>
          </cell>
          <cell r="H230">
            <v>0</v>
          </cell>
        </row>
        <row r="231">
          <cell r="C231">
            <v>43525</v>
          </cell>
          <cell r="D231">
            <v>0.0660985812266683</v>
          </cell>
          <cell r="E231">
            <v>5.3635</v>
          </cell>
        </row>
        <row r="231">
          <cell r="G231">
            <v>0</v>
          </cell>
          <cell r="H231">
            <v>0</v>
          </cell>
        </row>
        <row r="232">
          <cell r="C232">
            <v>43556</v>
          </cell>
          <cell r="D232">
            <v>0.0661410989499136</v>
          </cell>
          <cell r="E232">
            <v>5.1935</v>
          </cell>
        </row>
        <row r="232">
          <cell r="G232">
            <v>0</v>
          </cell>
          <cell r="H232">
            <v>0</v>
          </cell>
        </row>
        <row r="233">
          <cell r="C233">
            <v>43586</v>
          </cell>
          <cell r="D233">
            <v>0.0661822451342702</v>
          </cell>
          <cell r="E233">
            <v>5.2525</v>
          </cell>
        </row>
        <row r="233">
          <cell r="G233">
            <v>0</v>
          </cell>
          <cell r="H233">
            <v>0</v>
          </cell>
        </row>
        <row r="234">
          <cell r="C234">
            <v>43617</v>
          </cell>
          <cell r="D234">
            <v>0.066224762858694</v>
          </cell>
          <cell r="E234">
            <v>5.2925</v>
          </cell>
        </row>
        <row r="234">
          <cell r="G234">
            <v>0</v>
          </cell>
          <cell r="H234">
            <v>0</v>
          </cell>
        </row>
        <row r="235">
          <cell r="C235">
            <v>43647</v>
          </cell>
          <cell r="D235">
            <v>0.066265909044191</v>
          </cell>
          <cell r="E235">
            <v>5.3375</v>
          </cell>
        </row>
        <row r="235">
          <cell r="G235">
            <v>0</v>
          </cell>
          <cell r="H235">
            <v>0</v>
          </cell>
        </row>
        <row r="236">
          <cell r="C236">
            <v>43678</v>
          </cell>
          <cell r="D236">
            <v>0.0663084267697931</v>
          </cell>
          <cell r="E236">
            <v>5.3725</v>
          </cell>
        </row>
        <row r="236">
          <cell r="G236">
            <v>0</v>
          </cell>
          <cell r="H236">
            <v>0</v>
          </cell>
        </row>
        <row r="237">
          <cell r="C237">
            <v>43709</v>
          </cell>
          <cell r="D237">
            <v>0.0663509444959942</v>
          </cell>
          <cell r="E237">
            <v>5.3775</v>
          </cell>
        </row>
        <row r="237">
          <cell r="G237">
            <v>0</v>
          </cell>
          <cell r="H237">
            <v>0</v>
          </cell>
        </row>
        <row r="238">
          <cell r="C238">
            <v>43739</v>
          </cell>
          <cell r="D238">
            <v>0.0663920906832107</v>
          </cell>
          <cell r="E238">
            <v>5.4075</v>
          </cell>
        </row>
        <row r="238">
          <cell r="G238">
            <v>0</v>
          </cell>
          <cell r="H238">
            <v>0</v>
          </cell>
        </row>
        <row r="239">
          <cell r="C239">
            <v>43770</v>
          </cell>
          <cell r="D239">
            <v>0.0664346084105905</v>
          </cell>
          <cell r="E239">
            <v>5.5175</v>
          </cell>
        </row>
        <row r="239">
          <cell r="G239">
            <v>0</v>
          </cell>
          <cell r="H239">
            <v>0</v>
          </cell>
        </row>
        <row r="240">
          <cell r="C240">
            <v>43800</v>
          </cell>
          <cell r="D240">
            <v>0.0664757545989465</v>
          </cell>
          <cell r="E240">
            <v>5.6375</v>
          </cell>
        </row>
        <row r="240">
          <cell r="G240">
            <v>0</v>
          </cell>
          <cell r="H240">
            <v>0</v>
          </cell>
        </row>
        <row r="241">
          <cell r="C241">
            <v>43831</v>
          </cell>
          <cell r="D241">
            <v>0.0665182723275044</v>
          </cell>
          <cell r="E241">
            <v>5.7275</v>
          </cell>
        </row>
        <row r="241">
          <cell r="G241">
            <v>0</v>
          </cell>
          <cell r="H241">
            <v>0</v>
          </cell>
        </row>
        <row r="242">
          <cell r="C242">
            <v>43862</v>
          </cell>
          <cell r="D242">
            <v>0.0665607900566609</v>
          </cell>
          <cell r="E242">
            <v>5.6075</v>
          </cell>
        </row>
        <row r="242">
          <cell r="G242">
            <v>0</v>
          </cell>
          <cell r="H242">
            <v>0</v>
          </cell>
        </row>
        <row r="243">
          <cell r="C243">
            <v>43891</v>
          </cell>
          <cell r="D243">
            <v>0.0666005647070591</v>
          </cell>
          <cell r="E243">
            <v>5.4685</v>
          </cell>
        </row>
        <row r="243">
          <cell r="G243">
            <v>0</v>
          </cell>
          <cell r="H243">
            <v>0</v>
          </cell>
        </row>
        <row r="244">
          <cell r="C244">
            <v>43922</v>
          </cell>
          <cell r="D244">
            <v>0.0666430824373743</v>
          </cell>
          <cell r="E244">
            <v>5.2985</v>
          </cell>
        </row>
        <row r="244">
          <cell r="G244">
            <v>0</v>
          </cell>
          <cell r="H244">
            <v>0</v>
          </cell>
        </row>
        <row r="245">
          <cell r="C245">
            <v>43952</v>
          </cell>
          <cell r="D245">
            <v>0.0666842286285716</v>
          </cell>
          <cell r="E245">
            <v>5.3575</v>
          </cell>
        </row>
        <row r="245">
          <cell r="G245">
            <v>0</v>
          </cell>
          <cell r="H245">
            <v>0</v>
          </cell>
        </row>
        <row r="246">
          <cell r="C246">
            <v>43983</v>
          </cell>
          <cell r="D246">
            <v>0.0667267463600654</v>
          </cell>
          <cell r="E246">
            <v>5.3975</v>
          </cell>
        </row>
        <row r="246">
          <cell r="G246">
            <v>0</v>
          </cell>
          <cell r="H246">
            <v>0</v>
          </cell>
        </row>
        <row r="247">
          <cell r="C247">
            <v>44013</v>
          </cell>
          <cell r="D247">
            <v>0.0667678925524031</v>
          </cell>
          <cell r="E247">
            <v>5.4425</v>
          </cell>
        </row>
        <row r="247">
          <cell r="G247">
            <v>0</v>
          </cell>
          <cell r="H247">
            <v>0</v>
          </cell>
        </row>
        <row r="248">
          <cell r="C248">
            <v>44044</v>
          </cell>
          <cell r="D248">
            <v>0.0668104102850746</v>
          </cell>
          <cell r="E248">
            <v>5.4775</v>
          </cell>
        </row>
        <row r="248">
          <cell r="G248">
            <v>0</v>
          </cell>
          <cell r="H248">
            <v>0</v>
          </cell>
        </row>
        <row r="249">
          <cell r="C249">
            <v>44075</v>
          </cell>
          <cell r="D249">
            <v>0.0668529280183448</v>
          </cell>
          <cell r="E249">
            <v>5.4825</v>
          </cell>
        </row>
        <row r="249">
          <cell r="G249">
            <v>0</v>
          </cell>
          <cell r="H249">
            <v>0</v>
          </cell>
        </row>
        <row r="250">
          <cell r="C250">
            <v>44105</v>
          </cell>
          <cell r="D250">
            <v>0.066894074212402</v>
          </cell>
          <cell r="E250">
            <v>5.5125</v>
          </cell>
        </row>
        <row r="250">
          <cell r="G250">
            <v>0</v>
          </cell>
          <cell r="H250">
            <v>0</v>
          </cell>
        </row>
        <row r="251">
          <cell r="C251">
            <v>44136</v>
          </cell>
          <cell r="D251">
            <v>0.0669365919468499</v>
          </cell>
          <cell r="E251">
            <v>5.6225</v>
          </cell>
        </row>
        <row r="251">
          <cell r="G251">
            <v>0</v>
          </cell>
          <cell r="H251">
            <v>0</v>
          </cell>
        </row>
        <row r="252">
          <cell r="C252">
            <v>44166</v>
          </cell>
          <cell r="D252">
            <v>0.0669777381420476</v>
          </cell>
          <cell r="E252">
            <v>5.7425</v>
          </cell>
        </row>
        <row r="252">
          <cell r="G252">
            <v>0</v>
          </cell>
          <cell r="H252">
            <v>0</v>
          </cell>
        </row>
        <row r="253">
          <cell r="C253">
            <v>44197</v>
          </cell>
          <cell r="D253">
            <v>0.0670202558776731</v>
          </cell>
          <cell r="E253">
            <v>5.8325</v>
          </cell>
        </row>
        <row r="253">
          <cell r="G253">
            <v>0</v>
          </cell>
          <cell r="H253">
            <v>0</v>
          </cell>
        </row>
        <row r="254">
          <cell r="C254">
            <v>44228</v>
          </cell>
          <cell r="D254">
            <v>0.0670627736138982</v>
          </cell>
          <cell r="E254">
            <v>5.7125</v>
          </cell>
        </row>
        <row r="254">
          <cell r="G254">
            <v>0</v>
          </cell>
          <cell r="H254">
            <v>0</v>
          </cell>
        </row>
        <row r="255">
          <cell r="C255">
            <v>44256</v>
          </cell>
          <cell r="D255">
            <v>0.0671011767310024</v>
          </cell>
          <cell r="E255">
            <v>5.5735</v>
          </cell>
        </row>
        <row r="255">
          <cell r="G255">
            <v>0</v>
          </cell>
          <cell r="H255">
            <v>0</v>
          </cell>
        </row>
        <row r="256">
          <cell r="C256">
            <v>44287</v>
          </cell>
          <cell r="D256">
            <v>0.0671436944683665</v>
          </cell>
          <cell r="E256">
            <v>5.4035</v>
          </cell>
        </row>
        <row r="256">
          <cell r="G256">
            <v>0</v>
          </cell>
          <cell r="H256">
            <v>0</v>
          </cell>
        </row>
        <row r="257">
          <cell r="C257">
            <v>44317</v>
          </cell>
          <cell r="D257">
            <v>0.0671791070538918</v>
          </cell>
          <cell r="E257">
            <v>5.4625</v>
          </cell>
        </row>
        <row r="257">
          <cell r="G257">
            <v>0</v>
          </cell>
          <cell r="H257">
            <v>0</v>
          </cell>
        </row>
        <row r="258">
          <cell r="C258">
            <v>44348</v>
          </cell>
          <cell r="D258">
            <v>0.0671860763946341</v>
          </cell>
          <cell r="E258">
            <v>5.5025</v>
          </cell>
        </row>
        <row r="258">
          <cell r="G258">
            <v>0</v>
          </cell>
          <cell r="H258">
            <v>0</v>
          </cell>
        </row>
        <row r="259">
          <cell r="C259">
            <v>44378</v>
          </cell>
          <cell r="D259">
            <v>0.0671928209179482</v>
          </cell>
          <cell r="E259">
            <v>5.5475</v>
          </cell>
        </row>
        <row r="259">
          <cell r="G259">
            <v>0</v>
          </cell>
          <cell r="H259">
            <v>0</v>
          </cell>
        </row>
        <row r="260">
          <cell r="C260">
            <v>44409</v>
          </cell>
          <cell r="D260">
            <v>0.0671997902587225</v>
          </cell>
          <cell r="E260">
            <v>5.5825</v>
          </cell>
        </row>
        <row r="260">
          <cell r="G260">
            <v>0</v>
          </cell>
          <cell r="H260">
            <v>0</v>
          </cell>
        </row>
        <row r="261">
          <cell r="C261">
            <v>44440</v>
          </cell>
          <cell r="D261">
            <v>0.0672067595995123</v>
          </cell>
          <cell r="E261">
            <v>5.5875</v>
          </cell>
        </row>
        <row r="261">
          <cell r="G261">
            <v>0</v>
          </cell>
          <cell r="H261">
            <v>0</v>
          </cell>
        </row>
        <row r="262">
          <cell r="C262">
            <v>44470</v>
          </cell>
          <cell r="D262">
            <v>0.0672135041228725</v>
          </cell>
          <cell r="E262">
            <v>5.6175</v>
          </cell>
        </row>
        <row r="262">
          <cell r="G262">
            <v>0</v>
          </cell>
          <cell r="H262">
            <v>0</v>
          </cell>
        </row>
        <row r="263">
          <cell r="C263">
            <v>44501</v>
          </cell>
          <cell r="D263">
            <v>0.0672204734636948</v>
          </cell>
          <cell r="E263">
            <v>5.7275</v>
          </cell>
        </row>
        <row r="263">
          <cell r="G263">
            <v>0</v>
          </cell>
          <cell r="H263">
            <v>0</v>
          </cell>
        </row>
        <row r="264">
          <cell r="C264">
            <v>44531</v>
          </cell>
          <cell r="D264">
            <v>0.0672272179870856</v>
          </cell>
          <cell r="E264">
            <v>5.8475</v>
          </cell>
        </row>
        <row r="264">
          <cell r="G264">
            <v>0</v>
          </cell>
          <cell r="H264">
            <v>0</v>
          </cell>
        </row>
        <row r="265">
          <cell r="C265">
            <v>44562</v>
          </cell>
          <cell r="D265">
            <v>0.0672341873279385</v>
          </cell>
          <cell r="E265">
            <v>5.9375</v>
          </cell>
        </row>
        <row r="265">
          <cell r="G265">
            <v>0</v>
          </cell>
          <cell r="H265">
            <v>0</v>
          </cell>
        </row>
        <row r="266">
          <cell r="C266">
            <v>44593</v>
          </cell>
          <cell r="D266">
            <v>0.0672411566688083</v>
          </cell>
          <cell r="E266">
            <v>5.8175</v>
          </cell>
        </row>
        <row r="266">
          <cell r="G266">
            <v>0</v>
          </cell>
          <cell r="H266">
            <v>0</v>
          </cell>
        </row>
        <row r="267">
          <cell r="C267">
            <v>44621</v>
          </cell>
          <cell r="D267">
            <v>0.0672474515573494</v>
          </cell>
          <cell r="E267">
            <v>5.6785</v>
          </cell>
        </row>
        <row r="267">
          <cell r="G267">
            <v>0</v>
          </cell>
          <cell r="H267">
            <v>0</v>
          </cell>
        </row>
        <row r="268">
          <cell r="C268">
            <v>44652</v>
          </cell>
          <cell r="D268">
            <v>0.0672544208982493</v>
          </cell>
          <cell r="E268">
            <v>5.5085</v>
          </cell>
        </row>
        <row r="268">
          <cell r="G268">
            <v>0</v>
          </cell>
          <cell r="H268">
            <v>0</v>
          </cell>
        </row>
        <row r="269">
          <cell r="C269">
            <v>44682</v>
          </cell>
          <cell r="D269">
            <v>0.0672611654217161</v>
          </cell>
          <cell r="E269">
            <v>5.5675</v>
          </cell>
        </row>
        <row r="269">
          <cell r="G269">
            <v>0</v>
          </cell>
          <cell r="H269">
            <v>0</v>
          </cell>
        </row>
        <row r="270">
          <cell r="C270">
            <v>44713</v>
          </cell>
          <cell r="D270">
            <v>0.0672681347626476</v>
          </cell>
          <cell r="E270">
            <v>5.6075</v>
          </cell>
        </row>
        <row r="270">
          <cell r="G270">
            <v>0</v>
          </cell>
          <cell r="H270">
            <v>0</v>
          </cell>
        </row>
        <row r="271">
          <cell r="C271">
            <v>44743</v>
          </cell>
          <cell r="D271">
            <v>0.0672748792861455</v>
          </cell>
          <cell r="E271">
            <v>5.6525</v>
          </cell>
        </row>
        <row r="271">
          <cell r="G271">
            <v>0</v>
          </cell>
          <cell r="H271">
            <v>0</v>
          </cell>
        </row>
        <row r="272">
          <cell r="C272">
            <v>44774</v>
          </cell>
          <cell r="D272">
            <v>0.0672818486271085</v>
          </cell>
          <cell r="E272">
            <v>5.6875</v>
          </cell>
        </row>
        <row r="272">
          <cell r="G272">
            <v>0</v>
          </cell>
          <cell r="H272">
            <v>0</v>
          </cell>
        </row>
        <row r="273">
          <cell r="C273">
            <v>44805</v>
          </cell>
        </row>
        <row r="274">
          <cell r="C274">
            <v>44835</v>
          </cell>
        </row>
        <row r="275">
          <cell r="C275">
            <v>44866</v>
          </cell>
        </row>
        <row r="276">
          <cell r="C276">
            <v>44896</v>
          </cell>
        </row>
        <row r="277">
          <cell r="C277">
            <v>44927</v>
          </cell>
        </row>
        <row r="278">
          <cell r="C278">
            <v>44958</v>
          </cell>
        </row>
        <row r="279">
          <cell r="C279">
            <v>44986</v>
          </cell>
        </row>
        <row r="280">
          <cell r="C280">
            <v>45017</v>
          </cell>
        </row>
        <row r="281">
          <cell r="C281">
            <v>45047</v>
          </cell>
        </row>
        <row r="282">
          <cell r="C282">
            <v>45078</v>
          </cell>
        </row>
        <row r="283">
          <cell r="C283">
            <v>45108</v>
          </cell>
        </row>
        <row r="284">
          <cell r="C284">
            <v>45139</v>
          </cell>
        </row>
        <row r="285">
          <cell r="C285">
            <v>45170</v>
          </cell>
        </row>
        <row r="286">
          <cell r="C286">
            <v>45200</v>
          </cell>
        </row>
        <row r="287">
          <cell r="C287">
            <v>45231</v>
          </cell>
        </row>
        <row r="288">
          <cell r="C288">
            <v>45261</v>
          </cell>
        </row>
        <row r="289">
          <cell r="C289">
            <v>45292</v>
          </cell>
        </row>
        <row r="290">
          <cell r="C290">
            <v>45323</v>
          </cell>
        </row>
        <row r="291">
          <cell r="C291">
            <v>45352</v>
          </cell>
        </row>
        <row r="292">
          <cell r="C292">
            <v>45383</v>
          </cell>
        </row>
        <row r="293">
          <cell r="C293">
            <v>45413</v>
          </cell>
        </row>
        <row r="294">
          <cell r="C294">
            <v>45444</v>
          </cell>
        </row>
        <row r="295">
          <cell r="C295">
            <v>45474</v>
          </cell>
        </row>
        <row r="296">
          <cell r="C296">
            <v>45505</v>
          </cell>
        </row>
        <row r="297">
          <cell r="C297">
            <v>45536</v>
          </cell>
        </row>
        <row r="298">
          <cell r="C298">
            <v>45566</v>
          </cell>
        </row>
        <row r="299">
          <cell r="C299">
            <v>45597</v>
          </cell>
        </row>
        <row r="300">
          <cell r="C300">
            <v>45627</v>
          </cell>
        </row>
        <row r="301">
          <cell r="C301">
            <v>45658</v>
          </cell>
        </row>
        <row r="302">
          <cell r="C302">
            <v>45689</v>
          </cell>
        </row>
        <row r="303">
          <cell r="C303">
            <v>45717</v>
          </cell>
        </row>
        <row r="304">
          <cell r="C304">
            <v>45748</v>
          </cell>
        </row>
        <row r="305">
          <cell r="C305">
            <v>45778</v>
          </cell>
        </row>
        <row r="306">
          <cell r="C306">
            <v>45809</v>
          </cell>
        </row>
        <row r="307">
          <cell r="C307">
            <v>45839</v>
          </cell>
        </row>
        <row r="308">
          <cell r="C308">
            <v>45870</v>
          </cell>
        </row>
        <row r="309">
          <cell r="C309">
            <v>45901</v>
          </cell>
        </row>
        <row r="310">
          <cell r="C310">
            <v>45931</v>
          </cell>
        </row>
        <row r="311">
          <cell r="C311">
            <v>45962</v>
          </cell>
        </row>
        <row r="312">
          <cell r="C312">
            <v>45992</v>
          </cell>
        </row>
        <row r="313">
          <cell r="C313">
            <v>46023</v>
          </cell>
        </row>
        <row r="314">
          <cell r="C314">
            <v>46054</v>
          </cell>
        </row>
        <row r="315">
          <cell r="C315">
            <v>46082</v>
          </cell>
        </row>
        <row r="316">
          <cell r="C316">
            <v>46113</v>
          </cell>
        </row>
        <row r="317">
          <cell r="C317">
            <v>46143</v>
          </cell>
        </row>
        <row r="318">
          <cell r="C318">
            <v>46174</v>
          </cell>
        </row>
        <row r="319">
          <cell r="C319">
            <v>46204</v>
          </cell>
        </row>
        <row r="320">
          <cell r="C320">
            <v>46235</v>
          </cell>
        </row>
        <row r="321">
          <cell r="C321">
            <v>46266</v>
          </cell>
        </row>
        <row r="322">
          <cell r="C322">
            <v>46296</v>
          </cell>
        </row>
        <row r="323">
          <cell r="C323">
            <v>46327</v>
          </cell>
        </row>
        <row r="324">
          <cell r="C324">
            <v>46357</v>
          </cell>
        </row>
        <row r="325">
          <cell r="C325">
            <v>46388</v>
          </cell>
        </row>
        <row r="326">
          <cell r="C326">
            <v>46419</v>
          </cell>
        </row>
        <row r="327">
          <cell r="C327">
            <v>46447</v>
          </cell>
        </row>
        <row r="328">
          <cell r="C328">
            <v>46478</v>
          </cell>
        </row>
        <row r="329">
          <cell r="C329">
            <v>46508</v>
          </cell>
        </row>
        <row r="330">
          <cell r="C330">
            <v>46539</v>
          </cell>
        </row>
        <row r="331">
          <cell r="C331">
            <v>46569</v>
          </cell>
        </row>
        <row r="332">
          <cell r="C332">
            <v>46600</v>
          </cell>
        </row>
        <row r="333">
          <cell r="C333">
            <v>46631</v>
          </cell>
        </row>
        <row r="334">
          <cell r="C334">
            <v>46661</v>
          </cell>
        </row>
        <row r="335">
          <cell r="C335">
            <v>46692</v>
          </cell>
        </row>
        <row r="336">
          <cell r="C336">
            <v>46722</v>
          </cell>
        </row>
        <row r="337">
          <cell r="C337">
            <v>46753</v>
          </cell>
        </row>
        <row r="338">
          <cell r="C338">
            <v>46784</v>
          </cell>
        </row>
        <row r="339">
          <cell r="C339">
            <v>46813</v>
          </cell>
        </row>
        <row r="340">
          <cell r="C340">
            <v>46844</v>
          </cell>
        </row>
        <row r="341">
          <cell r="C341">
            <v>46874</v>
          </cell>
        </row>
        <row r="342">
          <cell r="C342">
            <v>46905</v>
          </cell>
        </row>
        <row r="343">
          <cell r="C343">
            <v>46935</v>
          </cell>
        </row>
        <row r="344">
          <cell r="C344">
            <v>46966</v>
          </cell>
        </row>
        <row r="345">
          <cell r="C345">
            <v>46997</v>
          </cell>
        </row>
        <row r="346">
          <cell r="C346">
            <v>47027</v>
          </cell>
        </row>
        <row r="347">
          <cell r="C347">
            <v>47058</v>
          </cell>
        </row>
        <row r="348">
          <cell r="C348">
            <v>47088</v>
          </cell>
        </row>
        <row r="349">
          <cell r="C349">
            <v>47119</v>
          </cell>
        </row>
        <row r="350">
          <cell r="C350">
            <v>47150</v>
          </cell>
        </row>
        <row r="351">
          <cell r="C351">
            <v>47178</v>
          </cell>
        </row>
        <row r="352">
          <cell r="C352">
            <v>47209</v>
          </cell>
        </row>
        <row r="353">
          <cell r="C353">
            <v>47239</v>
          </cell>
        </row>
        <row r="354">
          <cell r="C354">
            <v>47270</v>
          </cell>
        </row>
        <row r="355">
          <cell r="C355">
            <v>47300</v>
          </cell>
        </row>
        <row r="356">
          <cell r="C356">
            <v>47331</v>
          </cell>
        </row>
        <row r="357">
          <cell r="C357">
            <v>47362</v>
          </cell>
        </row>
        <row r="358">
          <cell r="C358">
            <v>47392</v>
          </cell>
        </row>
        <row r="359">
          <cell r="C359">
            <v>47423</v>
          </cell>
        </row>
        <row r="360">
          <cell r="C360">
            <v>47453</v>
          </cell>
        </row>
        <row r="361">
          <cell r="C361">
            <v>47484</v>
          </cell>
        </row>
        <row r="362">
          <cell r="C362">
            <v>47515</v>
          </cell>
        </row>
        <row r="363">
          <cell r="C363">
            <v>47543</v>
          </cell>
        </row>
        <row r="364">
          <cell r="C364">
            <v>47574</v>
          </cell>
        </row>
        <row r="365">
          <cell r="C365">
            <v>47604</v>
          </cell>
        </row>
        <row r="366">
          <cell r="C366">
            <v>47635</v>
          </cell>
        </row>
        <row r="367">
          <cell r="C367">
            <v>47665</v>
          </cell>
        </row>
        <row r="368">
          <cell r="C368">
            <v>47696</v>
          </cell>
        </row>
        <row r="369">
          <cell r="C369">
            <v>47727</v>
          </cell>
        </row>
        <row r="370">
          <cell r="C370">
            <v>47757</v>
          </cell>
        </row>
        <row r="371">
          <cell r="C371">
            <v>47788</v>
          </cell>
        </row>
        <row r="372">
          <cell r="C372">
            <v>47818</v>
          </cell>
        </row>
        <row r="373">
          <cell r="C373">
            <v>47849</v>
          </cell>
        </row>
        <row r="374">
          <cell r="C374">
            <v>47880</v>
          </cell>
        </row>
        <row r="375">
          <cell r="C375">
            <v>47908</v>
          </cell>
        </row>
        <row r="376">
          <cell r="C376">
            <v>47939</v>
          </cell>
        </row>
        <row r="377">
          <cell r="C377">
            <v>47969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20.28"/>
    <col collapsed="false" customWidth="true" hidden="false" outlineLevel="0" max="3" min="3" style="0" width="13.28"/>
    <col collapsed="false" customWidth="true" hidden="false" outlineLevel="0" max="4" min="4" style="0" width="14.56"/>
    <col collapsed="false" customWidth="true" hidden="false" outlineLevel="0" max="5" min="5" style="0" width="18.41"/>
    <col collapsed="false" customWidth="true" hidden="false" outlineLevel="0" max="6" min="6" style="0" width="4.99"/>
    <col collapsed="false" customWidth="true" hidden="false" outlineLevel="0" max="7" min="7" style="0" width="16.42"/>
    <col collapsed="false" customWidth="true" hidden="false" outlineLevel="0" max="8" min="8" style="0" width="5.56"/>
    <col collapsed="false" customWidth="true" hidden="false" outlineLevel="0" max="9" min="9" style="0" width="14.85"/>
    <col collapsed="false" customWidth="true" hidden="false" outlineLevel="0" max="10" min="10" style="0" width="6.85"/>
    <col collapsed="false" customWidth="true" hidden="false" outlineLevel="0" max="11" min="11" style="0" width="5.13"/>
    <col collapsed="false" customWidth="true" hidden="false" outlineLevel="0" max="12" min="12" style="0" width="8.56"/>
    <col collapsed="false" customWidth="true" hidden="false" outlineLevel="0" max="13" min="13" style="0" width="11.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/>
      <c r="B3" s="5" t="s">
        <v>1</v>
      </c>
      <c r="C3" s="6" t="n">
        <v>40179</v>
      </c>
      <c r="G3" s="7"/>
      <c r="H3" s="7"/>
    </row>
    <row r="4" customFormat="false" ht="12.75" hidden="false" customHeight="false" outlineLevel="0" collapsed="false">
      <c r="A4" s="4"/>
      <c r="B4" s="5" t="s">
        <v>2</v>
      </c>
      <c r="C4" s="6" t="n">
        <v>45657</v>
      </c>
    </row>
    <row r="5" customFormat="false" ht="12.75" hidden="false" customHeight="false" outlineLevel="0" collapsed="false">
      <c r="B5" s="5" t="s">
        <v>3</v>
      </c>
      <c r="C5" s="8" t="n">
        <v>205479</v>
      </c>
    </row>
    <row r="6" customFormat="false" ht="12.75" hidden="false" customHeight="false" outlineLevel="0" collapsed="false">
      <c r="B6" s="5"/>
      <c r="C6" s="9"/>
    </row>
    <row r="7" customFormat="false" ht="12.75" hidden="false" customHeight="false" outlineLevel="0" collapsed="false">
      <c r="B7" s="5" t="s">
        <v>4</v>
      </c>
      <c r="C7" s="10" t="n">
        <v>0</v>
      </c>
      <c r="D7" s="11" t="s">
        <v>5</v>
      </c>
      <c r="E7" s="11"/>
    </row>
    <row r="8" customFormat="false" ht="12.75" hidden="false" customHeight="false" outlineLevel="0" collapsed="false">
      <c r="B8" s="5"/>
      <c r="C8" s="9"/>
      <c r="D8" s="11" t="s">
        <v>6</v>
      </c>
      <c r="E8" s="11"/>
    </row>
    <row r="9" customFormat="false" ht="12.75" hidden="false" customHeight="false" outlineLevel="0" collapsed="false">
      <c r="B9" s="5"/>
      <c r="C9" s="9"/>
      <c r="E9" s="12"/>
      <c r="F9" s="12"/>
    </row>
    <row r="10" customFormat="false" ht="12.75" hidden="false" customHeight="false" outlineLevel="0" collapsed="false">
      <c r="B10" s="5"/>
      <c r="C10" s="9"/>
    </row>
    <row r="11" customFormat="false" ht="12.75" hidden="false" customHeight="false" outlineLevel="0" collapsed="false">
      <c r="E11" s="13"/>
      <c r="F11" s="13"/>
      <c r="G11" s="13" t="s">
        <v>7</v>
      </c>
      <c r="H11" s="13"/>
      <c r="I11" s="13" t="s">
        <v>7</v>
      </c>
    </row>
    <row r="12" customFormat="false" ht="12.75" hidden="false" customHeight="false" outlineLevel="0" collapsed="false">
      <c r="E12" s="14" t="s">
        <v>8</v>
      </c>
      <c r="F12" s="14"/>
      <c r="G12" s="14" t="s">
        <v>9</v>
      </c>
      <c r="H12" s="14"/>
      <c r="I12" s="14" t="s">
        <v>10</v>
      </c>
    </row>
    <row r="13" customFormat="false" ht="12.75" hidden="false" customHeight="false" outlineLevel="0" collapsed="false">
      <c r="E13" s="14"/>
      <c r="F13" s="14"/>
      <c r="G13" s="14"/>
      <c r="H13" s="14"/>
      <c r="I13" s="14"/>
    </row>
    <row r="14" customFormat="false" ht="12.75" hidden="false" customHeight="false" outlineLevel="0" collapsed="false">
      <c r="A14" s="15" t="s">
        <v>11</v>
      </c>
      <c r="B14" s="15"/>
      <c r="C14" s="15"/>
      <c r="D14" s="16"/>
      <c r="E14" s="17" t="n">
        <v>3</v>
      </c>
      <c r="F14" s="3"/>
      <c r="G14" s="18" t="e">
        <f aca="false">Put!AO8</f>
        <v>#NAME?</v>
      </c>
      <c r="H14" s="3"/>
      <c r="I14" s="19" t="e">
        <f aca="false">Put!AP8</f>
        <v>#NAME?</v>
      </c>
      <c r="J14" s="20" t="s">
        <v>12</v>
      </c>
      <c r="K14" s="21" t="str">
        <f aca="false">IF(C7=0,"Sells","Buys")</f>
        <v>Sells</v>
      </c>
      <c r="L14" s="22" t="s">
        <v>13</v>
      </c>
      <c r="M14" s="23"/>
    </row>
    <row r="15" customFormat="false" ht="12.75" hidden="false" customHeight="false" outlineLevel="0" collapsed="false">
      <c r="F15" s="24"/>
      <c r="J15" s="5"/>
      <c r="K15" s="13"/>
    </row>
    <row r="16" customFormat="false" ht="12.75" hidden="false" customHeight="false" outlineLevel="0" collapsed="false">
      <c r="A16" s="15" t="s">
        <v>14</v>
      </c>
      <c r="B16" s="15"/>
      <c r="C16" s="15"/>
      <c r="D16" s="16"/>
      <c r="E16" s="25" t="n">
        <v>9.81903240236408</v>
      </c>
      <c r="F16" s="3"/>
      <c r="G16" s="18" t="e">
        <f aca="false">Call!AO8</f>
        <v>#NAME?</v>
      </c>
      <c r="H16" s="3"/>
      <c r="I16" s="19" t="e">
        <f aca="false">-Call!AP8</f>
        <v>#NAME?</v>
      </c>
      <c r="J16" s="20" t="s">
        <v>12</v>
      </c>
      <c r="K16" s="21" t="str">
        <f aca="false">IF(C7=0,"Buys","Sells")</f>
        <v>Buys</v>
      </c>
      <c r="L16" s="22" t="s">
        <v>15</v>
      </c>
    </row>
    <row r="17" customFormat="false" ht="13.5" hidden="false" customHeight="false" outlineLevel="0" collapsed="false">
      <c r="M17" s="19"/>
    </row>
    <row r="18" customFormat="false" ht="13.5" hidden="false" customHeight="false" outlineLevel="0" collapsed="false">
      <c r="G18" s="26" t="s">
        <v>16</v>
      </c>
      <c r="H18" s="27" t="s">
        <v>17</v>
      </c>
      <c r="I18" s="28" t="e">
        <f aca="false">I14+I16</f>
        <v>#NAME?</v>
      </c>
    </row>
    <row r="20" customFormat="false" ht="12.75" hidden="false" customHeight="false" outlineLevel="0" collapsed="false">
      <c r="B20" s="29" t="s">
        <v>18</v>
      </c>
      <c r="C20" s="30"/>
      <c r="G20" s="31" t="s">
        <v>19</v>
      </c>
      <c r="H20" s="32" t="s">
        <v>17</v>
      </c>
      <c r="I20" s="33" t="e">
        <f aca="false">Call!AR8</f>
        <v>#NAME?</v>
      </c>
    </row>
    <row r="22" customFormat="false" ht="15.75" hidden="false" customHeight="false" outlineLevel="0" collapsed="false">
      <c r="J22" s="34"/>
      <c r="K22" s="34"/>
    </row>
    <row r="23" customFormat="false" ht="12.75" hidden="false" customHeight="false" outlineLevel="0" collapsed="false">
      <c r="B23" s="3" t="s">
        <v>20</v>
      </c>
      <c r="C23" s="35" t="n">
        <v>-0.29</v>
      </c>
    </row>
    <row r="24" customFormat="false" ht="12.75" hidden="false" customHeight="false" outlineLevel="0" collapsed="false">
      <c r="D24" s="36" t="s">
        <v>21</v>
      </c>
    </row>
    <row r="25" customFormat="false" ht="12.75" hidden="false" customHeight="false" outlineLevel="0" collapsed="false">
      <c r="B25" s="3" t="s">
        <v>22</v>
      </c>
      <c r="C25" s="37" t="n">
        <v>0</v>
      </c>
      <c r="D25" s="38" t="n">
        <f aca="false">Put!R8</f>
        <v>0.17282373311567</v>
      </c>
    </row>
    <row r="26" customFormat="false" ht="12.75" hidden="false" customHeight="false" outlineLevel="0" collapsed="false">
      <c r="B26" s="3" t="s">
        <v>23</v>
      </c>
      <c r="C26" s="37" t="n">
        <v>0</v>
      </c>
      <c r="D26" s="38" t="n">
        <f aca="false">Call!R8</f>
        <v>0.17282373311567</v>
      </c>
      <c r="E26" s="14"/>
    </row>
    <row r="27" customFormat="false" ht="12.75" hidden="false" customHeight="false" outlineLevel="0" collapsed="false">
      <c r="E27" s="3"/>
    </row>
    <row r="28" customFormat="false" ht="12.75" hidden="false" customHeight="false" outlineLevel="0" collapsed="false">
      <c r="A28" s="39"/>
      <c r="B28" s="40" t="s">
        <v>24</v>
      </c>
      <c r="C28" s="39"/>
      <c r="D28" s="39"/>
      <c r="E28" s="3"/>
      <c r="G28" s="41" t="s">
        <v>25</v>
      </c>
      <c r="H28" s="41"/>
      <c r="I28" s="41"/>
    </row>
    <row r="29" customFormat="false" ht="12.75" hidden="false" customHeight="false" outlineLevel="0" collapsed="false">
      <c r="A29" s="42" t="s">
        <v>26</v>
      </c>
      <c r="B29" s="43" t="s">
        <v>27</v>
      </c>
      <c r="C29" s="43" t="s">
        <v>28</v>
      </c>
      <c r="D29" s="44" t="s">
        <v>29</v>
      </c>
      <c r="G29" s="45" t="s">
        <v>27</v>
      </c>
      <c r="H29" s="45" t="s">
        <v>30</v>
      </c>
    </row>
    <row r="30" customFormat="false" ht="12.75" hidden="false" customHeight="false" outlineLevel="0" collapsed="false">
      <c r="A30" s="46" t="n">
        <v>1</v>
      </c>
      <c r="B30" s="47" t="n">
        <v>136986</v>
      </c>
      <c r="C30" s="48" t="n">
        <v>3</v>
      </c>
      <c r="D30" s="49" t="n">
        <v>-0.24</v>
      </c>
      <c r="G30" s="50" t="n">
        <v>205479</v>
      </c>
      <c r="H30" s="51" t="n">
        <v>-0.29</v>
      </c>
    </row>
    <row r="31" customFormat="false" ht="12.75" hidden="false" customHeight="false" outlineLevel="0" collapsed="false">
      <c r="A31" s="46" t="n">
        <v>2</v>
      </c>
      <c r="B31" s="47" t="n">
        <v>136986</v>
      </c>
      <c r="C31" s="48" t="n">
        <v>3.5</v>
      </c>
      <c r="D31" s="49" t="n">
        <v>-0.29</v>
      </c>
      <c r="G31" s="52" t="n">
        <v>205479</v>
      </c>
      <c r="H31" s="53" t="n">
        <v>-0.36</v>
      </c>
    </row>
    <row r="32" customFormat="false" ht="12.75" hidden="false" customHeight="false" outlineLevel="0" collapsed="false">
      <c r="A32" s="46" t="n">
        <v>3</v>
      </c>
      <c r="B32" s="47" t="n">
        <v>136986</v>
      </c>
      <c r="C32" s="48" t="n">
        <v>3.75</v>
      </c>
      <c r="D32" s="49" t="n">
        <v>-0.34</v>
      </c>
      <c r="G32" s="54" t="n">
        <v>205479</v>
      </c>
      <c r="H32" s="55" t="n">
        <v>-0.41</v>
      </c>
    </row>
    <row r="33" customFormat="false" ht="12.75" hidden="false" customHeight="false" outlineLevel="0" collapsed="false">
      <c r="A33" s="46" t="n">
        <v>4</v>
      </c>
      <c r="B33" s="47" t="n">
        <v>410959</v>
      </c>
      <c r="C33" s="48" t="n">
        <v>3</v>
      </c>
      <c r="D33" s="49" t="n">
        <v>-0.44</v>
      </c>
    </row>
    <row r="34" customFormat="false" ht="12.75" hidden="false" customHeight="false" outlineLevel="0" collapsed="false">
      <c r="A34" s="46" t="n">
        <v>5</v>
      </c>
      <c r="B34" s="47" t="n">
        <v>410959</v>
      </c>
      <c r="C34" s="48" t="n">
        <v>3.5</v>
      </c>
      <c r="D34" s="49" t="n">
        <v>-0.54</v>
      </c>
    </row>
    <row r="35" customFormat="false" ht="12.75" hidden="false" customHeight="false" outlineLevel="0" collapsed="false">
      <c r="A35" s="56" t="n">
        <v>6</v>
      </c>
      <c r="B35" s="57" t="n">
        <v>410959</v>
      </c>
      <c r="C35" s="58" t="n">
        <v>3.75</v>
      </c>
      <c r="D35" s="59" t="n">
        <v>-0.59</v>
      </c>
    </row>
  </sheetData>
  <mergeCells count="6">
    <mergeCell ref="A1:J1"/>
    <mergeCell ref="G3:H3"/>
    <mergeCell ref="D7:E7"/>
    <mergeCell ref="D8:E8"/>
    <mergeCell ref="A14:C14"/>
    <mergeCell ref="A16:C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3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J9" activePane="bottomRight" state="frozen"/>
      <selection pane="topLeft" activeCell="A1" activeCellId="0" sqref="A1"/>
      <selection pane="topRight" activeCell="J1" activeCellId="0" sqref="J1"/>
      <selection pane="bottomLeft" activeCell="A9" activeCellId="0" sqref="A9"/>
      <selection pane="bottomRight" activeCell="N25" activeCellId="0" sqref="N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4.14"/>
    <col collapsed="false" customWidth="true" hidden="false" outlineLevel="0" max="2" min="2" style="60" width="10.71"/>
    <col collapsed="false" customWidth="true" hidden="false" outlineLevel="0" max="3" min="3" style="60" width="13.28"/>
    <col collapsed="false" customWidth="true" hidden="false" outlineLevel="0" max="4" min="4" style="60" width="11.85"/>
    <col collapsed="false" customWidth="true" hidden="false" outlineLevel="0" max="5" min="5" style="60" width="9.7"/>
    <col collapsed="false" customWidth="true" hidden="false" outlineLevel="0" max="6" min="6" style="60" width="9.41"/>
    <col collapsed="false" customWidth="true" hidden="false" outlineLevel="0" max="7" min="7" style="60" width="9.99"/>
    <col collapsed="false" customWidth="true" hidden="false" outlineLevel="0" max="8" min="8" style="60" width="14.56"/>
    <col collapsed="false" customWidth="true" hidden="false" outlineLevel="0" max="10" min="9" style="60" width="10.41"/>
    <col collapsed="false" customWidth="true" hidden="false" outlineLevel="0" max="11" min="11" style="60" width="14.14"/>
    <col collapsed="false" customWidth="true" hidden="false" outlineLevel="0" max="13" min="12" style="60" width="9.7"/>
    <col collapsed="false" customWidth="true" hidden="false" outlineLevel="0" max="14" min="14" style="60" width="11.7"/>
    <col collapsed="false" customWidth="true" hidden="false" outlineLevel="0" max="15" min="15" style="60" width="8.14"/>
    <col collapsed="false" customWidth="true" hidden="false" outlineLevel="0" max="16" min="16" style="60" width="5.56"/>
    <col collapsed="false" customWidth="true" hidden="false" outlineLevel="0" max="17" min="17" style="60" width="12.56"/>
    <col collapsed="false" customWidth="true" hidden="false" outlineLevel="0" max="18" min="18" style="60" width="8.28"/>
    <col collapsed="false" customWidth="true" hidden="false" outlineLevel="0" max="19" min="19" style="60" width="5.41"/>
    <col collapsed="false" customWidth="true" hidden="false" outlineLevel="0" max="20" min="20" style="60" width="8.14"/>
    <col collapsed="false" customWidth="true" hidden="false" outlineLevel="0" max="21" min="21" style="60" width="12.14"/>
    <col collapsed="false" customWidth="true" hidden="false" outlineLevel="0" max="22" min="22" style="60" width="6.28"/>
    <col collapsed="false" customWidth="true" hidden="false" outlineLevel="0" max="23" min="23" style="61" width="8.28"/>
    <col collapsed="false" customWidth="true" hidden="false" outlineLevel="0" max="25" min="24" style="61" width="8.56"/>
    <col collapsed="false" customWidth="true" hidden="false" outlineLevel="0" max="26" min="26" style="61" width="11.7"/>
    <col collapsed="false" customWidth="true" hidden="false" outlineLevel="0" max="27" min="27" style="61" width="9.56"/>
    <col collapsed="false" customWidth="true" hidden="false" outlineLevel="0" max="28" min="28" style="61" width="7.56"/>
    <col collapsed="false" customWidth="true" hidden="false" outlineLevel="0" max="29" min="29" style="61" width="6.41"/>
    <col collapsed="false" customWidth="true" hidden="false" outlineLevel="0" max="30" min="30" style="60" width="14.56"/>
    <col collapsed="false" customWidth="true" hidden="false" outlineLevel="0" max="31" min="31" style="60" width="14.99"/>
    <col collapsed="false" customWidth="true" hidden="false" outlineLevel="0" max="32" min="32" style="60" width="15.13"/>
    <col collapsed="false" customWidth="true" hidden="false" outlineLevel="0" max="33" min="33" style="60" width="17.85"/>
    <col collapsed="false" customWidth="true" hidden="false" outlineLevel="0" max="35" min="34" style="60" width="15.85"/>
    <col collapsed="false" customWidth="true" hidden="false" outlineLevel="0" max="36" min="36" style="60" width="12.42"/>
    <col collapsed="false" customWidth="true" hidden="false" outlineLevel="0" max="38" min="37" style="60" width="13.41"/>
    <col collapsed="false" customWidth="true" hidden="false" outlineLevel="0" max="39" min="39" style="62" width="6.7"/>
    <col collapsed="false" customWidth="false" hidden="false" outlineLevel="0" max="40" min="40" style="60" width="9.14"/>
    <col collapsed="false" customWidth="true" hidden="false" outlineLevel="0" max="41" min="41" style="60" width="13.56"/>
    <col collapsed="false" customWidth="true" hidden="false" outlineLevel="0" max="42" min="42" style="60" width="15.28"/>
    <col collapsed="false" customWidth="false" hidden="false" outlineLevel="0" max="257" min="43" style="60" width="9.14"/>
  </cols>
  <sheetData>
    <row r="1" customFormat="false" ht="13.5" hidden="false" customHeight="false" outlineLevel="0" collapsed="false">
      <c r="A1" s="63"/>
      <c r="B1" s="64"/>
      <c r="E1" s="0"/>
      <c r="H1" s="65" t="s">
        <v>31</v>
      </c>
      <c r="I1" s="65" t="s">
        <v>32</v>
      </c>
      <c r="J1" s="66" t="s">
        <v>33</v>
      </c>
      <c r="K1" s="67" t="s">
        <v>34</v>
      </c>
      <c r="L1" s="68"/>
      <c r="M1" s="69"/>
      <c r="N1" s="69"/>
      <c r="O1" s="69"/>
      <c r="P1" s="69"/>
      <c r="Q1" s="69"/>
      <c r="R1" s="69"/>
      <c r="S1" s="69"/>
      <c r="T1" s="69"/>
      <c r="U1" s="69"/>
      <c r="AD1" s="70"/>
      <c r="AE1" s="68"/>
      <c r="AF1" s="71"/>
      <c r="AG1" s="68"/>
      <c r="AH1" s="70"/>
      <c r="AI1" s="68"/>
      <c r="AJ1" s="72"/>
      <c r="AK1" s="68"/>
    </row>
    <row r="2" customFormat="false" ht="12.75" hidden="false" customHeight="false" outlineLevel="0" collapsed="false">
      <c r="A2" s="65" t="s">
        <v>35</v>
      </c>
      <c r="B2" s="73" t="s">
        <v>36</v>
      </c>
      <c r="C2" s="73" t="s">
        <v>37</v>
      </c>
      <c r="D2" s="74" t="s">
        <v>38</v>
      </c>
      <c r="E2" s="73" t="s">
        <v>39</v>
      </c>
      <c r="F2" s="73" t="s">
        <v>40</v>
      </c>
      <c r="G2" s="73" t="s">
        <v>41</v>
      </c>
      <c r="H2" s="75" t="s">
        <v>42</v>
      </c>
      <c r="I2" s="76" t="s">
        <v>43</v>
      </c>
      <c r="J2" s="77" t="s">
        <v>43</v>
      </c>
      <c r="K2" s="78" t="s">
        <v>44</v>
      </c>
      <c r="L2" s="68" t="e">
        <f aca="false">EURO(4.8361,3.75,0.0583,0.0583,0.1854,5000,0,0)</f>
        <v>#NAME?</v>
      </c>
      <c r="N2" s="79" t="e">
        <f aca="false">AP8</f>
        <v>#NAME?</v>
      </c>
      <c r="AO2" s="80"/>
      <c r="AP2" s="81"/>
    </row>
    <row r="3" customFormat="false" ht="13.5" hidden="false" customHeight="false" outlineLevel="0" collapsed="false">
      <c r="A3" s="82" t="n">
        <f aca="false">Summary!C3</f>
        <v>40179</v>
      </c>
      <c r="B3" s="83" t="n">
        <f aca="false">Summary!C4</f>
        <v>45657</v>
      </c>
      <c r="C3" s="84" t="n">
        <f aca="false">[1]!today</f>
        <v>37005</v>
      </c>
      <c r="D3" s="85" t="n">
        <f aca="false">C3</f>
        <v>37005</v>
      </c>
      <c r="E3" s="86" t="str">
        <f aca="false">CONCATENATE(INT(AB8/12)," Y - ",AB8-INT(AB8/12)*12," M")</f>
        <v>15 Y - 0 M</v>
      </c>
      <c r="F3" s="87" t="n">
        <v>2</v>
      </c>
      <c r="G3" s="87" t="n">
        <v>2</v>
      </c>
      <c r="H3" s="88" t="n">
        <v>1</v>
      </c>
      <c r="I3" s="88" t="s">
        <v>45</v>
      </c>
      <c r="J3" s="89" t="str">
        <f aca="false">I3</f>
        <v>Henry Hub</v>
      </c>
      <c r="K3" s="90" t="n">
        <v>0</v>
      </c>
      <c r="L3" s="91"/>
      <c r="M3" s="91"/>
      <c r="N3" s="91"/>
      <c r="O3" s="91"/>
      <c r="P3" s="92"/>
      <c r="Q3" s="91"/>
      <c r="R3" s="91"/>
      <c r="S3" s="92"/>
      <c r="T3" s="91"/>
      <c r="U3" s="91"/>
      <c r="AD3" s="68"/>
      <c r="AE3" s="68"/>
      <c r="AF3" s="68"/>
      <c r="AG3" s="68"/>
      <c r="AO3" s="93"/>
      <c r="AP3" s="94"/>
    </row>
    <row r="4" customFormat="false" ht="12.75" hidden="false" customHeight="false" outlineLevel="0" collapsed="false">
      <c r="A4" s="95"/>
      <c r="B4" s="95" t="s">
        <v>46</v>
      </c>
      <c r="C4" s="95" t="s">
        <v>46</v>
      </c>
      <c r="D4" s="95" t="s">
        <v>47</v>
      </c>
      <c r="E4" s="96" t="s">
        <v>48</v>
      </c>
      <c r="F4" s="95"/>
      <c r="G4" s="95"/>
      <c r="H4" s="96" t="s">
        <v>49</v>
      </c>
      <c r="I4" s="95" t="str">
        <f aca="false">I3</f>
        <v>Henry Hub</v>
      </c>
      <c r="J4" s="95" t="str">
        <f aca="false">I4</f>
        <v>Henry Hub</v>
      </c>
      <c r="K4" s="96"/>
      <c r="L4" s="97" t="str">
        <f aca="false">J3</f>
        <v>Henry Hub</v>
      </c>
      <c r="M4" s="97" t="str">
        <f aca="false">J3</f>
        <v>Henry Hub</v>
      </c>
      <c r="N4" s="98"/>
      <c r="O4" s="98"/>
      <c r="P4" s="92"/>
      <c r="Q4" s="96" t="s">
        <v>50</v>
      </c>
      <c r="R4" s="98" t="s">
        <v>51</v>
      </c>
      <c r="S4" s="92"/>
      <c r="T4" s="97"/>
      <c r="U4" s="98"/>
      <c r="W4" s="99"/>
      <c r="X4" s="99"/>
      <c r="Y4" s="99" t="s">
        <v>52</v>
      </c>
      <c r="Z4" s="96" t="s">
        <v>53</v>
      </c>
      <c r="AA4" s="99"/>
      <c r="AB4" s="99"/>
      <c r="AC4" s="99"/>
      <c r="AD4" s="100"/>
      <c r="AE4" s="100"/>
      <c r="AF4" s="100"/>
      <c r="AG4" s="100" t="str">
        <f aca="false">H4</f>
        <v>IF-HEHUB-D</v>
      </c>
      <c r="AH4" s="100" t="str">
        <f aca="false">I4</f>
        <v>Henry Hub</v>
      </c>
      <c r="AI4" s="100" t="str">
        <f aca="false">J4</f>
        <v>Henry Hub</v>
      </c>
      <c r="AJ4" s="100" t="n">
        <f aca="false">K4</f>
        <v>0</v>
      </c>
      <c r="AK4" s="100" t="str">
        <f aca="false">L4</f>
        <v>Henry Hub</v>
      </c>
      <c r="AL4" s="100" t="str">
        <f aca="false">M4</f>
        <v>Henry Hub</v>
      </c>
      <c r="AM4" s="92"/>
      <c r="AO4" s="101"/>
      <c r="AP4" s="102" t="s">
        <v>16</v>
      </c>
    </row>
    <row r="5" customFormat="false" ht="12.75" hidden="false" customHeight="false" outlineLevel="0" collapsed="false">
      <c r="A5" s="95" t="s">
        <v>54</v>
      </c>
      <c r="B5" s="95" t="str">
        <f aca="false">IF($H$3=1,"Daily","Monthly")</f>
        <v>Daily</v>
      </c>
      <c r="C5" s="95" t="s">
        <v>55</v>
      </c>
      <c r="D5" s="95" t="s">
        <v>55</v>
      </c>
      <c r="E5" s="95" t="s">
        <v>56</v>
      </c>
      <c r="F5" s="95" t="s">
        <v>56</v>
      </c>
      <c r="G5" s="95" t="s">
        <v>57</v>
      </c>
      <c r="H5" s="95" t="s">
        <v>32</v>
      </c>
      <c r="I5" s="95" t="s">
        <v>32</v>
      </c>
      <c r="J5" s="95" t="str">
        <f aca="false">I5</f>
        <v>Basis</v>
      </c>
      <c r="K5" s="95" t="s">
        <v>33</v>
      </c>
      <c r="L5" s="95" t="s">
        <v>33</v>
      </c>
      <c r="M5" s="95" t="s">
        <v>33</v>
      </c>
      <c r="N5" s="103" t="s">
        <v>16</v>
      </c>
      <c r="O5" s="103" t="s">
        <v>58</v>
      </c>
      <c r="P5" s="92"/>
      <c r="Q5" s="95" t="s">
        <v>51</v>
      </c>
      <c r="R5" s="103" t="s">
        <v>59</v>
      </c>
      <c r="S5" s="92"/>
      <c r="T5" s="95" t="s">
        <v>7</v>
      </c>
      <c r="U5" s="103" t="s">
        <v>60</v>
      </c>
      <c r="W5" s="104" t="s">
        <v>61</v>
      </c>
      <c r="X5" s="104" t="s">
        <v>62</v>
      </c>
      <c r="Y5" s="104" t="s">
        <v>62</v>
      </c>
      <c r="Z5" s="105" t="s">
        <v>63</v>
      </c>
      <c r="AA5" s="104" t="s">
        <v>62</v>
      </c>
      <c r="AB5" s="104" t="s">
        <v>64</v>
      </c>
      <c r="AC5" s="104" t="s">
        <v>64</v>
      </c>
      <c r="AD5" s="106" t="str">
        <f aca="false">E5</f>
        <v>Nymex</v>
      </c>
      <c r="AE5" s="106" t="str">
        <f aca="false">F5</f>
        <v>Nymex</v>
      </c>
      <c r="AF5" s="106" t="str">
        <f aca="false">G5</f>
        <v>Nymex </v>
      </c>
      <c r="AG5" s="106" t="str">
        <f aca="false">H5</f>
        <v>Basis</v>
      </c>
      <c r="AH5" s="106" t="str">
        <f aca="false">I5</f>
        <v>Basis</v>
      </c>
      <c r="AI5" s="106" t="str">
        <f aca="false">J5</f>
        <v>Basis</v>
      </c>
      <c r="AJ5" s="106" t="str">
        <f aca="false">K5</f>
        <v>Index</v>
      </c>
      <c r="AK5" s="106" t="str">
        <f aca="false">L5</f>
        <v>Index</v>
      </c>
      <c r="AL5" s="106" t="str">
        <f aca="false">M5</f>
        <v>Index</v>
      </c>
      <c r="AM5" s="92"/>
      <c r="AO5" s="101" t="s">
        <v>65</v>
      </c>
      <c r="AP5" s="102" t="s">
        <v>65</v>
      </c>
    </row>
    <row r="6" customFormat="false" ht="12.75" hidden="false" customHeight="false" outlineLevel="0" collapsed="false">
      <c r="A6" s="107" t="s">
        <v>66</v>
      </c>
      <c r="B6" s="107" t="s">
        <v>67</v>
      </c>
      <c r="C6" s="107" t="s">
        <v>67</v>
      </c>
      <c r="D6" s="107" t="s">
        <v>67</v>
      </c>
      <c r="E6" s="107" t="s">
        <v>68</v>
      </c>
      <c r="F6" s="107" t="s">
        <v>69</v>
      </c>
      <c r="G6" s="107" t="str">
        <f aca="false">IF(Summary!C7=0,"Bid","Offer")</f>
        <v>Bid</v>
      </c>
      <c r="H6" s="107" t="s">
        <v>68</v>
      </c>
      <c r="I6" s="107" t="s">
        <v>69</v>
      </c>
      <c r="J6" s="107" t="str">
        <f aca="false">G6</f>
        <v>Bid</v>
      </c>
      <c r="K6" s="107" t="s">
        <v>68</v>
      </c>
      <c r="L6" s="107" t="s">
        <v>69</v>
      </c>
      <c r="M6" s="107" t="str">
        <f aca="false">G6</f>
        <v>Bid</v>
      </c>
      <c r="N6" s="108" t="str">
        <f aca="false">G6</f>
        <v>Bid</v>
      </c>
      <c r="O6" s="108" t="s">
        <v>70</v>
      </c>
      <c r="P6" s="92"/>
      <c r="Q6" s="107" t="s">
        <v>59</v>
      </c>
      <c r="R6" s="108" t="str">
        <f aca="false">IF(Summary!C7=0,"OFFER","BID")</f>
        <v>OFFER</v>
      </c>
      <c r="S6" s="92"/>
      <c r="T6" s="107" t="s">
        <v>71</v>
      </c>
      <c r="U6" s="108" t="s">
        <v>72</v>
      </c>
      <c r="W6" s="109" t="s">
        <v>73</v>
      </c>
      <c r="X6" s="109" t="s">
        <v>74</v>
      </c>
      <c r="Y6" s="109" t="s">
        <v>73</v>
      </c>
      <c r="Z6" s="110" t="s">
        <v>75</v>
      </c>
      <c r="AA6" s="109" t="s">
        <v>76</v>
      </c>
      <c r="AB6" s="109" t="s">
        <v>77</v>
      </c>
      <c r="AC6" s="109" t="s">
        <v>73</v>
      </c>
      <c r="AD6" s="111" t="str">
        <f aca="false">E6</f>
        <v>Mid</v>
      </c>
      <c r="AE6" s="111" t="str">
        <f aca="false">F6</f>
        <v>Contract</v>
      </c>
      <c r="AF6" s="111" t="str">
        <f aca="false">G6</f>
        <v>Bid</v>
      </c>
      <c r="AG6" s="111" t="str">
        <f aca="false">H6</f>
        <v>Mid</v>
      </c>
      <c r="AH6" s="111" t="str">
        <f aca="false">I6</f>
        <v>Contract</v>
      </c>
      <c r="AI6" s="111" t="str">
        <f aca="false">J6</f>
        <v>Bid</v>
      </c>
      <c r="AJ6" s="111" t="str">
        <f aca="false">K6</f>
        <v>Mid</v>
      </c>
      <c r="AK6" s="111" t="str">
        <f aca="false">L6</f>
        <v>Contract</v>
      </c>
      <c r="AL6" s="111" t="str">
        <f aca="false">M6</f>
        <v>Bid</v>
      </c>
      <c r="AM6" s="92"/>
      <c r="AO6" s="101" t="s">
        <v>9</v>
      </c>
      <c r="AP6" s="102" t="s">
        <v>10</v>
      </c>
    </row>
    <row r="7" customFormat="false" ht="13.5" hidden="false" customHeight="false" outlineLevel="0" collapsed="false">
      <c r="A7" s="112"/>
      <c r="B7" s="112"/>
      <c r="E7" s="69"/>
      <c r="N7" s="113" t="n">
        <f aca="false">Summary!C23</f>
        <v>-0.29</v>
      </c>
      <c r="P7" s="62"/>
      <c r="S7" s="62"/>
      <c r="Y7" s="114"/>
      <c r="AO7" s="93"/>
      <c r="AP7" s="94"/>
    </row>
    <row r="8" customFormat="false" ht="13.5" hidden="false" customHeight="false" outlineLevel="0" collapsed="false">
      <c r="A8" s="115" t="s">
        <v>78</v>
      </c>
      <c r="B8" s="116" t="n">
        <f aca="false">C8/AC8</f>
        <v>205479</v>
      </c>
      <c r="C8" s="116" t="n">
        <f aca="false">SUM(C10:C300)</f>
        <v>1125819441</v>
      </c>
      <c r="D8" s="116" t="n">
        <f aca="false">SUM(D10:D300)</f>
        <v>415722355.751075</v>
      </c>
      <c r="E8" s="117" t="n">
        <f aca="false">SUMPRODUCT($D$10:$D$321,E10:E321)/SUM($D$10:$D$321)</f>
        <v>5.08880145180776</v>
      </c>
      <c r="F8" s="117" t="n">
        <f aca="false">SUMPRODUCT($D$10:$D$321,F10:F321)/SUM($D$10:$D$321)</f>
        <v>0</v>
      </c>
      <c r="G8" s="117" t="n">
        <f aca="false">SUMPRODUCT($D$10:$D$321,G10:G321)/SUM($D$10:$D$321)</f>
        <v>5.08880145180776</v>
      </c>
      <c r="H8" s="117" t="n">
        <f aca="false">SUMPRODUCT($D$10:$D$321,H10:H321)/SUM($D$10:$D$321)</f>
        <v>0</v>
      </c>
      <c r="I8" s="117" t="n">
        <f aca="false">SUMPRODUCT($D$10:$D$321,I10:I321)/SUM($D$10:$D$321)</f>
        <v>0</v>
      </c>
      <c r="J8" s="117" t="n">
        <f aca="false">SUMPRODUCT($D$10:$D$321,J10:J321)/SUM($D$10:$D$321)</f>
        <v>0</v>
      </c>
      <c r="K8" s="117" t="n">
        <f aca="false">SUMPRODUCT($D$10:$D$321,K10:K321)/SUM($D$10:$D$321)</f>
        <v>0</v>
      </c>
      <c r="L8" s="117" t="n">
        <f aca="false">SUMPRODUCT($D$10:$D$321,L10:L321)/SUM($D$10:$D$321)</f>
        <v>0</v>
      </c>
      <c r="M8" s="117" t="n">
        <f aca="false">SUMPRODUCT($D$10:$D$321,M10:M321)/SUM($D$10:$D$321)</f>
        <v>0</v>
      </c>
      <c r="N8" s="117" t="n">
        <f aca="false">SUMPRODUCT($D$10:$D$321,N10:N321)/SUM($D$10:$D$321)</f>
        <v>4.79880145180776</v>
      </c>
      <c r="O8" s="117" t="n">
        <f aca="false">SUMPRODUCT($D$10:$D$321,O10:O321)/SUM($D$10:$D$321)</f>
        <v>3</v>
      </c>
      <c r="P8" s="117"/>
      <c r="Q8" s="118" t="n">
        <f aca="false">SUMPRODUCT($D$10:$D$321,Q10:Q321)/SUM($D$10:$D$321)</f>
        <v>0.17282373311567</v>
      </c>
      <c r="R8" s="118" t="n">
        <f aca="false">SUMPRODUCT($D$10:$D$321,R10:R321)/SUM($D$10:$D$321)</f>
        <v>0.17282373311567</v>
      </c>
      <c r="S8" s="117"/>
      <c r="T8" s="117"/>
      <c r="U8" s="117"/>
      <c r="Z8" s="119"/>
      <c r="AB8" s="120" t="n">
        <f aca="false">SUM(AB10:AB300)</f>
        <v>180</v>
      </c>
      <c r="AC8" s="120" t="n">
        <f aca="false">SUM(AC10:AC300)</f>
        <v>5479</v>
      </c>
      <c r="AD8" s="121" t="n">
        <f aca="false">SUM(AD10:AD300)</f>
        <v>2115528527.49501</v>
      </c>
      <c r="AE8" s="121" t="n">
        <f aca="false">SUM(AE10:AE300)</f>
        <v>0</v>
      </c>
      <c r="AF8" s="121" t="n">
        <f aca="false">SUM(AF10:AF300)</f>
        <v>2115528527.49501</v>
      </c>
      <c r="AG8" s="121" t="n">
        <f aca="false">SUM(AG10:AG300)</f>
        <v>0</v>
      </c>
      <c r="AH8" s="121" t="n">
        <f aca="false">SUM(AH10:AH300)</f>
        <v>0</v>
      </c>
      <c r="AI8" s="121" t="n">
        <f aca="false">SUM(AI10:AI300)</f>
        <v>0</v>
      </c>
      <c r="AJ8" s="121" t="n">
        <f aca="false">SUM(AJ10:AJ300)</f>
        <v>0</v>
      </c>
      <c r="AK8" s="121" t="n">
        <f aca="false">SUM(AK10:AK300)</f>
        <v>0</v>
      </c>
      <c r="AL8" s="121" t="n">
        <f aca="false">SUM(AL10:AL300)</f>
        <v>0</v>
      </c>
      <c r="AM8" s="121"/>
      <c r="AO8" s="122" t="e">
        <f aca="false">AP8/C8</f>
        <v>#NAME?</v>
      </c>
      <c r="AP8" s="123" t="e">
        <f aca="false">SUM(AP10:AP366)</f>
        <v>#NAME?</v>
      </c>
      <c r="AQ8" s="60" t="e">
        <f aca="false">SUMPRODUCT($C$10:$C$321,AQ10:AQ321)/SUM($C$10:$C$321)</f>
        <v>#NAME?</v>
      </c>
    </row>
    <row r="9" customFormat="false" ht="12.75" hidden="false" customHeight="false" outlineLevel="0" collapsed="false">
      <c r="B9" s="79"/>
      <c r="C9" s="79"/>
      <c r="D9" s="79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AD9" s="121"/>
      <c r="AE9" s="121"/>
      <c r="AF9" s="121"/>
      <c r="AG9" s="121"/>
      <c r="AH9" s="121"/>
      <c r="AI9" s="121"/>
      <c r="AJ9" s="121"/>
      <c r="AK9" s="121"/>
      <c r="AL9" s="121"/>
      <c r="AM9" s="125"/>
      <c r="AO9" s="93"/>
      <c r="AP9" s="126"/>
    </row>
    <row r="10" customFormat="false" ht="12.75" hidden="false" customHeight="false" outlineLevel="0" collapsed="false">
      <c r="A10" s="127" t="n">
        <f aca="false">mthbeg</f>
        <v>40179</v>
      </c>
      <c r="B10" s="128" t="n">
        <f aca="false">Summary!C5</f>
        <v>205479</v>
      </c>
      <c r="C10" s="116" t="n">
        <f aca="false">IF(AB10=0,0,IF(AND(AB10=1,$H$3=1),B10*W10,IF($H$3=2,B10,"N/A")))</f>
        <v>6369849</v>
      </c>
      <c r="D10" s="116" t="n">
        <f aca="false">C10*AA10</f>
        <v>3792207.63314213</v>
      </c>
      <c r="E10" s="129" t="n">
        <f aca="false">VLOOKUP($A10,[1]!CurveTable,MATCH($E$4,[1]!CurveType,0))</f>
        <v>4.785</v>
      </c>
      <c r="F10" s="130"/>
      <c r="G10" s="131" t="n">
        <f aca="false">E10</f>
        <v>4.785</v>
      </c>
      <c r="H10" s="129" t="n">
        <f aca="false">VLOOKUP($A10,[1]!CurveTable,MATCH($H$4,[1]!CurveType,0))</f>
        <v>0</v>
      </c>
      <c r="I10" s="131"/>
      <c r="J10" s="131" t="n">
        <f aca="false">H10</f>
        <v>0</v>
      </c>
      <c r="K10" s="129"/>
      <c r="L10" s="131"/>
      <c r="M10" s="131"/>
      <c r="N10" s="131" t="n">
        <f aca="false">G10+J10+M10+$N$7</f>
        <v>4.495</v>
      </c>
      <c r="O10" s="131" t="n">
        <f aca="false">Summary!E14</f>
        <v>3</v>
      </c>
      <c r="P10" s="131"/>
      <c r="Q10" s="129" t="n">
        <f aca="false">VLOOKUP($A10,[1]!CurveTable,MATCH($Q$4,[1]!CurveType,0))</f>
        <v>0.193</v>
      </c>
      <c r="R10" s="129" t="n">
        <f aca="false">Q10+Summary!C$25</f>
        <v>0.193</v>
      </c>
      <c r="S10" s="129"/>
      <c r="T10" s="132" t="n">
        <f aca="false">X10</f>
        <v>40179</v>
      </c>
      <c r="U10" s="133" t="n">
        <f aca="false">T10-$C$3</f>
        <v>3174</v>
      </c>
      <c r="V10" s="134"/>
      <c r="W10" s="61" t="n">
        <f aca="false">A11-A10</f>
        <v>31</v>
      </c>
      <c r="X10" s="135" t="n">
        <f aca="false">CHOOSE(F$3,A11+24,A10)</f>
        <v>40179</v>
      </c>
      <c r="Y10" s="61" t="n">
        <f aca="false">X10-C$3</f>
        <v>3174</v>
      </c>
      <c r="Z10" s="136" t="n">
        <f aca="false">VLOOKUP($A10,[1]!CurveTable,MATCH($Z$4,[1]!CurveType,0))</f>
        <v>0.0605807599923862</v>
      </c>
      <c r="AA10" s="137" t="n">
        <f aca="false">1/(1+CHOOSE(F$3,(Z11+($K$3/10000))/2,(Z10+($K$3/10000))/2))^(2*Y10/365.25)</f>
        <v>0.595337131718842</v>
      </c>
      <c r="AB10" s="61" t="n">
        <f aca="false">IF(AND(mthbeg&lt;=A10,mthend&gt;=A10),1,0)</f>
        <v>1</v>
      </c>
      <c r="AC10" s="61" t="n">
        <f aca="false">W10*AB10</f>
        <v>31</v>
      </c>
      <c r="AD10" s="121" t="n">
        <f aca="false">$D10*E10</f>
        <v>18145713.5245851</v>
      </c>
      <c r="AE10" s="121" t="n">
        <f aca="false">$D10*F10</f>
        <v>0</v>
      </c>
      <c r="AF10" s="121" t="n">
        <f aca="false">$D10*G10</f>
        <v>18145713.5245851</v>
      </c>
      <c r="AG10" s="121" t="n">
        <f aca="false">$D10*H10</f>
        <v>0</v>
      </c>
      <c r="AH10" s="121" t="n">
        <f aca="false">$D10*I10</f>
        <v>0</v>
      </c>
      <c r="AI10" s="121" t="n">
        <f aca="false">$D10*J10</f>
        <v>0</v>
      </c>
      <c r="AJ10" s="121" t="n">
        <f aca="false">$D10*K10</f>
        <v>0</v>
      </c>
      <c r="AK10" s="121" t="n">
        <f aca="false">$D10*L10</f>
        <v>0</v>
      </c>
      <c r="AL10" s="121" t="n">
        <f aca="false">$D10*M10</f>
        <v>0</v>
      </c>
      <c r="AM10" s="125"/>
      <c r="AO10" s="75" t="e">
        <f aca="false">EURO(N10,O10,Z10,Z10,R10,U10,0,0)</f>
        <v>#NAME?</v>
      </c>
      <c r="AP10" s="138" t="e">
        <f aca="false">AO10*C10</f>
        <v>#NAME?</v>
      </c>
      <c r="AQ10" s="60" t="e">
        <f aca="false">-EURO(N10,O10,Z10,Z10,R10,U10,0,1)</f>
        <v>#NAME?</v>
      </c>
    </row>
    <row r="11" customFormat="false" ht="12.75" hidden="false" customHeight="false" outlineLevel="0" collapsed="false">
      <c r="A11" s="127" t="n">
        <f aca="false">EDATE(A10,1)</f>
        <v>40210</v>
      </c>
      <c r="B11" s="128" t="n">
        <f aca="false">B10</f>
        <v>205479</v>
      </c>
      <c r="C11" s="116" t="n">
        <f aca="false">IF(AB11=0,0,IF(AND(AB11=1,$H$3=1),B11*W11,IF($H$3=2,B11,"N/A")))</f>
        <v>5753412</v>
      </c>
      <c r="D11" s="116" t="n">
        <f aca="false">C11*AA11</f>
        <v>3404940.24133818</v>
      </c>
      <c r="E11" s="129" t="n">
        <f aca="false">VLOOKUP($A11,[1]!CurveTable,MATCH($E$4,[1]!CurveType,0))</f>
        <v>4.665</v>
      </c>
      <c r="F11" s="130"/>
      <c r="G11" s="131" t="n">
        <f aca="false">E11</f>
        <v>4.665</v>
      </c>
      <c r="H11" s="129" t="n">
        <f aca="false">VLOOKUP($A11,[1]!CurveTable,MATCH($H$4,[1]!CurveType,0))</f>
        <v>0</v>
      </c>
      <c r="I11" s="131"/>
      <c r="J11" s="131" t="n">
        <f aca="false">H11</f>
        <v>0</v>
      </c>
      <c r="K11" s="129"/>
      <c r="L11" s="131"/>
      <c r="M11" s="131"/>
      <c r="N11" s="131" t="n">
        <f aca="false">G11+J11+M11+$N$7</f>
        <v>4.375</v>
      </c>
      <c r="O11" s="131" t="n">
        <f aca="false">O10</f>
        <v>3</v>
      </c>
      <c r="P11" s="131"/>
      <c r="Q11" s="129" t="n">
        <f aca="false">VLOOKUP($A11,[1]!CurveTable,MATCH($Q$4,[1]!CurveType,0))</f>
        <v>0.188</v>
      </c>
      <c r="R11" s="129" t="n">
        <f aca="false">Q11+Summary!C$25</f>
        <v>0.188</v>
      </c>
      <c r="S11" s="129"/>
      <c r="T11" s="132" t="n">
        <f aca="false">X11</f>
        <v>40210</v>
      </c>
      <c r="U11" s="133" t="n">
        <f aca="false">T11-$C$3</f>
        <v>3205</v>
      </c>
      <c r="V11" s="134"/>
      <c r="W11" s="61" t="n">
        <f aca="false">A12-A11</f>
        <v>28</v>
      </c>
      <c r="X11" s="135" t="n">
        <f aca="false">CHOOSE(F$3,A12+24,A11)</f>
        <v>40210</v>
      </c>
      <c r="Y11" s="61" t="n">
        <f aca="false">X11-C$3</f>
        <v>3205</v>
      </c>
      <c r="Z11" s="136" t="n">
        <f aca="false">VLOOKUP($A11,[1]!CurveTable,MATCH($Z$4,[1]!CurveType,0))</f>
        <v>0.0606832531831456</v>
      </c>
      <c r="AA11" s="137" t="n">
        <f aca="false">1/(1+CHOOSE(F$3,(Z12+($K$3/10000))/2,(Z11+($K$3/10000))/2))^(2*Y11/365.25)</f>
        <v>0.59181234393403</v>
      </c>
      <c r="AB11" s="61" t="n">
        <f aca="false">IF(AND(mthbeg&lt;=A11,mthend&gt;=A11),1,0)</f>
        <v>1</v>
      </c>
      <c r="AC11" s="61" t="n">
        <f aca="false">W11*AB11</f>
        <v>28</v>
      </c>
      <c r="AD11" s="121" t="n">
        <f aca="false">$D11*E11</f>
        <v>15884046.2258426</v>
      </c>
      <c r="AE11" s="121" t="n">
        <f aca="false">$D11*F11</f>
        <v>0</v>
      </c>
      <c r="AF11" s="121" t="n">
        <f aca="false">$D11*G11</f>
        <v>15884046.2258426</v>
      </c>
      <c r="AG11" s="121" t="n">
        <f aca="false">$D11*H11</f>
        <v>0</v>
      </c>
      <c r="AH11" s="121" t="n">
        <f aca="false">$D11*I11</f>
        <v>0</v>
      </c>
      <c r="AI11" s="121" t="n">
        <f aca="false">$D11*J11</f>
        <v>0</v>
      </c>
      <c r="AJ11" s="121" t="n">
        <f aca="false">$D11*K11</f>
        <v>0</v>
      </c>
      <c r="AK11" s="121" t="n">
        <f aca="false">$D11*L11</f>
        <v>0</v>
      </c>
      <c r="AL11" s="121" t="n">
        <f aca="false">$D11*M11</f>
        <v>0</v>
      </c>
      <c r="AM11" s="125"/>
      <c r="AO11" s="75" t="e">
        <f aca="false">EURO(N11,O11,Z11,Z11,R11,U11,0,0)</f>
        <v>#NAME?</v>
      </c>
      <c r="AP11" s="138" t="e">
        <f aca="false">AO11*C11</f>
        <v>#NAME?</v>
      </c>
      <c r="AQ11" s="60" t="e">
        <f aca="false">-EURO(N11,O11,Z11,Z11,R11,U11,0,1)</f>
        <v>#NAME?</v>
      </c>
    </row>
    <row r="12" customFormat="false" ht="12.75" hidden="false" customHeight="false" outlineLevel="0" collapsed="false">
      <c r="A12" s="127" t="n">
        <f aca="false">EDATE(A11,1)</f>
        <v>40238</v>
      </c>
      <c r="B12" s="128" t="n">
        <f aca="false">B11</f>
        <v>205479</v>
      </c>
      <c r="C12" s="116" t="n">
        <f aca="false">IF(AB12=0,0,IF(AND(AB12=1,$H$3=1),B12*W12,IF($H$3=2,B12,"N/A")))</f>
        <v>6369849</v>
      </c>
      <c r="D12" s="116" t="n">
        <f aca="false">C12*AA12</f>
        <v>3749535.71172594</v>
      </c>
      <c r="E12" s="129" t="n">
        <f aca="false">VLOOKUP($A12,[1]!CurveTable,MATCH($E$4,[1]!CurveType,0))</f>
        <v>4.526</v>
      </c>
      <c r="F12" s="130"/>
      <c r="G12" s="131" t="n">
        <f aca="false">E12</f>
        <v>4.526</v>
      </c>
      <c r="H12" s="129" t="n">
        <f aca="false">VLOOKUP($A12,[1]!CurveTable,MATCH($H$4,[1]!CurveType,0))</f>
        <v>0</v>
      </c>
      <c r="I12" s="131"/>
      <c r="J12" s="131" t="n">
        <f aca="false">H12</f>
        <v>0</v>
      </c>
      <c r="K12" s="129"/>
      <c r="L12" s="131"/>
      <c r="M12" s="131"/>
      <c r="N12" s="131" t="n">
        <f aca="false">G12+J12+M12+$N$7</f>
        <v>4.236</v>
      </c>
      <c r="O12" s="131" t="n">
        <f aca="false">O11</f>
        <v>3</v>
      </c>
      <c r="P12" s="131"/>
      <c r="Q12" s="129" t="n">
        <f aca="false">VLOOKUP($A12,[1]!CurveTable,MATCH($Q$4,[1]!CurveType,0))</f>
        <v>0.185</v>
      </c>
      <c r="R12" s="129" t="n">
        <f aca="false">Q12+Summary!C$25</f>
        <v>0.185</v>
      </c>
      <c r="S12" s="129"/>
      <c r="T12" s="132" t="n">
        <f aca="false">X12</f>
        <v>40238</v>
      </c>
      <c r="U12" s="133" t="n">
        <f aca="false">T12-$C$3</f>
        <v>3233</v>
      </c>
      <c r="V12" s="134"/>
      <c r="W12" s="61" t="n">
        <f aca="false">A13-A12</f>
        <v>31</v>
      </c>
      <c r="X12" s="135" t="n">
        <f aca="false">CHOOSE(F$3,A13+24,A12)</f>
        <v>40238</v>
      </c>
      <c r="Y12" s="61" t="n">
        <f aca="false">X12-C$3</f>
        <v>3233</v>
      </c>
      <c r="Z12" s="136" t="n">
        <f aca="false">VLOOKUP($A12,[1]!CurveTable,MATCH($Z$4,[1]!CurveType,0))</f>
        <v>0.0607758276810242</v>
      </c>
      <c r="AA12" s="137" t="n">
        <f aca="false">1/(1+CHOOSE(F$3,(Z13+($K$3/10000))/2,(Z12+($K$3/10000))/2))^(2*Y12/365.25)</f>
        <v>0.58863808415646</v>
      </c>
      <c r="AB12" s="61" t="n">
        <f aca="false">IF(AND(mthbeg&lt;=A12,mthend&gt;=A12),1,0)</f>
        <v>1</v>
      </c>
      <c r="AC12" s="61" t="n">
        <f aca="false">W12*AB12</f>
        <v>31</v>
      </c>
      <c r="AD12" s="121" t="n">
        <f aca="false">$D12*E12</f>
        <v>16970398.6312716</v>
      </c>
      <c r="AE12" s="121" t="n">
        <f aca="false">$D12*F12</f>
        <v>0</v>
      </c>
      <c r="AF12" s="121" t="n">
        <f aca="false">$D12*G12</f>
        <v>16970398.6312716</v>
      </c>
      <c r="AG12" s="121" t="n">
        <f aca="false">$D12*H12</f>
        <v>0</v>
      </c>
      <c r="AH12" s="121" t="n">
        <f aca="false">$D12*I12</f>
        <v>0</v>
      </c>
      <c r="AI12" s="121" t="n">
        <f aca="false">$D12*J12</f>
        <v>0</v>
      </c>
      <c r="AJ12" s="121" t="n">
        <f aca="false">$D12*K12</f>
        <v>0</v>
      </c>
      <c r="AK12" s="121" t="n">
        <f aca="false">$D12*L12</f>
        <v>0</v>
      </c>
      <c r="AL12" s="121" t="n">
        <f aca="false">$D12*M12</f>
        <v>0</v>
      </c>
      <c r="AM12" s="125"/>
      <c r="AO12" s="75" t="e">
        <f aca="false">EURO(N12,O12,Z12,Z12,R12,U12,0,0)</f>
        <v>#NAME?</v>
      </c>
      <c r="AP12" s="138" t="e">
        <f aca="false">AO12*C12</f>
        <v>#NAME?</v>
      </c>
      <c r="AQ12" s="60" t="e">
        <f aca="false">-EURO(N12,O12,Z12,Z12,R12,U12,0,1)</f>
        <v>#NAME?</v>
      </c>
    </row>
    <row r="13" customFormat="false" ht="12.75" hidden="false" customHeight="false" outlineLevel="0" collapsed="false">
      <c r="A13" s="127" t="n">
        <f aca="false">EDATE(A12,1)</f>
        <v>40269</v>
      </c>
      <c r="B13" s="128" t="n">
        <f aca="false">B12</f>
        <v>205479</v>
      </c>
      <c r="C13" s="116" t="n">
        <f aca="false">IF(AB13=0,0,IF(AND(AB13=1,$H$3=1),B13*W13,IF($H$3=2,B13,"N/A")))</f>
        <v>6164370</v>
      </c>
      <c r="D13" s="116" t="n">
        <f aca="false">C13*AA13</f>
        <v>3606983.72893033</v>
      </c>
      <c r="E13" s="129" t="n">
        <f aca="false">VLOOKUP($A13,[1]!CurveTable,MATCH($E$4,[1]!CurveType,0))</f>
        <v>4.356</v>
      </c>
      <c r="F13" s="130"/>
      <c r="G13" s="131" t="n">
        <f aca="false">E13</f>
        <v>4.356</v>
      </c>
      <c r="H13" s="129" t="n">
        <f aca="false">VLOOKUP($A13,[1]!CurveTable,MATCH($H$4,[1]!CurveType,0))</f>
        <v>0</v>
      </c>
      <c r="I13" s="131"/>
      <c r="J13" s="131" t="n">
        <f aca="false">H13</f>
        <v>0</v>
      </c>
      <c r="K13" s="129"/>
      <c r="L13" s="131"/>
      <c r="M13" s="131"/>
      <c r="N13" s="131" t="n">
        <f aca="false">G13+J13+M13+$N$7</f>
        <v>4.066</v>
      </c>
      <c r="O13" s="131" t="n">
        <f aca="false">O12</f>
        <v>3</v>
      </c>
      <c r="P13" s="131"/>
      <c r="Q13" s="129" t="n">
        <f aca="false">VLOOKUP($A13,[1]!CurveTable,MATCH($Q$4,[1]!CurveType,0))</f>
        <v>0.185</v>
      </c>
      <c r="R13" s="129" t="n">
        <f aca="false">Q13+Summary!C$25</f>
        <v>0.185</v>
      </c>
      <c r="S13" s="129"/>
      <c r="T13" s="132" t="n">
        <f aca="false">X13</f>
        <v>40269</v>
      </c>
      <c r="U13" s="133" t="n">
        <f aca="false">T13-$C$3</f>
        <v>3264</v>
      </c>
      <c r="V13" s="134"/>
      <c r="W13" s="61" t="n">
        <f aca="false">A14-A13</f>
        <v>30</v>
      </c>
      <c r="X13" s="135" t="n">
        <f aca="false">CHOOSE(F$3,A14+24,A13)</f>
        <v>40269</v>
      </c>
      <c r="Y13" s="61" t="n">
        <f aca="false">X13-C$3</f>
        <v>3264</v>
      </c>
      <c r="Z13" s="136" t="n">
        <f aca="false">VLOOKUP($A13,[1]!CurveTable,MATCH($Z$4,[1]!CurveType,0))</f>
        <v>0.060878320878424</v>
      </c>
      <c r="AA13" s="137" t="n">
        <f aca="false">1/(1+CHOOSE(F$3,(Z14+($K$3/10000))/2,(Z13+($K$3/10000))/2))^(2*Y13/365.25)</f>
        <v>0.585134203321723</v>
      </c>
      <c r="AB13" s="61" t="n">
        <f aca="false">IF(AND(mthbeg&lt;=A13,mthend&gt;=A13),1,0)</f>
        <v>1</v>
      </c>
      <c r="AC13" s="61" t="n">
        <f aca="false">W13*AB13</f>
        <v>30</v>
      </c>
      <c r="AD13" s="121" t="n">
        <f aca="false">$D13*E13</f>
        <v>15712021.1232205</v>
      </c>
      <c r="AE13" s="121" t="n">
        <f aca="false">$D13*F13</f>
        <v>0</v>
      </c>
      <c r="AF13" s="121" t="n">
        <f aca="false">$D13*G13</f>
        <v>15712021.1232205</v>
      </c>
      <c r="AG13" s="121" t="n">
        <f aca="false">$D13*H13</f>
        <v>0</v>
      </c>
      <c r="AH13" s="121" t="n">
        <f aca="false">$D13*I13</f>
        <v>0</v>
      </c>
      <c r="AI13" s="121" t="n">
        <f aca="false">$D13*J13</f>
        <v>0</v>
      </c>
      <c r="AJ13" s="121" t="n">
        <f aca="false">$D13*K13</f>
        <v>0</v>
      </c>
      <c r="AK13" s="121" t="n">
        <f aca="false">$D13*L13</f>
        <v>0</v>
      </c>
      <c r="AL13" s="121" t="n">
        <f aca="false">$D13*M13</f>
        <v>0</v>
      </c>
      <c r="AM13" s="125"/>
      <c r="AO13" s="75" t="e">
        <f aca="false">EURO(N13,O13,Z13,Z13,R13,U13,0,0)</f>
        <v>#NAME?</v>
      </c>
      <c r="AP13" s="138" t="e">
        <f aca="false">AO13*C13</f>
        <v>#NAME?</v>
      </c>
      <c r="AQ13" s="60" t="e">
        <f aca="false">-EURO(N13,O13,Z13,Z13,R13,U13,0,1)</f>
        <v>#NAME?</v>
      </c>
    </row>
    <row r="14" customFormat="false" ht="12.75" hidden="false" customHeight="false" outlineLevel="0" collapsed="false">
      <c r="A14" s="127" t="n">
        <f aca="false">EDATE(A13,1)</f>
        <v>40299</v>
      </c>
      <c r="B14" s="128" t="n">
        <f aca="false">B13</f>
        <v>205479</v>
      </c>
      <c r="C14" s="116" t="n">
        <f aca="false">IF(AB14=0,0,IF(AND(AB14=1,$H$3=1),B14*W14,IF($H$3=2,B14,"N/A")))</f>
        <v>6369849</v>
      </c>
      <c r="D14" s="116" t="n">
        <f aca="false">C14*AA14</f>
        <v>3705684.38980243</v>
      </c>
      <c r="E14" s="129" t="n">
        <f aca="false">VLOOKUP($A14,[1]!CurveTable,MATCH($E$4,[1]!CurveType,0))</f>
        <v>4.415</v>
      </c>
      <c r="F14" s="130"/>
      <c r="G14" s="131" t="n">
        <f aca="false">E14</f>
        <v>4.415</v>
      </c>
      <c r="H14" s="129" t="n">
        <f aca="false">VLOOKUP($A14,[1]!CurveTable,MATCH($H$4,[1]!CurveType,0))</f>
        <v>0</v>
      </c>
      <c r="I14" s="131"/>
      <c r="J14" s="131" t="n">
        <f aca="false">H14</f>
        <v>0</v>
      </c>
      <c r="K14" s="129"/>
      <c r="L14" s="131"/>
      <c r="M14" s="131"/>
      <c r="N14" s="131" t="n">
        <f aca="false">G14+J14+M14+$N$7</f>
        <v>4.125</v>
      </c>
      <c r="O14" s="131" t="n">
        <f aca="false">O13</f>
        <v>3</v>
      </c>
      <c r="P14" s="131"/>
      <c r="Q14" s="129" t="n">
        <f aca="false">VLOOKUP($A14,[1]!CurveTable,MATCH($Q$4,[1]!CurveType,0))</f>
        <v>0.185</v>
      </c>
      <c r="R14" s="129" t="n">
        <f aca="false">Q14+Summary!C$25</f>
        <v>0.185</v>
      </c>
      <c r="S14" s="129"/>
      <c r="T14" s="132" t="n">
        <f aca="false">X14</f>
        <v>40299</v>
      </c>
      <c r="U14" s="133" t="n">
        <f aca="false">T14-$C$3</f>
        <v>3294</v>
      </c>
      <c r="V14" s="134"/>
      <c r="W14" s="61" t="n">
        <f aca="false">A15-A14</f>
        <v>31</v>
      </c>
      <c r="X14" s="135" t="n">
        <f aca="false">CHOOSE(F$3,A15+24,A14)</f>
        <v>40299</v>
      </c>
      <c r="Y14" s="61" t="n">
        <f aca="false">X14-C$3</f>
        <v>3294</v>
      </c>
      <c r="Z14" s="136" t="n">
        <f aca="false">VLOOKUP($A14,[1]!CurveTable,MATCH($Z$4,[1]!CurveType,0))</f>
        <v>0.0609775078469714</v>
      </c>
      <c r="AA14" s="137" t="n">
        <f aca="false">1/(1+CHOOSE(F$3,(Z15+($K$3/10000))/2,(Z14+($K$3/10000))/2))^(2*Y14/365.25)</f>
        <v>0.581753882988817</v>
      </c>
      <c r="AB14" s="61" t="n">
        <f aca="false">IF(AND(mthbeg&lt;=A14,mthend&gt;=A14),1,0)</f>
        <v>1</v>
      </c>
      <c r="AC14" s="61" t="n">
        <f aca="false">W14*AB14</f>
        <v>31</v>
      </c>
      <c r="AD14" s="121" t="n">
        <f aca="false">$D14*E14</f>
        <v>16360596.5809778</v>
      </c>
      <c r="AE14" s="121" t="n">
        <f aca="false">$D14*F14</f>
        <v>0</v>
      </c>
      <c r="AF14" s="121" t="n">
        <f aca="false">$D14*G14</f>
        <v>16360596.5809778</v>
      </c>
      <c r="AG14" s="121" t="n">
        <f aca="false">$D14*H14</f>
        <v>0</v>
      </c>
      <c r="AH14" s="121" t="n">
        <f aca="false">$D14*I14</f>
        <v>0</v>
      </c>
      <c r="AI14" s="121" t="n">
        <f aca="false">$D14*J14</f>
        <v>0</v>
      </c>
      <c r="AJ14" s="121" t="n">
        <f aca="false">$D14*K14</f>
        <v>0</v>
      </c>
      <c r="AK14" s="121" t="n">
        <f aca="false">$D14*L14</f>
        <v>0</v>
      </c>
      <c r="AL14" s="121" t="n">
        <f aca="false">$D14*M14</f>
        <v>0</v>
      </c>
      <c r="AM14" s="125"/>
      <c r="AO14" s="75" t="e">
        <f aca="false">EURO(N14,O14,Z14,Z14,R14,U14,0,0)</f>
        <v>#NAME?</v>
      </c>
      <c r="AP14" s="138" t="e">
        <f aca="false">AO14*C14</f>
        <v>#NAME?</v>
      </c>
      <c r="AQ14" s="60" t="e">
        <f aca="false">-EURO(N14,O14,Z14,Z14,R14,U14,0,1)</f>
        <v>#NAME?</v>
      </c>
    </row>
    <row r="15" customFormat="false" ht="12.75" hidden="false" customHeight="false" outlineLevel="0" collapsed="false">
      <c r="A15" s="127" t="n">
        <f aca="false">EDATE(A14,1)</f>
        <v>40330</v>
      </c>
      <c r="B15" s="128" t="n">
        <f aca="false">B14</f>
        <v>205479</v>
      </c>
      <c r="C15" s="116" t="n">
        <f aca="false">IF(AB15=0,0,IF(AND(AB15=1,$H$3=1),B15*W15,IF($H$3=2,B15,"N/A")))</f>
        <v>6164370</v>
      </c>
      <c r="D15" s="116" t="n">
        <f aca="false">C15*AA15</f>
        <v>3564681.45332932</v>
      </c>
      <c r="E15" s="129" t="n">
        <f aca="false">VLOOKUP($A15,[1]!CurveTable,MATCH($E$4,[1]!CurveType,0))</f>
        <v>4.455</v>
      </c>
      <c r="F15" s="130"/>
      <c r="G15" s="131" t="n">
        <f aca="false">E15</f>
        <v>4.455</v>
      </c>
      <c r="H15" s="129" t="n">
        <f aca="false">VLOOKUP($A15,[1]!CurveTable,MATCH($H$4,[1]!CurveType,0))</f>
        <v>0</v>
      </c>
      <c r="I15" s="131"/>
      <c r="J15" s="131" t="n">
        <f aca="false">H15</f>
        <v>0</v>
      </c>
      <c r="K15" s="129"/>
      <c r="L15" s="131"/>
      <c r="M15" s="131"/>
      <c r="N15" s="131" t="n">
        <f aca="false">G15+J15+M15+$N$7</f>
        <v>4.165</v>
      </c>
      <c r="O15" s="131" t="n">
        <f aca="false">O14</f>
        <v>3</v>
      </c>
      <c r="P15" s="131"/>
      <c r="Q15" s="129" t="n">
        <f aca="false">VLOOKUP($A15,[1]!CurveTable,MATCH($Q$4,[1]!CurveType,0))</f>
        <v>0.185</v>
      </c>
      <c r="R15" s="129" t="n">
        <f aca="false">Q15+Summary!C$25</f>
        <v>0.185</v>
      </c>
      <c r="S15" s="129"/>
      <c r="T15" s="132" t="n">
        <f aca="false">X15</f>
        <v>40330</v>
      </c>
      <c r="U15" s="133" t="n">
        <f aca="false">T15-$C$3</f>
        <v>3325</v>
      </c>
      <c r="V15" s="134"/>
      <c r="W15" s="61" t="n">
        <f aca="false">A16-A15</f>
        <v>30</v>
      </c>
      <c r="X15" s="135" t="n">
        <f aca="false">CHOOSE(F$3,A16+24,A15)</f>
        <v>40330</v>
      </c>
      <c r="Y15" s="61" t="n">
        <f aca="false">X15-C$3</f>
        <v>3325</v>
      </c>
      <c r="Z15" s="136" t="n">
        <f aca="false">VLOOKUP($A15,[1]!CurveTable,MATCH($Z$4,[1]!CurveType,0))</f>
        <v>0.0610800010512365</v>
      </c>
      <c r="AA15" s="137" t="n">
        <f aca="false">1/(1+CHOOSE(F$3,(Z16+($K$3/10000))/2,(Z15+($K$3/10000))/2))^(2*Y15/365.25)</f>
        <v>0.578271819071425</v>
      </c>
      <c r="AB15" s="61" t="n">
        <f aca="false">IF(AND(mthbeg&lt;=A15,mthend&gt;=A15),1,0)</f>
        <v>1</v>
      </c>
      <c r="AC15" s="61" t="n">
        <f aca="false">W15*AB15</f>
        <v>30</v>
      </c>
      <c r="AD15" s="121" t="n">
        <f aca="false">$D15*E15</f>
        <v>15880655.8745821</v>
      </c>
      <c r="AE15" s="121" t="n">
        <f aca="false">$D15*F15</f>
        <v>0</v>
      </c>
      <c r="AF15" s="121" t="n">
        <f aca="false">$D15*G15</f>
        <v>15880655.8745821</v>
      </c>
      <c r="AG15" s="121" t="n">
        <f aca="false">$D15*H15</f>
        <v>0</v>
      </c>
      <c r="AH15" s="121" t="n">
        <f aca="false">$D15*I15</f>
        <v>0</v>
      </c>
      <c r="AI15" s="121" t="n">
        <f aca="false">$D15*J15</f>
        <v>0</v>
      </c>
      <c r="AJ15" s="121" t="n">
        <f aca="false">$D15*K15</f>
        <v>0</v>
      </c>
      <c r="AK15" s="121" t="n">
        <f aca="false">$D15*L15</f>
        <v>0</v>
      </c>
      <c r="AL15" s="121" t="n">
        <f aca="false">$D15*M15</f>
        <v>0</v>
      </c>
      <c r="AM15" s="125"/>
      <c r="AO15" s="75" t="e">
        <f aca="false">EURO(N15,O15,Z15,Z15,R15,U15,0,0)</f>
        <v>#NAME?</v>
      </c>
      <c r="AP15" s="138" t="e">
        <f aca="false">AO15*C15</f>
        <v>#NAME?</v>
      </c>
      <c r="AQ15" s="60" t="e">
        <f aca="false">-EURO(N15,O15,Z15,Z15,R15,U15,0,1)</f>
        <v>#NAME?</v>
      </c>
    </row>
    <row r="16" customFormat="false" ht="12.75" hidden="false" customHeight="false" outlineLevel="0" collapsed="false">
      <c r="A16" s="127" t="n">
        <f aca="false">EDATE(A15,1)</f>
        <v>40360</v>
      </c>
      <c r="B16" s="128" t="n">
        <f aca="false">B15</f>
        <v>205479</v>
      </c>
      <c r="C16" s="116" t="n">
        <f aca="false">IF(AB16=0,0,IF(AND(AB16=1,$H$3=1),B16*W16,IF($H$3=2,B16,"N/A")))</f>
        <v>6369849</v>
      </c>
      <c r="D16" s="116" t="n">
        <f aca="false">C16*AA16</f>
        <v>3662107.14121426</v>
      </c>
      <c r="E16" s="129" t="n">
        <f aca="false">VLOOKUP($A16,[1]!CurveTable,MATCH($E$4,[1]!CurveType,0))</f>
        <v>4.5</v>
      </c>
      <c r="F16" s="130"/>
      <c r="G16" s="131" t="n">
        <f aca="false">E16</f>
        <v>4.5</v>
      </c>
      <c r="H16" s="129" t="n">
        <f aca="false">VLOOKUP($A16,[1]!CurveTable,MATCH($H$4,[1]!CurveType,0))</f>
        <v>0</v>
      </c>
      <c r="I16" s="131"/>
      <c r="J16" s="131" t="n">
        <f aca="false">H16</f>
        <v>0</v>
      </c>
      <c r="K16" s="129"/>
      <c r="L16" s="131"/>
      <c r="M16" s="131"/>
      <c r="N16" s="131" t="n">
        <f aca="false">G16+J16+M16+$N$7</f>
        <v>4.21</v>
      </c>
      <c r="O16" s="131" t="n">
        <f aca="false">O15</f>
        <v>3</v>
      </c>
      <c r="P16" s="131"/>
      <c r="Q16" s="129" t="n">
        <f aca="false">VLOOKUP($A16,[1]!CurveTable,MATCH($Q$4,[1]!CurveType,0))</f>
        <v>0.185</v>
      </c>
      <c r="R16" s="129" t="n">
        <f aca="false">Q16+Summary!C$25</f>
        <v>0.185</v>
      </c>
      <c r="S16" s="129"/>
      <c r="T16" s="132" t="n">
        <f aca="false">X16</f>
        <v>40360</v>
      </c>
      <c r="U16" s="133" t="n">
        <f aca="false">T16-$C$3</f>
        <v>3355</v>
      </c>
      <c r="V16" s="134"/>
      <c r="W16" s="61" t="n">
        <f aca="false">A17-A16</f>
        <v>31</v>
      </c>
      <c r="X16" s="135" t="n">
        <f aca="false">CHOOSE(F$3,A17+24,A16)</f>
        <v>40360</v>
      </c>
      <c r="Y16" s="61" t="n">
        <f aca="false">X16-C$3</f>
        <v>3355</v>
      </c>
      <c r="Z16" s="136" t="n">
        <f aca="false">VLOOKUP($A16,[1]!CurveTable,MATCH($Z$4,[1]!CurveType,0))</f>
        <v>0.0611791880264274</v>
      </c>
      <c r="AA16" s="137" t="n">
        <f aca="false">1/(1+CHOOSE(F$3,(Z17+($K$3/10000))/2,(Z16+($K$3/10000))/2))^(2*Y16/365.25)</f>
        <v>0.574912708482456</v>
      </c>
      <c r="AB16" s="61" t="n">
        <f aca="false">IF(AND(mthbeg&lt;=A16,mthend&gt;=A16),1,0)</f>
        <v>1</v>
      </c>
      <c r="AC16" s="61" t="n">
        <f aca="false">W16*AB16</f>
        <v>31</v>
      </c>
      <c r="AD16" s="121" t="n">
        <f aca="false">$D16*E16</f>
        <v>16479482.1354642</v>
      </c>
      <c r="AE16" s="121" t="n">
        <f aca="false">$D16*F16</f>
        <v>0</v>
      </c>
      <c r="AF16" s="121" t="n">
        <f aca="false">$D16*G16</f>
        <v>16479482.1354642</v>
      </c>
      <c r="AG16" s="121" t="n">
        <f aca="false">$D16*H16</f>
        <v>0</v>
      </c>
      <c r="AH16" s="121" t="n">
        <f aca="false">$D16*I16</f>
        <v>0</v>
      </c>
      <c r="AI16" s="121" t="n">
        <f aca="false">$D16*J16</f>
        <v>0</v>
      </c>
      <c r="AJ16" s="121" t="n">
        <f aca="false">$D16*K16</f>
        <v>0</v>
      </c>
      <c r="AK16" s="121" t="n">
        <f aca="false">$D16*L16</f>
        <v>0</v>
      </c>
      <c r="AL16" s="121" t="n">
        <f aca="false">$D16*M16</f>
        <v>0</v>
      </c>
      <c r="AM16" s="125"/>
      <c r="AO16" s="75" t="e">
        <f aca="false">EURO(N16,O16,Z16,Z16,R16,U16,0,0)</f>
        <v>#NAME?</v>
      </c>
      <c r="AP16" s="138" t="e">
        <f aca="false">AO16*C16</f>
        <v>#NAME?</v>
      </c>
      <c r="AQ16" s="60" t="e">
        <f aca="false">-EURO(N16,O16,Z16,Z16,R16,U16,0,1)</f>
        <v>#NAME?</v>
      </c>
    </row>
    <row r="17" customFormat="false" ht="12.75" hidden="false" customHeight="false" outlineLevel="0" collapsed="false">
      <c r="A17" s="127" t="n">
        <f aca="false">EDATE(A16,1)</f>
        <v>40391</v>
      </c>
      <c r="B17" s="128" t="n">
        <f aca="false">B16</f>
        <v>205479</v>
      </c>
      <c r="C17" s="116" t="n">
        <f aca="false">IF(AB17=0,0,IF(AND(AB17=1,$H$3=1),B17*W17,IF($H$3=2,B17,"N/A")))</f>
        <v>6369849</v>
      </c>
      <c r="D17" s="116" t="n">
        <f aca="false">C17*AA17</f>
        <v>3640067.15120452</v>
      </c>
      <c r="E17" s="129" t="n">
        <f aca="false">VLOOKUP($A17,[1]!CurveTable,MATCH($E$4,[1]!CurveType,0))</f>
        <v>4.535</v>
      </c>
      <c r="F17" s="130"/>
      <c r="G17" s="131" t="n">
        <f aca="false">E17</f>
        <v>4.535</v>
      </c>
      <c r="H17" s="129" t="n">
        <f aca="false">VLOOKUP($A17,[1]!CurveTable,MATCH($H$4,[1]!CurveType,0))</f>
        <v>0</v>
      </c>
      <c r="I17" s="131"/>
      <c r="J17" s="131" t="n">
        <f aca="false">H17</f>
        <v>0</v>
      </c>
      <c r="K17" s="129"/>
      <c r="L17" s="131"/>
      <c r="M17" s="131"/>
      <c r="N17" s="131" t="n">
        <f aca="false">G17+J17+M17+$N$7</f>
        <v>4.245</v>
      </c>
      <c r="O17" s="131" t="n">
        <f aca="false">O16</f>
        <v>3</v>
      </c>
      <c r="P17" s="131"/>
      <c r="Q17" s="129" t="n">
        <f aca="false">VLOOKUP($A17,[1]!CurveTable,MATCH($Q$4,[1]!CurveType,0))</f>
        <v>0.185</v>
      </c>
      <c r="R17" s="129" t="n">
        <f aca="false">Q17+Summary!C$25</f>
        <v>0.185</v>
      </c>
      <c r="S17" s="129"/>
      <c r="T17" s="132" t="n">
        <f aca="false">X17</f>
        <v>40391</v>
      </c>
      <c r="U17" s="133" t="n">
        <f aca="false">T17-$C$3</f>
        <v>3386</v>
      </c>
      <c r="V17" s="134"/>
      <c r="W17" s="61" t="n">
        <f aca="false">A18-A17</f>
        <v>31</v>
      </c>
      <c r="X17" s="135" t="n">
        <f aca="false">CHOOSE(F$3,A18+24,A17)</f>
        <v>40391</v>
      </c>
      <c r="Y17" s="61" t="n">
        <f aca="false">X17-C$3</f>
        <v>3386</v>
      </c>
      <c r="Z17" s="136" t="n">
        <f aca="false">VLOOKUP($A17,[1]!CurveTable,MATCH($Z$4,[1]!CurveType,0))</f>
        <v>0.0612816812375567</v>
      </c>
      <c r="AA17" s="137" t="n">
        <f aca="false">1/(1+CHOOSE(F$3,(Z18+($K$3/10000))/2,(Z17+($K$3/10000))/2))^(2*Y17/365.25)</f>
        <v>0.571452659427958</v>
      </c>
      <c r="AB17" s="61" t="n">
        <f aca="false">IF(AND(mthbeg&lt;=A17,mthend&gt;=A17),1,0)</f>
        <v>1</v>
      </c>
      <c r="AC17" s="61" t="n">
        <f aca="false">W17*AB17</f>
        <v>31</v>
      </c>
      <c r="AD17" s="121" t="n">
        <f aca="false">$D17*E17</f>
        <v>16507704.5307125</v>
      </c>
      <c r="AE17" s="121" t="n">
        <f aca="false">$D17*F17</f>
        <v>0</v>
      </c>
      <c r="AF17" s="121" t="n">
        <f aca="false">$D17*G17</f>
        <v>16507704.5307125</v>
      </c>
      <c r="AG17" s="121" t="n">
        <f aca="false">$D17*H17</f>
        <v>0</v>
      </c>
      <c r="AH17" s="121" t="n">
        <f aca="false">$D17*I17</f>
        <v>0</v>
      </c>
      <c r="AI17" s="121" t="n">
        <f aca="false">$D17*J17</f>
        <v>0</v>
      </c>
      <c r="AJ17" s="121" t="n">
        <f aca="false">$D17*K17</f>
        <v>0</v>
      </c>
      <c r="AK17" s="121" t="n">
        <f aca="false">$D17*L17</f>
        <v>0</v>
      </c>
      <c r="AL17" s="121" t="n">
        <f aca="false">$D17*M17</f>
        <v>0</v>
      </c>
      <c r="AM17" s="125"/>
      <c r="AO17" s="75" t="e">
        <f aca="false">EURO(N17,O17,Z17,Z17,R17,U17,0,0)</f>
        <v>#NAME?</v>
      </c>
      <c r="AP17" s="138" t="e">
        <f aca="false">AO17*C17</f>
        <v>#NAME?</v>
      </c>
      <c r="AQ17" s="60" t="e">
        <f aca="false">-EURO(N17,O17,Z17,Z17,R17,U17,0,1)</f>
        <v>#NAME?</v>
      </c>
    </row>
    <row r="18" customFormat="false" ht="12.75" hidden="false" customHeight="false" outlineLevel="0" collapsed="false">
      <c r="A18" s="127" t="n">
        <f aca="false">EDATE(A17,1)</f>
        <v>40422</v>
      </c>
      <c r="B18" s="128" t="n">
        <f aca="false">B17</f>
        <v>205479</v>
      </c>
      <c r="C18" s="116" t="n">
        <f aca="false">IF(AB18=0,0,IF(AND(AB18=1,$H$3=1),B18*W18,IF($H$3=2,B18,"N/A")))</f>
        <v>6164370</v>
      </c>
      <c r="D18" s="116" t="n">
        <f aca="false">C18*AA18</f>
        <v>3501386.02820654</v>
      </c>
      <c r="E18" s="129" t="n">
        <f aca="false">VLOOKUP($A18,[1]!CurveTable,MATCH($E$4,[1]!CurveType,0))</f>
        <v>4.54</v>
      </c>
      <c r="F18" s="130"/>
      <c r="G18" s="131" t="n">
        <f aca="false">E18</f>
        <v>4.54</v>
      </c>
      <c r="H18" s="129" t="n">
        <f aca="false">VLOOKUP($A18,[1]!CurveTable,MATCH($H$4,[1]!CurveType,0))</f>
        <v>0</v>
      </c>
      <c r="I18" s="131"/>
      <c r="J18" s="131" t="n">
        <f aca="false">H18</f>
        <v>0</v>
      </c>
      <c r="K18" s="129"/>
      <c r="L18" s="131"/>
      <c r="M18" s="131"/>
      <c r="N18" s="131" t="n">
        <f aca="false">G18+J18+M18+$N$7</f>
        <v>4.25</v>
      </c>
      <c r="O18" s="131" t="n">
        <f aca="false">O17</f>
        <v>3</v>
      </c>
      <c r="P18" s="131"/>
      <c r="Q18" s="129" t="n">
        <f aca="false">VLOOKUP($A18,[1]!CurveTable,MATCH($Q$4,[1]!CurveType,0))</f>
        <v>0.185</v>
      </c>
      <c r="R18" s="129" t="n">
        <f aca="false">Q18+Summary!C$25</f>
        <v>0.185</v>
      </c>
      <c r="S18" s="129"/>
      <c r="T18" s="132" t="n">
        <f aca="false">X18</f>
        <v>40422</v>
      </c>
      <c r="U18" s="133" t="n">
        <f aca="false">T18-$C$3</f>
        <v>3417</v>
      </c>
      <c r="V18" s="134"/>
      <c r="W18" s="61" t="n">
        <f aca="false">A19-A18</f>
        <v>30</v>
      </c>
      <c r="X18" s="135" t="n">
        <f aca="false">CHOOSE(F$3,A19+24,A18)</f>
        <v>40422</v>
      </c>
      <c r="Y18" s="61" t="n">
        <f aca="false">X18-C$3</f>
        <v>3417</v>
      </c>
      <c r="Z18" s="136" t="n">
        <f aca="false">VLOOKUP($A18,[1]!CurveTable,MATCH($Z$4,[1]!CurveType,0))</f>
        <v>0.0613841744521744</v>
      </c>
      <c r="AA18" s="137" t="n">
        <f aca="false">1/(1+CHOOSE(F$3,(Z19+($K$3/10000))/2,(Z18+($K$3/10000))/2))^(2*Y18/365.25)</f>
        <v>0.568003871962024</v>
      </c>
      <c r="AB18" s="61" t="n">
        <f aca="false">IF(AND(mthbeg&lt;=A18,mthend&gt;=A18),1,0)</f>
        <v>1</v>
      </c>
      <c r="AC18" s="61" t="n">
        <f aca="false">W18*AB18</f>
        <v>30</v>
      </c>
      <c r="AD18" s="121" t="n">
        <f aca="false">$D18*E18</f>
        <v>15896292.5680577</v>
      </c>
      <c r="AE18" s="121" t="n">
        <f aca="false">$D18*F18</f>
        <v>0</v>
      </c>
      <c r="AF18" s="121" t="n">
        <f aca="false">$D18*G18</f>
        <v>15896292.5680577</v>
      </c>
      <c r="AG18" s="121" t="n">
        <f aca="false">$D18*H18</f>
        <v>0</v>
      </c>
      <c r="AH18" s="121" t="n">
        <f aca="false">$D18*I18</f>
        <v>0</v>
      </c>
      <c r="AI18" s="121" t="n">
        <f aca="false">$D18*J18</f>
        <v>0</v>
      </c>
      <c r="AJ18" s="121" t="n">
        <f aca="false">$D18*K18</f>
        <v>0</v>
      </c>
      <c r="AK18" s="121" t="n">
        <f aca="false">$D18*L18</f>
        <v>0</v>
      </c>
      <c r="AL18" s="121" t="n">
        <f aca="false">$D18*M18</f>
        <v>0</v>
      </c>
      <c r="AM18" s="125"/>
      <c r="AO18" s="75" t="e">
        <f aca="false">EURO(N18,O18,Z18,Z18,R18,U18,0,0)</f>
        <v>#NAME?</v>
      </c>
      <c r="AP18" s="138" t="e">
        <f aca="false">AO18*C18</f>
        <v>#NAME?</v>
      </c>
      <c r="AQ18" s="60" t="e">
        <f aca="false">-EURO(N18,O18,Z18,Z18,R18,U18,0,1)</f>
        <v>#NAME?</v>
      </c>
    </row>
    <row r="19" customFormat="false" ht="12.75" hidden="false" customHeight="false" outlineLevel="0" collapsed="false">
      <c r="A19" s="127" t="n">
        <f aca="false">EDATE(A18,1)</f>
        <v>40452</v>
      </c>
      <c r="B19" s="128" t="n">
        <f aca="false">B18</f>
        <v>205479</v>
      </c>
      <c r="C19" s="116" t="n">
        <f aca="false">IF(AB19=0,0,IF(AND(AB19=1,$H$3=1),B19*W19,IF($H$3=2,B19,"N/A")))</f>
        <v>6369849</v>
      </c>
      <c r="D19" s="116" t="n">
        <f aca="false">C19*AA19</f>
        <v>3596907.88582807</v>
      </c>
      <c r="E19" s="129" t="n">
        <f aca="false">VLOOKUP($A19,[1]!CurveTable,MATCH($E$4,[1]!CurveType,0))</f>
        <v>4.57</v>
      </c>
      <c r="F19" s="130"/>
      <c r="G19" s="131" t="n">
        <f aca="false">E19</f>
        <v>4.57</v>
      </c>
      <c r="H19" s="129" t="n">
        <f aca="false">VLOOKUP($A19,[1]!CurveTable,MATCH($H$4,[1]!CurveType,0))</f>
        <v>0</v>
      </c>
      <c r="I19" s="131"/>
      <c r="J19" s="131" t="n">
        <f aca="false">H19</f>
        <v>0</v>
      </c>
      <c r="K19" s="129"/>
      <c r="L19" s="131"/>
      <c r="M19" s="131"/>
      <c r="N19" s="131" t="n">
        <f aca="false">G19+J19+M19+$N$7</f>
        <v>4.28</v>
      </c>
      <c r="O19" s="131" t="n">
        <f aca="false">O18</f>
        <v>3</v>
      </c>
      <c r="P19" s="131"/>
      <c r="Q19" s="129" t="n">
        <f aca="false">VLOOKUP($A19,[1]!CurveTable,MATCH($Q$4,[1]!CurveType,0))</f>
        <v>0.185</v>
      </c>
      <c r="R19" s="129" t="n">
        <f aca="false">Q19+Summary!C$25</f>
        <v>0.185</v>
      </c>
      <c r="S19" s="129"/>
      <c r="T19" s="132" t="n">
        <f aca="false">X19</f>
        <v>40452</v>
      </c>
      <c r="U19" s="133" t="n">
        <f aca="false">T19-$C$3</f>
        <v>3447</v>
      </c>
      <c r="V19" s="134"/>
      <c r="W19" s="61" t="n">
        <f aca="false">A20-A19</f>
        <v>31</v>
      </c>
      <c r="X19" s="135" t="n">
        <f aca="false">CHOOSE(F$3,A20+24,A19)</f>
        <v>40452</v>
      </c>
      <c r="Y19" s="61" t="n">
        <f aca="false">X19-C$3</f>
        <v>3447</v>
      </c>
      <c r="Z19" s="136" t="n">
        <f aca="false">VLOOKUP($A19,[1]!CurveTable,MATCH($Z$4,[1]!CurveType,0))</f>
        <v>0.0614833614373835</v>
      </c>
      <c r="AA19" s="137" t="n">
        <f aca="false">1/(1+CHOOSE(F$3,(Z20+($K$3/10000))/2,(Z19+($K$3/10000))/2))^(2*Y19/365.25)</f>
        <v>0.564677103935756</v>
      </c>
      <c r="AB19" s="61" t="n">
        <f aca="false">IF(AND(mthbeg&lt;=A19,mthend&gt;=A19),1,0)</f>
        <v>1</v>
      </c>
      <c r="AC19" s="61" t="n">
        <f aca="false">W19*AB19</f>
        <v>31</v>
      </c>
      <c r="AD19" s="121" t="n">
        <f aca="false">$D19*E19</f>
        <v>16437869.0382343</v>
      </c>
      <c r="AE19" s="121" t="n">
        <f aca="false">$D19*F19</f>
        <v>0</v>
      </c>
      <c r="AF19" s="121" t="n">
        <f aca="false">$D19*G19</f>
        <v>16437869.0382343</v>
      </c>
      <c r="AG19" s="121" t="n">
        <f aca="false">$D19*H19</f>
        <v>0</v>
      </c>
      <c r="AH19" s="121" t="n">
        <f aca="false">$D19*I19</f>
        <v>0</v>
      </c>
      <c r="AI19" s="121" t="n">
        <f aca="false">$D19*J19</f>
        <v>0</v>
      </c>
      <c r="AJ19" s="121" t="n">
        <f aca="false">$D19*K19</f>
        <v>0</v>
      </c>
      <c r="AK19" s="121" t="n">
        <f aca="false">$D19*L19</f>
        <v>0</v>
      </c>
      <c r="AL19" s="121" t="n">
        <f aca="false">$D19*M19</f>
        <v>0</v>
      </c>
      <c r="AM19" s="125"/>
      <c r="AO19" s="75" t="e">
        <f aca="false">EURO(N19,O19,Z19,Z19,R19,U19,0,0)</f>
        <v>#NAME?</v>
      </c>
      <c r="AP19" s="138" t="e">
        <f aca="false">AO19*C19</f>
        <v>#NAME?</v>
      </c>
      <c r="AQ19" s="60" t="e">
        <f aca="false">-EURO(N19,O19,Z19,Z19,R19,U19,0,1)</f>
        <v>#NAME?</v>
      </c>
    </row>
    <row r="20" customFormat="false" ht="12.75" hidden="false" customHeight="false" outlineLevel="0" collapsed="false">
      <c r="A20" s="127" t="n">
        <f aca="false">EDATE(A19,1)</f>
        <v>40483</v>
      </c>
      <c r="B20" s="128" t="n">
        <f aca="false">B19</f>
        <v>205479</v>
      </c>
      <c r="C20" s="116" t="n">
        <f aca="false">IF(AB20=0,0,IF(AND(AB20=1,$H$3=1),B20*W20,IF($H$3=2,B20,"N/A")))</f>
        <v>6164370</v>
      </c>
      <c r="D20" s="116" t="n">
        <f aca="false">C20*AA20</f>
        <v>3459756.46709229</v>
      </c>
      <c r="E20" s="129" t="n">
        <f aca="false">VLOOKUP($A20,[1]!CurveTable,MATCH($E$4,[1]!CurveType,0))</f>
        <v>4.68</v>
      </c>
      <c r="F20" s="130"/>
      <c r="G20" s="131" t="n">
        <f aca="false">E20</f>
        <v>4.68</v>
      </c>
      <c r="H20" s="129" t="n">
        <f aca="false">VLOOKUP($A20,[1]!CurveTable,MATCH($H$4,[1]!CurveType,0))</f>
        <v>0</v>
      </c>
      <c r="I20" s="131"/>
      <c r="J20" s="131" t="n">
        <f aca="false">H20</f>
        <v>0</v>
      </c>
      <c r="K20" s="129"/>
      <c r="L20" s="131"/>
      <c r="M20" s="131"/>
      <c r="N20" s="131" t="n">
        <f aca="false">G20+J20+M20+$N$7</f>
        <v>4.39</v>
      </c>
      <c r="O20" s="131" t="n">
        <f aca="false">O19</f>
        <v>3</v>
      </c>
      <c r="P20" s="131"/>
      <c r="Q20" s="129" t="n">
        <f aca="false">VLOOKUP($A20,[1]!CurveTable,MATCH($Q$4,[1]!CurveType,0))</f>
        <v>0.185</v>
      </c>
      <c r="R20" s="129" t="n">
        <f aca="false">Q20+Summary!C$25</f>
        <v>0.185</v>
      </c>
      <c r="S20" s="129"/>
      <c r="T20" s="132" t="n">
        <f aca="false">X20</f>
        <v>40483</v>
      </c>
      <c r="U20" s="133" t="n">
        <f aca="false">T20-$C$3</f>
        <v>3478</v>
      </c>
      <c r="V20" s="134"/>
      <c r="W20" s="61" t="n">
        <f aca="false">A21-A20</f>
        <v>30</v>
      </c>
      <c r="X20" s="135" t="n">
        <f aca="false">CHOOSE(F$3,A21+24,A20)</f>
        <v>40483</v>
      </c>
      <c r="Y20" s="61" t="n">
        <f aca="false">X20-C$3</f>
        <v>3478</v>
      </c>
      <c r="Z20" s="136" t="n">
        <f aca="false">VLOOKUP($A20,[1]!CurveTable,MATCH($Z$4,[1]!CurveType,0))</f>
        <v>0.061585854658865</v>
      </c>
      <c r="AA20" s="137" t="n">
        <f aca="false">1/(1+CHOOSE(F$3,(Z21+($K$3/10000))/2,(Z20+($K$3/10000))/2))^(2*Y20/365.25)</f>
        <v>0.561250617190774</v>
      </c>
      <c r="AB20" s="61" t="n">
        <f aca="false">IF(AND(mthbeg&lt;=A20,mthend&gt;=A20),1,0)</f>
        <v>1</v>
      </c>
      <c r="AC20" s="61" t="n">
        <f aca="false">W20*AB20</f>
        <v>30</v>
      </c>
      <c r="AD20" s="121" t="n">
        <f aca="false">$D20*E20</f>
        <v>16191660.2659919</v>
      </c>
      <c r="AE20" s="121" t="n">
        <f aca="false">$D20*F20</f>
        <v>0</v>
      </c>
      <c r="AF20" s="121" t="n">
        <f aca="false">$D20*G20</f>
        <v>16191660.2659919</v>
      </c>
      <c r="AG20" s="121" t="n">
        <f aca="false">$D20*H20</f>
        <v>0</v>
      </c>
      <c r="AH20" s="121" t="n">
        <f aca="false">$D20*I20</f>
        <v>0</v>
      </c>
      <c r="AI20" s="121" t="n">
        <f aca="false">$D20*J20</f>
        <v>0</v>
      </c>
      <c r="AJ20" s="121" t="n">
        <f aca="false">$D20*K20</f>
        <v>0</v>
      </c>
      <c r="AK20" s="121" t="n">
        <f aca="false">$D20*L20</f>
        <v>0</v>
      </c>
      <c r="AL20" s="121" t="n">
        <f aca="false">$D20*M20</f>
        <v>0</v>
      </c>
      <c r="AM20" s="125"/>
      <c r="AO20" s="75" t="e">
        <f aca="false">EURO(N20,O20,Z20,Z20,R20,U20,0,0)</f>
        <v>#NAME?</v>
      </c>
      <c r="AP20" s="138" t="e">
        <f aca="false">AO20*C20</f>
        <v>#NAME?</v>
      </c>
      <c r="AQ20" s="60" t="e">
        <f aca="false">-EURO(N20,O20,Z20,Z20,R20,U20,0,1)</f>
        <v>#NAME?</v>
      </c>
    </row>
    <row r="21" customFormat="false" ht="12.75" hidden="false" customHeight="false" outlineLevel="0" collapsed="false">
      <c r="A21" s="127" t="n">
        <f aca="false">EDATE(A20,1)</f>
        <v>40513</v>
      </c>
      <c r="B21" s="128" t="n">
        <f aca="false">B20</f>
        <v>205479</v>
      </c>
      <c r="C21" s="116" t="n">
        <f aca="false">IF(AB21=0,0,IF(AND(AB21=1,$H$3=1),B21*W21,IF($H$3=2,B21,"N/A")))</f>
        <v>6369849</v>
      </c>
      <c r="D21" s="116" t="n">
        <f aca="false">C21*AA21</f>
        <v>3554028.70613079</v>
      </c>
      <c r="E21" s="129" t="n">
        <f aca="false">VLOOKUP($A21,[1]!CurveTable,MATCH($E$4,[1]!CurveType,0))</f>
        <v>4.8</v>
      </c>
      <c r="F21" s="130"/>
      <c r="G21" s="131" t="n">
        <f aca="false">E21</f>
        <v>4.8</v>
      </c>
      <c r="H21" s="129" t="n">
        <f aca="false">VLOOKUP($A21,[1]!CurveTable,MATCH($H$4,[1]!CurveType,0))</f>
        <v>0</v>
      </c>
      <c r="I21" s="131"/>
      <c r="J21" s="131" t="n">
        <f aca="false">H21</f>
        <v>0</v>
      </c>
      <c r="K21" s="129"/>
      <c r="L21" s="131"/>
      <c r="M21" s="131"/>
      <c r="N21" s="131" t="n">
        <f aca="false">G21+J21+M21+$N$7</f>
        <v>4.51</v>
      </c>
      <c r="O21" s="131" t="n">
        <f aca="false">O20</f>
        <v>3</v>
      </c>
      <c r="P21" s="131"/>
      <c r="Q21" s="129" t="n">
        <f aca="false">VLOOKUP($A21,[1]!CurveTable,MATCH($Q$4,[1]!CurveType,0))</f>
        <v>0.185</v>
      </c>
      <c r="R21" s="129" t="n">
        <f aca="false">Q21+Summary!C$25</f>
        <v>0.185</v>
      </c>
      <c r="S21" s="129"/>
      <c r="T21" s="132" t="n">
        <f aca="false">X21</f>
        <v>40513</v>
      </c>
      <c r="U21" s="133" t="n">
        <f aca="false">T21-$C$3</f>
        <v>3508</v>
      </c>
      <c r="V21" s="134"/>
      <c r="W21" s="61" t="n">
        <f aca="false">A22-A21</f>
        <v>31</v>
      </c>
      <c r="X21" s="135" t="n">
        <f aca="false">CHOOSE(F$3,A22+24,A21)</f>
        <v>40513</v>
      </c>
      <c r="Y21" s="61" t="n">
        <f aca="false">X21-C$3</f>
        <v>3508</v>
      </c>
      <c r="Z21" s="136" t="n">
        <f aca="false">VLOOKUP($A21,[1]!CurveTable,MATCH($Z$4,[1]!CurveType,0))</f>
        <v>0.0616850416507155</v>
      </c>
      <c r="AA21" s="137" t="n">
        <f aca="false">1/(1+CHOOSE(F$3,(Z22+($K$3/10000))/2,(Z21+($K$3/10000))/2))^(2*Y21/365.25)</f>
        <v>0.557945518980244</v>
      </c>
      <c r="AB21" s="61" t="n">
        <f aca="false">IF(AND(mthbeg&lt;=A21,mthend&gt;=A21),1,0)</f>
        <v>1</v>
      </c>
      <c r="AC21" s="61" t="n">
        <f aca="false">W21*AB21</f>
        <v>31</v>
      </c>
      <c r="AD21" s="121" t="n">
        <f aca="false">$D21*E21</f>
        <v>17059337.7894278</v>
      </c>
      <c r="AE21" s="121" t="n">
        <f aca="false">$D21*F21</f>
        <v>0</v>
      </c>
      <c r="AF21" s="121" t="n">
        <f aca="false">$D21*G21</f>
        <v>17059337.7894278</v>
      </c>
      <c r="AG21" s="121" t="n">
        <f aca="false">$D21*H21</f>
        <v>0</v>
      </c>
      <c r="AH21" s="121" t="n">
        <f aca="false">$D21*I21</f>
        <v>0</v>
      </c>
      <c r="AI21" s="121" t="n">
        <f aca="false">$D21*J21</f>
        <v>0</v>
      </c>
      <c r="AJ21" s="121" t="n">
        <f aca="false">$D21*K21</f>
        <v>0</v>
      </c>
      <c r="AK21" s="121" t="n">
        <f aca="false">$D21*L21</f>
        <v>0</v>
      </c>
      <c r="AL21" s="121" t="n">
        <f aca="false">$D21*M21</f>
        <v>0</v>
      </c>
      <c r="AM21" s="125"/>
      <c r="AO21" s="75" t="e">
        <f aca="false">EURO(N21,O21,Z21,Z21,R21,U21,0,0)</f>
        <v>#NAME?</v>
      </c>
      <c r="AP21" s="138" t="e">
        <f aca="false">AO21*C21</f>
        <v>#NAME?</v>
      </c>
      <c r="AQ21" s="60" t="e">
        <f aca="false">-EURO(N21,O21,Z21,Z21,R21,U21,0,1)</f>
        <v>#NAME?</v>
      </c>
    </row>
    <row r="22" customFormat="false" ht="12.75" hidden="false" customHeight="false" outlineLevel="0" collapsed="false">
      <c r="A22" s="127" t="n">
        <f aca="false">EDATE(A21,1)</f>
        <v>40544</v>
      </c>
      <c r="B22" s="128" t="n">
        <f aca="false">B21</f>
        <v>205479</v>
      </c>
      <c r="C22" s="116" t="n">
        <f aca="false">IF(AB22=0,0,IF(AND(AB22=1,$H$3=1),B22*W22,IF($H$3=2,B22,"N/A")))</f>
        <v>6369849</v>
      </c>
      <c r="D22" s="116" t="n">
        <f aca="false">C22*AA22</f>
        <v>3532345.70923571</v>
      </c>
      <c r="E22" s="129" t="n">
        <f aca="false">VLOOKUP($A22,[1]!CurveTable,MATCH($E$4,[1]!CurveType,0))</f>
        <v>4.86</v>
      </c>
      <c r="F22" s="130"/>
      <c r="G22" s="131" t="n">
        <f aca="false">E22</f>
        <v>4.86</v>
      </c>
      <c r="H22" s="129" t="n">
        <f aca="false">VLOOKUP($A22,[1]!CurveTable,MATCH($H$4,[1]!CurveType,0))</f>
        <v>0</v>
      </c>
      <c r="I22" s="131"/>
      <c r="J22" s="131" t="n">
        <f aca="false">H22</f>
        <v>0</v>
      </c>
      <c r="K22" s="129"/>
      <c r="L22" s="131"/>
      <c r="M22" s="131"/>
      <c r="N22" s="131" t="n">
        <f aca="false">G22+J22+M22+$N$7</f>
        <v>4.57</v>
      </c>
      <c r="O22" s="131" t="n">
        <f aca="false">O21</f>
        <v>3</v>
      </c>
      <c r="P22" s="131"/>
      <c r="Q22" s="129" t="n">
        <f aca="false">VLOOKUP($A22,[1]!CurveTable,MATCH($Q$4,[1]!CurveType,0))</f>
        <v>0.185</v>
      </c>
      <c r="R22" s="129" t="n">
        <f aca="false">Q22+Summary!C$25</f>
        <v>0.185</v>
      </c>
      <c r="S22" s="129"/>
      <c r="T22" s="132" t="n">
        <f aca="false">X22</f>
        <v>40544</v>
      </c>
      <c r="U22" s="133" t="n">
        <f aca="false">T22-$C$3</f>
        <v>3539</v>
      </c>
      <c r="V22" s="134"/>
      <c r="W22" s="61" t="n">
        <f aca="false">A23-A22</f>
        <v>31</v>
      </c>
      <c r="X22" s="135" t="n">
        <f aca="false">CHOOSE(F$3,A23+24,A22)</f>
        <v>40544</v>
      </c>
      <c r="Y22" s="61" t="n">
        <f aca="false">X22-C$3</f>
        <v>3539</v>
      </c>
      <c r="Z22" s="136" t="n">
        <f aca="false">VLOOKUP($A22,[1]!CurveTable,MATCH($Z$4,[1]!CurveType,0))</f>
        <v>0.0617875348790591</v>
      </c>
      <c r="AA22" s="137" t="n">
        <f aca="false">1/(1+CHOOSE(F$3,(Z23+($K$3/10000))/2,(Z22+($K$3/10000))/2))^(2*Y22/365.25)</f>
        <v>0.554541514129411</v>
      </c>
      <c r="AB22" s="61" t="n">
        <f aca="false">IF(AND(mthbeg&lt;=A22,mthend&gt;=A22),1,0)</f>
        <v>1</v>
      </c>
      <c r="AC22" s="61" t="n">
        <f aca="false">W22*AB22</f>
        <v>31</v>
      </c>
      <c r="AD22" s="121" t="n">
        <f aca="false">$D22*E22</f>
        <v>17167200.1468856</v>
      </c>
      <c r="AE22" s="121" t="n">
        <f aca="false">$D22*F22</f>
        <v>0</v>
      </c>
      <c r="AF22" s="121" t="n">
        <f aca="false">$D22*G22</f>
        <v>17167200.1468856</v>
      </c>
      <c r="AG22" s="121" t="n">
        <f aca="false">$D22*H22</f>
        <v>0</v>
      </c>
      <c r="AH22" s="121" t="n">
        <f aca="false">$D22*I22</f>
        <v>0</v>
      </c>
      <c r="AI22" s="121" t="n">
        <f aca="false">$D22*J22</f>
        <v>0</v>
      </c>
      <c r="AJ22" s="121" t="n">
        <f aca="false">$D22*K22</f>
        <v>0</v>
      </c>
      <c r="AK22" s="121" t="n">
        <f aca="false">$D22*L22</f>
        <v>0</v>
      </c>
      <c r="AL22" s="121" t="n">
        <f aca="false">$D22*M22</f>
        <v>0</v>
      </c>
      <c r="AM22" s="125"/>
      <c r="AO22" s="75" t="e">
        <f aca="false">EURO(N22,O22,Z22,Z22,R22,U22,0,0)</f>
        <v>#NAME?</v>
      </c>
      <c r="AP22" s="138" t="e">
        <f aca="false">AO22*C22</f>
        <v>#NAME?</v>
      </c>
      <c r="AQ22" s="60" t="e">
        <f aca="false">-EURO(N22,O22,Z22,Z22,R22,U22,0,1)</f>
        <v>#NAME?</v>
      </c>
    </row>
    <row r="23" customFormat="false" ht="12.75" hidden="false" customHeight="false" outlineLevel="0" collapsed="false">
      <c r="A23" s="127" t="n">
        <f aca="false">EDATE(A22,1)</f>
        <v>40575</v>
      </c>
      <c r="B23" s="128" t="n">
        <f aca="false">B22</f>
        <v>205479</v>
      </c>
      <c r="C23" s="116" t="n">
        <f aca="false">IF(AB23=0,0,IF(AND(AB23=1,$H$3=1),B23*W23,IF($H$3=2,B23,"N/A")))</f>
        <v>5753412</v>
      </c>
      <c r="D23" s="116" t="n">
        <f aca="false">C23*AA23</f>
        <v>3170987.28079603</v>
      </c>
      <c r="E23" s="129" t="n">
        <f aca="false">VLOOKUP($A23,[1]!CurveTable,MATCH($E$4,[1]!CurveType,0))</f>
        <v>4.74</v>
      </c>
      <c r="F23" s="130"/>
      <c r="G23" s="131" t="n">
        <f aca="false">E23</f>
        <v>4.74</v>
      </c>
      <c r="H23" s="129" t="n">
        <f aca="false">VLOOKUP($A23,[1]!CurveTable,MATCH($H$4,[1]!CurveType,0))</f>
        <v>0</v>
      </c>
      <c r="I23" s="131"/>
      <c r="J23" s="131" t="n">
        <f aca="false">H23</f>
        <v>0</v>
      </c>
      <c r="K23" s="129"/>
      <c r="L23" s="131"/>
      <c r="M23" s="131"/>
      <c r="N23" s="131" t="n">
        <f aca="false">G23+J23+M23+$N$7</f>
        <v>4.45</v>
      </c>
      <c r="O23" s="131" t="n">
        <f aca="false">O22</f>
        <v>3</v>
      </c>
      <c r="P23" s="131"/>
      <c r="Q23" s="129" t="n">
        <f aca="false">VLOOKUP($A23,[1]!CurveTable,MATCH($Q$4,[1]!CurveType,0))</f>
        <v>0.185</v>
      </c>
      <c r="R23" s="129" t="n">
        <f aca="false">Q23+Summary!C$25</f>
        <v>0.185</v>
      </c>
      <c r="S23" s="129"/>
      <c r="T23" s="132" t="n">
        <f aca="false">X23</f>
        <v>40575</v>
      </c>
      <c r="U23" s="133" t="n">
        <f aca="false">T23-$C$3</f>
        <v>3570</v>
      </c>
      <c r="V23" s="134"/>
      <c r="W23" s="61" t="n">
        <f aca="false">A24-A23</f>
        <v>28</v>
      </c>
      <c r="X23" s="135" t="n">
        <f aca="false">CHOOSE(F$3,A24+24,A23)</f>
        <v>40575</v>
      </c>
      <c r="Y23" s="61" t="n">
        <f aca="false">X23-C$3</f>
        <v>3570</v>
      </c>
      <c r="Z23" s="136" t="n">
        <f aca="false">VLOOKUP($A23,[1]!CurveTable,MATCH($Z$4,[1]!CurveType,0))</f>
        <v>0.0618900281108901</v>
      </c>
      <c r="AA23" s="137" t="n">
        <f aca="false">1/(1+CHOOSE(F$3,(Z24+($K$3/10000))/2,(Z23+($K$3/10000))/2))^(2*Y23/365.25)</f>
        <v>0.551149001809019</v>
      </c>
      <c r="AB23" s="61" t="n">
        <f aca="false">IF(AND(mthbeg&lt;=A23,mthend&gt;=A23),1,0)</f>
        <v>1</v>
      </c>
      <c r="AC23" s="61" t="n">
        <f aca="false">W23*AB23</f>
        <v>28</v>
      </c>
      <c r="AD23" s="121" t="n">
        <f aca="false">$D23*E23</f>
        <v>15030479.7109732</v>
      </c>
      <c r="AE23" s="121" t="n">
        <f aca="false">$D23*F23</f>
        <v>0</v>
      </c>
      <c r="AF23" s="121" t="n">
        <f aca="false">$D23*G23</f>
        <v>15030479.7109732</v>
      </c>
      <c r="AG23" s="121" t="n">
        <f aca="false">$D23*H23</f>
        <v>0</v>
      </c>
      <c r="AH23" s="121" t="n">
        <f aca="false">$D23*I23</f>
        <v>0</v>
      </c>
      <c r="AI23" s="121" t="n">
        <f aca="false">$D23*J23</f>
        <v>0</v>
      </c>
      <c r="AJ23" s="121" t="n">
        <f aca="false">$D23*K23</f>
        <v>0</v>
      </c>
      <c r="AK23" s="121" t="n">
        <f aca="false">$D23*L23</f>
        <v>0</v>
      </c>
      <c r="AL23" s="121" t="n">
        <f aca="false">$D23*M23</f>
        <v>0</v>
      </c>
      <c r="AM23" s="125"/>
      <c r="AO23" s="75" t="e">
        <f aca="false">EURO(N23,O23,Z23,Z23,R23,U23,0,0)</f>
        <v>#NAME?</v>
      </c>
      <c r="AP23" s="138" t="e">
        <f aca="false">AO23*C23</f>
        <v>#NAME?</v>
      </c>
      <c r="AQ23" s="60" t="e">
        <f aca="false">-EURO(N23,O23,Z23,Z23,R23,U23,0,1)</f>
        <v>#NAME?</v>
      </c>
    </row>
    <row r="24" customFormat="false" ht="12.75" hidden="false" customHeight="false" outlineLevel="0" collapsed="false">
      <c r="A24" s="127" t="n">
        <f aca="false">EDATE(A23,1)</f>
        <v>40603</v>
      </c>
      <c r="B24" s="128" t="n">
        <f aca="false">B23</f>
        <v>205479</v>
      </c>
      <c r="C24" s="116" t="n">
        <f aca="false">IF(AB24=0,0,IF(AND(AB24=1,$H$3=1),B24*W24,IF($H$3=2,B24,"N/A")))</f>
        <v>6369849</v>
      </c>
      <c r="D24" s="116" t="n">
        <f aca="false">C24*AA24</f>
        <v>3491280.55313585</v>
      </c>
      <c r="E24" s="129" t="n">
        <f aca="false">VLOOKUP($A24,[1]!CurveTable,MATCH($E$4,[1]!CurveType,0))</f>
        <v>4.601</v>
      </c>
      <c r="F24" s="130"/>
      <c r="G24" s="131" t="n">
        <f aca="false">E24</f>
        <v>4.601</v>
      </c>
      <c r="H24" s="129" t="n">
        <f aca="false">VLOOKUP($A24,[1]!CurveTable,MATCH($H$4,[1]!CurveType,0))</f>
        <v>0</v>
      </c>
      <c r="I24" s="131"/>
      <c r="J24" s="131" t="n">
        <f aca="false">H24</f>
        <v>0</v>
      </c>
      <c r="K24" s="129"/>
      <c r="L24" s="131"/>
      <c r="M24" s="131"/>
      <c r="N24" s="131" t="n">
        <f aca="false">G24+J24+M24+$N$7</f>
        <v>4.311</v>
      </c>
      <c r="O24" s="131" t="n">
        <f aca="false">O23</f>
        <v>3</v>
      </c>
      <c r="P24" s="131"/>
      <c r="Q24" s="129" t="n">
        <f aca="false">VLOOKUP($A24,[1]!CurveTable,MATCH($Q$4,[1]!CurveType,0))</f>
        <v>0.18</v>
      </c>
      <c r="R24" s="129" t="n">
        <f aca="false">Q24+Summary!C$25</f>
        <v>0.18</v>
      </c>
      <c r="S24" s="129"/>
      <c r="T24" s="132" t="n">
        <f aca="false">X24</f>
        <v>40603</v>
      </c>
      <c r="U24" s="133" t="n">
        <f aca="false">T24-$C$3</f>
        <v>3598</v>
      </c>
      <c r="V24" s="134"/>
      <c r="W24" s="61" t="n">
        <f aca="false">A25-A24</f>
        <v>31</v>
      </c>
      <c r="X24" s="135" t="n">
        <f aca="false">CHOOSE(F$3,A25+24,A24)</f>
        <v>40603</v>
      </c>
      <c r="Y24" s="61" t="n">
        <f aca="false">X24-C$3</f>
        <v>3598</v>
      </c>
      <c r="Z24" s="136" t="n">
        <f aca="false">VLOOKUP($A24,[1]!CurveTable,MATCH($Z$4,[1]!CurveType,0))</f>
        <v>0.0619826026458643</v>
      </c>
      <c r="AA24" s="137" t="n">
        <f aca="false">1/(1+CHOOSE(F$3,(Z25+($K$3/10000))/2,(Z24+($K$3/10000))/2))^(2*Y24/365.25)</f>
        <v>0.548094711999585</v>
      </c>
      <c r="AB24" s="61" t="n">
        <f aca="false">IF(AND(mthbeg&lt;=A24,mthend&gt;=A24),1,0)</f>
        <v>1</v>
      </c>
      <c r="AC24" s="61" t="n">
        <f aca="false">W24*AB24</f>
        <v>31</v>
      </c>
      <c r="AD24" s="121" t="n">
        <f aca="false">$D24*E24</f>
        <v>16063381.824978</v>
      </c>
      <c r="AE24" s="121" t="n">
        <f aca="false">$D24*F24</f>
        <v>0</v>
      </c>
      <c r="AF24" s="121" t="n">
        <f aca="false">$D24*G24</f>
        <v>16063381.824978</v>
      </c>
      <c r="AG24" s="121" t="n">
        <f aca="false">$D24*H24</f>
        <v>0</v>
      </c>
      <c r="AH24" s="121" t="n">
        <f aca="false">$D24*I24</f>
        <v>0</v>
      </c>
      <c r="AI24" s="121" t="n">
        <f aca="false">$D24*J24</f>
        <v>0</v>
      </c>
      <c r="AJ24" s="121" t="n">
        <f aca="false">$D24*K24</f>
        <v>0</v>
      </c>
      <c r="AK24" s="121" t="n">
        <f aca="false">$D24*L24</f>
        <v>0</v>
      </c>
      <c r="AL24" s="121" t="n">
        <f aca="false">$D24*M24</f>
        <v>0</v>
      </c>
      <c r="AM24" s="125"/>
      <c r="AO24" s="75" t="e">
        <f aca="false">EURO(N24,O24,Z24,Z24,R24,U24,0,0)</f>
        <v>#NAME?</v>
      </c>
      <c r="AP24" s="138" t="e">
        <f aca="false">AO24*C24</f>
        <v>#NAME?</v>
      </c>
      <c r="AQ24" s="60" t="e">
        <f aca="false">-EURO(N24,O24,Z24,Z24,R24,U24,0,1)</f>
        <v>#NAME?</v>
      </c>
    </row>
    <row r="25" customFormat="false" ht="12.75" hidden="false" customHeight="false" outlineLevel="0" collapsed="false">
      <c r="A25" s="127" t="n">
        <f aca="false">EDATE(A24,1)</f>
        <v>40634</v>
      </c>
      <c r="B25" s="128" t="n">
        <f aca="false">B24</f>
        <v>205479</v>
      </c>
      <c r="C25" s="116" t="n">
        <f aca="false">IF(AB25=0,0,IF(AND(AB25=1,$H$3=1),B25*W25,IF($H$3=2,B25,"N/A")))</f>
        <v>6164370</v>
      </c>
      <c r="D25" s="116" t="n">
        <f aca="false">C25*AA25</f>
        <v>3357881.47967493</v>
      </c>
      <c r="E25" s="129" t="n">
        <f aca="false">VLOOKUP($A25,[1]!CurveTable,MATCH($E$4,[1]!CurveType,0))</f>
        <v>4.431</v>
      </c>
      <c r="F25" s="130"/>
      <c r="G25" s="131" t="n">
        <f aca="false">E25</f>
        <v>4.431</v>
      </c>
      <c r="H25" s="129" t="n">
        <f aca="false">VLOOKUP($A25,[1]!CurveTable,MATCH($H$4,[1]!CurveType,0))</f>
        <v>0</v>
      </c>
      <c r="I25" s="131"/>
      <c r="J25" s="131" t="n">
        <f aca="false">H25</f>
        <v>0</v>
      </c>
      <c r="K25" s="129"/>
      <c r="L25" s="131"/>
      <c r="M25" s="131"/>
      <c r="N25" s="131" t="n">
        <f aca="false">G25+J25+M25+$N$7</f>
        <v>4.141</v>
      </c>
      <c r="O25" s="131" t="n">
        <f aca="false">O24</f>
        <v>3</v>
      </c>
      <c r="P25" s="131"/>
      <c r="Q25" s="129" t="n">
        <f aca="false">VLOOKUP($A25,[1]!CurveTable,MATCH($Q$4,[1]!CurveType,0))</f>
        <v>0.18</v>
      </c>
      <c r="R25" s="129" t="n">
        <f aca="false">Q25+Summary!C$25</f>
        <v>0.18</v>
      </c>
      <c r="S25" s="129"/>
      <c r="T25" s="132" t="n">
        <f aca="false">X25</f>
        <v>40634</v>
      </c>
      <c r="U25" s="133" t="n">
        <f aca="false">T25-$C$3</f>
        <v>3629</v>
      </c>
      <c r="V25" s="134"/>
      <c r="W25" s="61" t="n">
        <f aca="false">A26-A25</f>
        <v>30</v>
      </c>
      <c r="X25" s="135" t="n">
        <f aca="false">CHOOSE(F$3,A26+24,A25)</f>
        <v>40634</v>
      </c>
      <c r="Y25" s="61" t="n">
        <f aca="false">X25-C$3</f>
        <v>3629</v>
      </c>
      <c r="Z25" s="136" t="n">
        <f aca="false">VLOOKUP($A25,[1]!CurveTable,MATCH($Z$4,[1]!CurveType,0))</f>
        <v>0.0620850958843318</v>
      </c>
      <c r="AA25" s="137" t="n">
        <f aca="false">1/(1+CHOOSE(F$3,(Z26+($K$3/10000))/2,(Z25+($K$3/10000))/2))^(2*Y25/365.25)</f>
        <v>0.544724193984937</v>
      </c>
      <c r="AB25" s="61" t="n">
        <f aca="false">IF(AND(mthbeg&lt;=A25,mthend&gt;=A25),1,0)</f>
        <v>1</v>
      </c>
      <c r="AC25" s="61" t="n">
        <f aca="false">W25*AB25</f>
        <v>30</v>
      </c>
      <c r="AD25" s="121" t="n">
        <f aca="false">$D25*E25</f>
        <v>14878772.8364396</v>
      </c>
      <c r="AE25" s="121" t="n">
        <f aca="false">$D25*F25</f>
        <v>0</v>
      </c>
      <c r="AF25" s="121" t="n">
        <f aca="false">$D25*G25</f>
        <v>14878772.8364396</v>
      </c>
      <c r="AG25" s="121" t="n">
        <f aca="false">$D25*H25</f>
        <v>0</v>
      </c>
      <c r="AH25" s="121" t="n">
        <f aca="false">$D25*I25</f>
        <v>0</v>
      </c>
      <c r="AI25" s="121" t="n">
        <f aca="false">$D25*J25</f>
        <v>0</v>
      </c>
      <c r="AJ25" s="121" t="n">
        <f aca="false">$D25*K25</f>
        <v>0</v>
      </c>
      <c r="AK25" s="121" t="n">
        <f aca="false">$D25*L25</f>
        <v>0</v>
      </c>
      <c r="AL25" s="121" t="n">
        <f aca="false">$D25*M25</f>
        <v>0</v>
      </c>
      <c r="AM25" s="125"/>
      <c r="AO25" s="75" t="e">
        <f aca="false">EURO(N25,O25,Z25,Z25,R25,U25,0,0)</f>
        <v>#NAME?</v>
      </c>
      <c r="AP25" s="138" t="e">
        <f aca="false">AO25*C25</f>
        <v>#NAME?</v>
      </c>
      <c r="AQ25" s="60" t="e">
        <f aca="false">-EURO(N25,O25,Z25,Z25,R25,U25,0,1)</f>
        <v>#NAME?</v>
      </c>
    </row>
    <row r="26" customFormat="false" ht="12.75" hidden="false" customHeight="false" outlineLevel="0" collapsed="false">
      <c r="A26" s="127" t="n">
        <f aca="false">EDATE(A25,1)</f>
        <v>40664</v>
      </c>
      <c r="B26" s="128" t="n">
        <f aca="false">B25</f>
        <v>205479</v>
      </c>
      <c r="C26" s="116" t="n">
        <f aca="false">IF(AB26=0,0,IF(AND(AB26=1,$H$3=1),B26*W26,IF($H$3=2,B26,"N/A")))</f>
        <v>6369849</v>
      </c>
      <c r="D26" s="116" t="n">
        <f aca="false">C26*AA26</f>
        <v>3449428.38425087</v>
      </c>
      <c r="E26" s="129" t="n">
        <f aca="false">VLOOKUP($A26,[1]!CurveTable,MATCH($E$4,[1]!CurveType,0))</f>
        <v>4.49</v>
      </c>
      <c r="F26" s="130"/>
      <c r="G26" s="131" t="n">
        <f aca="false">E26</f>
        <v>4.49</v>
      </c>
      <c r="H26" s="129" t="n">
        <f aca="false">VLOOKUP($A26,[1]!CurveTable,MATCH($H$4,[1]!CurveType,0))</f>
        <v>0</v>
      </c>
      <c r="I26" s="131"/>
      <c r="J26" s="131" t="n">
        <f aca="false">H26</f>
        <v>0</v>
      </c>
      <c r="K26" s="129"/>
      <c r="L26" s="131"/>
      <c r="M26" s="131"/>
      <c r="N26" s="131" t="n">
        <f aca="false">G26+J26+M26+$N$7</f>
        <v>4.2</v>
      </c>
      <c r="O26" s="131" t="n">
        <f aca="false">O25</f>
        <v>3</v>
      </c>
      <c r="P26" s="131"/>
      <c r="Q26" s="129" t="n">
        <f aca="false">VLOOKUP($A26,[1]!CurveTable,MATCH($Q$4,[1]!CurveType,0))</f>
        <v>0.18</v>
      </c>
      <c r="R26" s="129" t="n">
        <f aca="false">Q26+Summary!C$25</f>
        <v>0.18</v>
      </c>
      <c r="S26" s="129"/>
      <c r="T26" s="132" t="n">
        <f aca="false">X26</f>
        <v>40664</v>
      </c>
      <c r="U26" s="133" t="n">
        <f aca="false">T26-$C$3</f>
        <v>3659</v>
      </c>
      <c r="V26" s="134"/>
      <c r="W26" s="61" t="n">
        <f aca="false">A27-A26</f>
        <v>31</v>
      </c>
      <c r="X26" s="135" t="n">
        <f aca="false">CHOOSE(F$3,A27+24,A26)</f>
        <v>40664</v>
      </c>
      <c r="Y26" s="61" t="n">
        <f aca="false">X26-C$3</f>
        <v>3659</v>
      </c>
      <c r="Z26" s="136" t="n">
        <f aca="false">VLOOKUP($A26,[1]!CurveTable,MATCH($Z$4,[1]!CurveType,0))</f>
        <v>0.0621746094126641</v>
      </c>
      <c r="AA26" s="137" t="n">
        <f aca="false">1/(1+CHOOSE(F$3,(Z27+($K$3/10000))/2,(Z26+($K$3/10000))/2))^(2*Y26/365.25)</f>
        <v>0.541524357053184</v>
      </c>
      <c r="AB26" s="61" t="n">
        <f aca="false">IF(AND(mthbeg&lt;=A26,mthend&gt;=A26),1,0)</f>
        <v>1</v>
      </c>
      <c r="AC26" s="61" t="n">
        <f aca="false">W26*AB26</f>
        <v>31</v>
      </c>
      <c r="AD26" s="121" t="n">
        <f aca="false">$D26*E26</f>
        <v>15487933.4452864</v>
      </c>
      <c r="AE26" s="121" t="n">
        <f aca="false">$D26*F26</f>
        <v>0</v>
      </c>
      <c r="AF26" s="121" t="n">
        <f aca="false">$D26*G26</f>
        <v>15487933.4452864</v>
      </c>
      <c r="AG26" s="121" t="n">
        <f aca="false">$D26*H26</f>
        <v>0</v>
      </c>
      <c r="AH26" s="121" t="n">
        <f aca="false">$D26*I26</f>
        <v>0</v>
      </c>
      <c r="AI26" s="121" t="n">
        <f aca="false">$D26*J26</f>
        <v>0</v>
      </c>
      <c r="AJ26" s="121" t="n">
        <f aca="false">$D26*K26</f>
        <v>0</v>
      </c>
      <c r="AK26" s="121" t="n">
        <f aca="false">$D26*L26</f>
        <v>0</v>
      </c>
      <c r="AL26" s="121" t="n">
        <f aca="false">$D26*M26</f>
        <v>0</v>
      </c>
      <c r="AM26" s="125"/>
      <c r="AO26" s="75" t="e">
        <f aca="false">EURO(N26,O26,Z26,Z26,R26,U26,0,0)</f>
        <v>#NAME?</v>
      </c>
      <c r="AP26" s="138" t="e">
        <f aca="false">AO26*C26</f>
        <v>#NAME?</v>
      </c>
      <c r="AQ26" s="60" t="e">
        <f aca="false">-EURO(N26,O26,Z26,Z26,R26,U26,0,1)</f>
        <v>#NAME?</v>
      </c>
    </row>
    <row r="27" customFormat="false" ht="12.75" hidden="false" customHeight="false" outlineLevel="0" collapsed="false">
      <c r="A27" s="127" t="n">
        <f aca="false">EDATE(A26,1)</f>
        <v>40695</v>
      </c>
      <c r="B27" s="128" t="n">
        <f aca="false">B26</f>
        <v>205479</v>
      </c>
      <c r="C27" s="116" t="n">
        <f aca="false">IF(AB27=0,0,IF(AND(AB27=1,$H$3=1),B27*W27,IF($H$3=2,B27,"N/A")))</f>
        <v>6164370</v>
      </c>
      <c r="D27" s="116" t="n">
        <f aca="false">C27*AA27</f>
        <v>3319471.27270409</v>
      </c>
      <c r="E27" s="129" t="n">
        <f aca="false">VLOOKUP($A27,[1]!CurveTable,MATCH($E$4,[1]!CurveType,0))</f>
        <v>4.53</v>
      </c>
      <c r="F27" s="130"/>
      <c r="G27" s="131" t="n">
        <f aca="false">E27</f>
        <v>4.53</v>
      </c>
      <c r="H27" s="129" t="n">
        <f aca="false">VLOOKUP($A27,[1]!CurveTable,MATCH($H$4,[1]!CurveType,0))</f>
        <v>0</v>
      </c>
      <c r="I27" s="131"/>
      <c r="J27" s="131" t="n">
        <f aca="false">H27</f>
        <v>0</v>
      </c>
      <c r="K27" s="129"/>
      <c r="L27" s="131"/>
      <c r="M27" s="131"/>
      <c r="N27" s="131" t="n">
        <f aca="false">G27+J27+M27+$N$7</f>
        <v>4.24</v>
      </c>
      <c r="O27" s="131" t="n">
        <f aca="false">O26</f>
        <v>3</v>
      </c>
      <c r="P27" s="131"/>
      <c r="Q27" s="129" t="n">
        <f aca="false">VLOOKUP($A27,[1]!CurveTable,MATCH($Q$4,[1]!CurveType,0))</f>
        <v>0.18</v>
      </c>
      <c r="R27" s="129" t="n">
        <f aca="false">Q27+Summary!C$25</f>
        <v>0.18</v>
      </c>
      <c r="S27" s="129"/>
      <c r="T27" s="132" t="n">
        <f aca="false">X27</f>
        <v>40695</v>
      </c>
      <c r="U27" s="133" t="n">
        <f aca="false">T27-$C$3</f>
        <v>3690</v>
      </c>
      <c r="V27" s="134"/>
      <c r="W27" s="61" t="n">
        <f aca="false">A28-A27</f>
        <v>30</v>
      </c>
      <c r="X27" s="135" t="n">
        <f aca="false">CHOOSE(F$3,A28+24,A27)</f>
        <v>40695</v>
      </c>
      <c r="Y27" s="61" t="n">
        <f aca="false">X27-C$3</f>
        <v>3690</v>
      </c>
      <c r="Z27" s="136" t="n">
        <f aca="false">VLOOKUP($A27,[1]!CurveTable,MATCH($Z$4,[1]!CurveType,0))</f>
        <v>0.0622171270805874</v>
      </c>
      <c r="AA27" s="137" t="n">
        <f aca="false">1/(1+CHOOSE(F$3,(Z28+($K$3/10000))/2,(Z27+($K$3/10000))/2))^(2*Y27/365.25)</f>
        <v>0.538493191145906</v>
      </c>
      <c r="AB27" s="61" t="n">
        <f aca="false">IF(AND(mthbeg&lt;=A27,mthend&gt;=A27),1,0)</f>
        <v>1</v>
      </c>
      <c r="AC27" s="61" t="n">
        <f aca="false">W27*AB27</f>
        <v>30</v>
      </c>
      <c r="AD27" s="121" t="n">
        <f aca="false">$D27*E27</f>
        <v>15037204.8653495</v>
      </c>
      <c r="AE27" s="121" t="n">
        <f aca="false">$D27*F27</f>
        <v>0</v>
      </c>
      <c r="AF27" s="121" t="n">
        <f aca="false">$D27*G27</f>
        <v>15037204.8653495</v>
      </c>
      <c r="AG27" s="121" t="n">
        <f aca="false">$D27*H27</f>
        <v>0</v>
      </c>
      <c r="AH27" s="121" t="n">
        <f aca="false">$D27*I27</f>
        <v>0</v>
      </c>
      <c r="AI27" s="121" t="n">
        <f aca="false">$D27*J27</f>
        <v>0</v>
      </c>
      <c r="AJ27" s="121" t="n">
        <f aca="false">$D27*K27</f>
        <v>0</v>
      </c>
      <c r="AK27" s="121" t="n">
        <f aca="false">$D27*L27</f>
        <v>0</v>
      </c>
      <c r="AL27" s="121" t="n">
        <f aca="false">$D27*M27</f>
        <v>0</v>
      </c>
      <c r="AM27" s="125"/>
      <c r="AO27" s="75" t="e">
        <f aca="false">EURO(N27,O27,Z27,Z27,R27,U27,0,0)</f>
        <v>#NAME?</v>
      </c>
      <c r="AP27" s="138" t="e">
        <f aca="false">AO27*C27</f>
        <v>#NAME?</v>
      </c>
      <c r="AQ27" s="60" t="e">
        <f aca="false">-EURO(N27,O27,Z27,Z27,R27,U27,0,1)</f>
        <v>#NAME?</v>
      </c>
    </row>
    <row r="28" customFormat="false" ht="12.75" hidden="false" customHeight="false" outlineLevel="0" collapsed="false">
      <c r="A28" s="127" t="n">
        <f aca="false">EDATE(A27,1)</f>
        <v>40725</v>
      </c>
      <c r="B28" s="128" t="n">
        <f aca="false">B27</f>
        <v>205479</v>
      </c>
      <c r="C28" s="116" t="n">
        <f aca="false">IF(AB28=0,0,IF(AND(AB28=1,$H$3=1),B28*W28,IF($H$3=2,B28,"N/A")))</f>
        <v>6369849</v>
      </c>
      <c r="D28" s="116" t="n">
        <f aca="false">C28*AA28</f>
        <v>3411515.28812844</v>
      </c>
      <c r="E28" s="129" t="n">
        <f aca="false">VLOOKUP($A28,[1]!CurveTable,MATCH($E$4,[1]!CurveType,0))</f>
        <v>4.575</v>
      </c>
      <c r="F28" s="130"/>
      <c r="G28" s="131" t="n">
        <f aca="false">E28</f>
        <v>4.575</v>
      </c>
      <c r="H28" s="129" t="n">
        <f aca="false">VLOOKUP($A28,[1]!CurveTable,MATCH($H$4,[1]!CurveType,0))</f>
        <v>0</v>
      </c>
      <c r="I28" s="131"/>
      <c r="J28" s="131" t="n">
        <f aca="false">H28</f>
        <v>0</v>
      </c>
      <c r="K28" s="129"/>
      <c r="L28" s="131"/>
      <c r="M28" s="131"/>
      <c r="N28" s="131" t="n">
        <f aca="false">G28+J28+M28+$N$7</f>
        <v>4.285</v>
      </c>
      <c r="O28" s="131" t="n">
        <f aca="false">O27</f>
        <v>3</v>
      </c>
      <c r="P28" s="131"/>
      <c r="Q28" s="129" t="n">
        <f aca="false">VLOOKUP($A28,[1]!CurveTable,MATCH($Q$4,[1]!CurveType,0))</f>
        <v>0.18</v>
      </c>
      <c r="R28" s="129" t="n">
        <f aca="false">Q28+Summary!C$25</f>
        <v>0.18</v>
      </c>
      <c r="S28" s="129"/>
      <c r="T28" s="132" t="n">
        <f aca="false">X28</f>
        <v>40725</v>
      </c>
      <c r="U28" s="133" t="n">
        <f aca="false">T28-$C$3</f>
        <v>3720</v>
      </c>
      <c r="V28" s="134"/>
      <c r="W28" s="61" t="n">
        <f aca="false">A29-A28</f>
        <v>31</v>
      </c>
      <c r="X28" s="135" t="n">
        <f aca="false">CHOOSE(F$3,A29+24,A28)</f>
        <v>40725</v>
      </c>
      <c r="Y28" s="61" t="n">
        <f aca="false">X28-C$3</f>
        <v>3720</v>
      </c>
      <c r="Z28" s="136" t="n">
        <f aca="false">VLOOKUP($A28,[1]!CurveTable,MATCH($Z$4,[1]!CurveType,0))</f>
        <v>0.0622582732114063</v>
      </c>
      <c r="AA28" s="137" t="n">
        <f aca="false">1/(1+CHOOSE(F$3,(Z29+($K$3/10000))/2,(Z28+($K$3/10000))/2))^(2*Y28/365.25)</f>
        <v>0.535572395535348</v>
      </c>
      <c r="AB28" s="61" t="n">
        <f aca="false">IF(AND(mthbeg&lt;=A28,mthend&gt;=A28),1,0)</f>
        <v>1</v>
      </c>
      <c r="AC28" s="61" t="n">
        <f aca="false">W28*AB28</f>
        <v>31</v>
      </c>
      <c r="AD28" s="121" t="n">
        <f aca="false">$D28*E28</f>
        <v>15607682.4431876</v>
      </c>
      <c r="AE28" s="121" t="n">
        <f aca="false">$D28*F28</f>
        <v>0</v>
      </c>
      <c r="AF28" s="121" t="n">
        <f aca="false">$D28*G28</f>
        <v>15607682.4431876</v>
      </c>
      <c r="AG28" s="121" t="n">
        <f aca="false">$D28*H28</f>
        <v>0</v>
      </c>
      <c r="AH28" s="121" t="n">
        <f aca="false">$D28*I28</f>
        <v>0</v>
      </c>
      <c r="AI28" s="121" t="n">
        <f aca="false">$D28*J28</f>
        <v>0</v>
      </c>
      <c r="AJ28" s="121" t="n">
        <f aca="false">$D28*K28</f>
        <v>0</v>
      </c>
      <c r="AK28" s="121" t="n">
        <f aca="false">$D28*L28</f>
        <v>0</v>
      </c>
      <c r="AL28" s="121" t="n">
        <f aca="false">$D28*M28</f>
        <v>0</v>
      </c>
      <c r="AM28" s="125"/>
      <c r="AO28" s="75" t="e">
        <f aca="false">EURO(N28,O28,Z28,Z28,R28,U28,0,0)</f>
        <v>#NAME?</v>
      </c>
      <c r="AP28" s="138" t="e">
        <f aca="false">AO28*C28</f>
        <v>#NAME?</v>
      </c>
      <c r="AQ28" s="60" t="e">
        <f aca="false">-EURO(N28,O28,Z28,Z28,R28,U28,0,1)</f>
        <v>#NAME?</v>
      </c>
    </row>
    <row r="29" customFormat="false" ht="12.75" hidden="false" customHeight="false" outlineLevel="0" collapsed="false">
      <c r="A29" s="127" t="n">
        <f aca="false">EDATE(A28,1)</f>
        <v>40756</v>
      </c>
      <c r="B29" s="128" t="n">
        <f aca="false">B28</f>
        <v>205479</v>
      </c>
      <c r="C29" s="116" t="n">
        <f aca="false">IF(AB29=0,0,IF(AND(AB29=1,$H$3=1),B29*W29,IF($H$3=2,B29,"N/A")))</f>
        <v>6369849</v>
      </c>
      <c r="D29" s="116" t="n">
        <f aca="false">C29*AA29</f>
        <v>3392372.77025674</v>
      </c>
      <c r="E29" s="129" t="n">
        <f aca="false">VLOOKUP($A29,[1]!CurveTable,MATCH($E$4,[1]!CurveType,0))</f>
        <v>4.61</v>
      </c>
      <c r="F29" s="130"/>
      <c r="G29" s="131" t="n">
        <f aca="false">E29</f>
        <v>4.61</v>
      </c>
      <c r="H29" s="129" t="n">
        <f aca="false">VLOOKUP($A29,[1]!CurveTable,MATCH($H$4,[1]!CurveType,0))</f>
        <v>0</v>
      </c>
      <c r="I29" s="131"/>
      <c r="J29" s="131" t="n">
        <f aca="false">H29</f>
        <v>0</v>
      </c>
      <c r="K29" s="129"/>
      <c r="L29" s="131"/>
      <c r="M29" s="131"/>
      <c r="N29" s="131" t="n">
        <f aca="false">G29+J29+M29+$N$7</f>
        <v>4.32</v>
      </c>
      <c r="O29" s="131" t="n">
        <f aca="false">O28</f>
        <v>3</v>
      </c>
      <c r="P29" s="131"/>
      <c r="Q29" s="129" t="n">
        <f aca="false">VLOOKUP($A29,[1]!CurveTable,MATCH($Q$4,[1]!CurveType,0))</f>
        <v>0.18</v>
      </c>
      <c r="R29" s="129" t="n">
        <f aca="false">Q29+Summary!C$25</f>
        <v>0.18</v>
      </c>
      <c r="S29" s="129"/>
      <c r="T29" s="132" t="n">
        <f aca="false">X29</f>
        <v>40756</v>
      </c>
      <c r="U29" s="133" t="n">
        <f aca="false">T29-$C$3</f>
        <v>3751</v>
      </c>
      <c r="V29" s="134"/>
      <c r="W29" s="61" t="n">
        <f aca="false">A30-A29</f>
        <v>31</v>
      </c>
      <c r="X29" s="135" t="n">
        <f aca="false">CHOOSE(F$3,A30+24,A29)</f>
        <v>40756</v>
      </c>
      <c r="Y29" s="61" t="n">
        <f aca="false">X29-C$3</f>
        <v>3751</v>
      </c>
      <c r="Z29" s="136" t="n">
        <f aca="false">VLOOKUP($A29,[1]!CurveTable,MATCH($Z$4,[1]!CurveType,0))</f>
        <v>0.06230079088051</v>
      </c>
      <c r="AA29" s="137" t="n">
        <f aca="false">1/(1+CHOOSE(F$3,(Z30+($K$3/10000))/2,(Z29+($K$3/10000))/2))^(2*Y29/365.25)</f>
        <v>0.532567219451629</v>
      </c>
      <c r="AB29" s="61" t="n">
        <f aca="false">IF(AND(mthbeg&lt;=A29,mthend&gt;=A29),1,0)</f>
        <v>1</v>
      </c>
      <c r="AC29" s="61" t="n">
        <f aca="false">W29*AB29</f>
        <v>31</v>
      </c>
      <c r="AD29" s="121" t="n">
        <f aca="false">$D29*E29</f>
        <v>15638838.4708836</v>
      </c>
      <c r="AE29" s="121" t="n">
        <f aca="false">$D29*F29</f>
        <v>0</v>
      </c>
      <c r="AF29" s="121" t="n">
        <f aca="false">$D29*G29</f>
        <v>15638838.4708836</v>
      </c>
      <c r="AG29" s="121" t="n">
        <f aca="false">$D29*H29</f>
        <v>0</v>
      </c>
      <c r="AH29" s="121" t="n">
        <f aca="false">$D29*I29</f>
        <v>0</v>
      </c>
      <c r="AI29" s="121" t="n">
        <f aca="false">$D29*J29</f>
        <v>0</v>
      </c>
      <c r="AJ29" s="121" t="n">
        <f aca="false">$D29*K29</f>
        <v>0</v>
      </c>
      <c r="AK29" s="121" t="n">
        <f aca="false">$D29*L29</f>
        <v>0</v>
      </c>
      <c r="AL29" s="121" t="n">
        <f aca="false">$D29*M29</f>
        <v>0</v>
      </c>
      <c r="AM29" s="125"/>
      <c r="AO29" s="75" t="e">
        <f aca="false">EURO(N29,O29,Z29,Z29,R29,U29,0,0)</f>
        <v>#NAME?</v>
      </c>
      <c r="AP29" s="138" t="e">
        <f aca="false">AO29*C29</f>
        <v>#NAME?</v>
      </c>
      <c r="AQ29" s="60" t="e">
        <f aca="false">-EURO(N29,O29,Z29,Z29,R29,U29,0,1)</f>
        <v>#NAME?</v>
      </c>
    </row>
    <row r="30" customFormat="false" ht="12.75" hidden="false" customHeight="false" outlineLevel="0" collapsed="false">
      <c r="A30" s="127" t="n">
        <f aca="false">EDATE(A29,1)</f>
        <v>40787</v>
      </c>
      <c r="B30" s="128" t="n">
        <f aca="false">B29</f>
        <v>205479</v>
      </c>
      <c r="C30" s="116" t="n">
        <f aca="false">IF(AB30=0,0,IF(AND(AB30=1,$H$3=1),B30*W30,IF($H$3=2,B30,"N/A")))</f>
        <v>6164370</v>
      </c>
      <c r="D30" s="116" t="n">
        <f aca="false">C30*AA30</f>
        <v>3264497.49939643</v>
      </c>
      <c r="E30" s="129" t="n">
        <f aca="false">VLOOKUP($A30,[1]!CurveTable,MATCH($E$4,[1]!CurveType,0))</f>
        <v>4.615</v>
      </c>
      <c r="F30" s="130"/>
      <c r="G30" s="131" t="n">
        <f aca="false">E30</f>
        <v>4.615</v>
      </c>
      <c r="H30" s="129" t="n">
        <f aca="false">VLOOKUP($A30,[1]!CurveTable,MATCH($H$4,[1]!CurveType,0))</f>
        <v>0</v>
      </c>
      <c r="I30" s="131"/>
      <c r="J30" s="131" t="n">
        <f aca="false">H30</f>
        <v>0</v>
      </c>
      <c r="K30" s="129"/>
      <c r="L30" s="131"/>
      <c r="M30" s="131"/>
      <c r="N30" s="131" t="n">
        <f aca="false">G30+J30+M30+$N$7</f>
        <v>4.325</v>
      </c>
      <c r="O30" s="131" t="n">
        <f aca="false">O29</f>
        <v>3</v>
      </c>
      <c r="P30" s="131"/>
      <c r="Q30" s="129" t="n">
        <f aca="false">VLOOKUP($A30,[1]!CurveTable,MATCH($Q$4,[1]!CurveType,0))</f>
        <v>0.18</v>
      </c>
      <c r="R30" s="129" t="n">
        <f aca="false">Q30+Summary!C$25</f>
        <v>0.18</v>
      </c>
      <c r="S30" s="129"/>
      <c r="T30" s="132" t="n">
        <f aca="false">X30</f>
        <v>40787</v>
      </c>
      <c r="U30" s="133" t="n">
        <f aca="false">T30-$C$3</f>
        <v>3782</v>
      </c>
      <c r="V30" s="134"/>
      <c r="W30" s="61" t="n">
        <f aca="false">A31-A30</f>
        <v>30</v>
      </c>
      <c r="X30" s="135" t="n">
        <f aca="false">CHOOSE(F$3,A31+24,A30)</f>
        <v>40787</v>
      </c>
      <c r="Y30" s="61" t="n">
        <f aca="false">X30-C$3</f>
        <v>3782</v>
      </c>
      <c r="Z30" s="136" t="n">
        <f aca="false">VLOOKUP($A30,[1]!CurveTable,MATCH($Z$4,[1]!CurveType,0))</f>
        <v>0.0623433085502136</v>
      </c>
      <c r="AA30" s="137" t="n">
        <f aca="false">1/(1+CHOOSE(F$3,(Z31+($K$3/10000))/2,(Z30+($K$3/10000))/2))^(2*Y30/365.25)</f>
        <v>0.529575203856424</v>
      </c>
      <c r="AB30" s="61" t="n">
        <f aca="false">IF(AND(mthbeg&lt;=A30,mthend&gt;=A30),1,0)</f>
        <v>1</v>
      </c>
      <c r="AC30" s="61" t="n">
        <f aca="false">W30*AB30</f>
        <v>30</v>
      </c>
      <c r="AD30" s="121" t="n">
        <f aca="false">$D30*E30</f>
        <v>15065655.9597145</v>
      </c>
      <c r="AE30" s="121" t="n">
        <f aca="false">$D30*F30</f>
        <v>0</v>
      </c>
      <c r="AF30" s="121" t="n">
        <f aca="false">$D30*G30</f>
        <v>15065655.9597145</v>
      </c>
      <c r="AG30" s="121" t="n">
        <f aca="false">$D30*H30</f>
        <v>0</v>
      </c>
      <c r="AH30" s="121" t="n">
        <f aca="false">$D30*I30</f>
        <v>0</v>
      </c>
      <c r="AI30" s="121" t="n">
        <f aca="false">$D30*J30</f>
        <v>0</v>
      </c>
      <c r="AJ30" s="121" t="n">
        <f aca="false">$D30*K30</f>
        <v>0</v>
      </c>
      <c r="AK30" s="121" t="n">
        <f aca="false">$D30*L30</f>
        <v>0</v>
      </c>
      <c r="AL30" s="121" t="n">
        <f aca="false">$D30*M30</f>
        <v>0</v>
      </c>
      <c r="AM30" s="125"/>
      <c r="AO30" s="75" t="e">
        <f aca="false">EURO(N30,O30,Z30,Z30,R30,U30,0,0)</f>
        <v>#NAME?</v>
      </c>
      <c r="AP30" s="138" t="e">
        <f aca="false">AO30*C30</f>
        <v>#NAME?</v>
      </c>
      <c r="AQ30" s="60" t="e">
        <f aca="false">-EURO(N30,O30,Z30,Z30,R30,U30,0,1)</f>
        <v>#NAME?</v>
      </c>
    </row>
    <row r="31" customFormat="false" ht="12.75" hidden="false" customHeight="false" outlineLevel="0" collapsed="false">
      <c r="A31" s="127" t="n">
        <f aca="false">EDATE(A30,1)</f>
        <v>40817</v>
      </c>
      <c r="B31" s="128" t="n">
        <f aca="false">B30</f>
        <v>205479</v>
      </c>
      <c r="C31" s="116" t="n">
        <f aca="false">IF(AB31=0,0,IF(AND(AB31=1,$H$3=1),B31*W31,IF($H$3=2,B31,"N/A")))</f>
        <v>6369849</v>
      </c>
      <c r="D31" s="116" t="n">
        <f aca="false">C31*AA31</f>
        <v>3354949.81652551</v>
      </c>
      <c r="E31" s="129" t="n">
        <f aca="false">VLOOKUP($A31,[1]!CurveTable,MATCH($E$4,[1]!CurveType,0))</f>
        <v>4.645</v>
      </c>
      <c r="F31" s="130"/>
      <c r="G31" s="131" t="n">
        <f aca="false">E31</f>
        <v>4.645</v>
      </c>
      <c r="H31" s="129" t="n">
        <f aca="false">VLOOKUP($A31,[1]!CurveTable,MATCH($H$4,[1]!CurveType,0))</f>
        <v>0</v>
      </c>
      <c r="I31" s="131"/>
      <c r="J31" s="131" t="n">
        <f aca="false">H31</f>
        <v>0</v>
      </c>
      <c r="K31" s="129"/>
      <c r="L31" s="131"/>
      <c r="M31" s="131"/>
      <c r="N31" s="131" t="n">
        <f aca="false">G31+J31+M31+$N$7</f>
        <v>4.355</v>
      </c>
      <c r="O31" s="131" t="n">
        <f aca="false">O30</f>
        <v>3</v>
      </c>
      <c r="P31" s="131"/>
      <c r="Q31" s="129" t="n">
        <f aca="false">VLOOKUP($A31,[1]!CurveTable,MATCH($Q$4,[1]!CurveType,0))</f>
        <v>0.18</v>
      </c>
      <c r="R31" s="129" t="n">
        <f aca="false">Q31+Summary!C$25</f>
        <v>0.18</v>
      </c>
      <c r="S31" s="129"/>
      <c r="T31" s="132" t="n">
        <f aca="false">X31</f>
        <v>40817</v>
      </c>
      <c r="U31" s="133" t="n">
        <f aca="false">T31-$C$3</f>
        <v>3812</v>
      </c>
      <c r="V31" s="134"/>
      <c r="W31" s="61" t="n">
        <f aca="false">A32-A31</f>
        <v>31</v>
      </c>
      <c r="X31" s="135" t="n">
        <f aca="false">CHOOSE(F$3,A32+24,A31)</f>
        <v>40817</v>
      </c>
      <c r="Y31" s="61" t="n">
        <f aca="false">X31-C$3</f>
        <v>3812</v>
      </c>
      <c r="Z31" s="136" t="n">
        <f aca="false">VLOOKUP($A31,[1]!CurveTable,MATCH($Z$4,[1]!CurveType,0))</f>
        <v>0.0623844546827561</v>
      </c>
      <c r="AA31" s="137" t="n">
        <f aca="false">1/(1+CHOOSE(F$3,(Z32+($K$3/10000))/2,(Z31+($K$3/10000))/2))^(2*Y31/365.25)</f>
        <v>0.526692205188146</v>
      </c>
      <c r="AB31" s="61" t="n">
        <f aca="false">IF(AND(mthbeg&lt;=A31,mthend&gt;=A31),1,0)</f>
        <v>1</v>
      </c>
      <c r="AC31" s="61" t="n">
        <f aca="false">W31*AB31</f>
        <v>31</v>
      </c>
      <c r="AD31" s="121" t="n">
        <f aca="false">$D31*E31</f>
        <v>15583741.897761</v>
      </c>
      <c r="AE31" s="121" t="n">
        <f aca="false">$D31*F31</f>
        <v>0</v>
      </c>
      <c r="AF31" s="121" t="n">
        <f aca="false">$D31*G31</f>
        <v>15583741.897761</v>
      </c>
      <c r="AG31" s="121" t="n">
        <f aca="false">$D31*H31</f>
        <v>0</v>
      </c>
      <c r="AH31" s="121" t="n">
        <f aca="false">$D31*I31</f>
        <v>0</v>
      </c>
      <c r="AI31" s="121" t="n">
        <f aca="false">$D31*J31</f>
        <v>0</v>
      </c>
      <c r="AJ31" s="121" t="n">
        <f aca="false">$D31*K31</f>
        <v>0</v>
      </c>
      <c r="AK31" s="121" t="n">
        <f aca="false">$D31*L31</f>
        <v>0</v>
      </c>
      <c r="AL31" s="121" t="n">
        <f aca="false">$D31*M31</f>
        <v>0</v>
      </c>
      <c r="AM31" s="125"/>
      <c r="AO31" s="75" t="e">
        <f aca="false">EURO(N31,O31,Z31,Z31,R31,U31,0,0)</f>
        <v>#NAME?</v>
      </c>
      <c r="AP31" s="138" t="e">
        <f aca="false">AO31*C31</f>
        <v>#NAME?</v>
      </c>
      <c r="AQ31" s="60" t="e">
        <f aca="false">-EURO(N31,O31,Z31,Z31,R31,U31,0,1)</f>
        <v>#NAME?</v>
      </c>
    </row>
    <row r="32" customFormat="false" ht="12.75" hidden="false" customHeight="false" outlineLevel="0" collapsed="false">
      <c r="A32" s="127" t="n">
        <f aca="false">EDATE(A31,1)</f>
        <v>40848</v>
      </c>
      <c r="B32" s="128" t="n">
        <f aca="false">B31</f>
        <v>205479</v>
      </c>
      <c r="C32" s="116" t="n">
        <f aca="false">IF(AB32=0,0,IF(AND(AB32=1,$H$3=1),B32*W32,IF($H$3=2,B32,"N/A")))</f>
        <v>6164370</v>
      </c>
      <c r="D32" s="116" t="n">
        <f aca="false">C32*AA32</f>
        <v>3228440.79448647</v>
      </c>
      <c r="E32" s="129" t="n">
        <f aca="false">VLOOKUP($A32,[1]!CurveTable,MATCH($E$4,[1]!CurveType,0))</f>
        <v>4.755</v>
      </c>
      <c r="F32" s="130"/>
      <c r="G32" s="131" t="n">
        <f aca="false">E32</f>
        <v>4.755</v>
      </c>
      <c r="H32" s="129" t="n">
        <f aca="false">VLOOKUP($A32,[1]!CurveTable,MATCH($H$4,[1]!CurveType,0))</f>
        <v>0</v>
      </c>
      <c r="I32" s="131"/>
      <c r="J32" s="131" t="n">
        <f aca="false">H32</f>
        <v>0</v>
      </c>
      <c r="K32" s="129"/>
      <c r="L32" s="131"/>
      <c r="M32" s="131"/>
      <c r="N32" s="131" t="n">
        <f aca="false">G32+J32+M32+$N$7</f>
        <v>4.465</v>
      </c>
      <c r="O32" s="131" t="n">
        <f aca="false">O31</f>
        <v>3</v>
      </c>
      <c r="P32" s="131"/>
      <c r="Q32" s="129" t="n">
        <f aca="false">VLOOKUP($A32,[1]!CurveTable,MATCH($Q$4,[1]!CurveType,0))</f>
        <v>0.18</v>
      </c>
      <c r="R32" s="129" t="n">
        <f aca="false">Q32+Summary!C$25</f>
        <v>0.18</v>
      </c>
      <c r="S32" s="129"/>
      <c r="T32" s="132" t="n">
        <f aca="false">X32</f>
        <v>40848</v>
      </c>
      <c r="U32" s="133" t="n">
        <f aca="false">T32-$C$3</f>
        <v>3843</v>
      </c>
      <c r="V32" s="134"/>
      <c r="W32" s="61" t="n">
        <f aca="false">A33-A32</f>
        <v>30</v>
      </c>
      <c r="X32" s="135" t="n">
        <f aca="false">CHOOSE(F$3,A33+24,A32)</f>
        <v>40848</v>
      </c>
      <c r="Y32" s="61" t="n">
        <f aca="false">X32-C$3</f>
        <v>3843</v>
      </c>
      <c r="Z32" s="136" t="n">
        <f aca="false">VLOOKUP($A32,[1]!CurveTable,MATCH($Z$4,[1]!CurveType,0))</f>
        <v>0.0624269723536406</v>
      </c>
      <c r="AA32" s="137" t="n">
        <f aca="false">1/(1+CHOOSE(F$3,(Z33+($K$3/10000))/2,(Z32+($K$3/10000))/2))^(2*Y32/365.25)</f>
        <v>0.523725992191655</v>
      </c>
      <c r="AB32" s="61" t="n">
        <f aca="false">IF(AND(mthbeg&lt;=A32,mthend&gt;=A32),1,0)</f>
        <v>1</v>
      </c>
      <c r="AC32" s="61" t="n">
        <f aca="false">W32*AB32</f>
        <v>30</v>
      </c>
      <c r="AD32" s="121" t="n">
        <f aca="false">$D32*E32</f>
        <v>15351235.9777832</v>
      </c>
      <c r="AE32" s="121" t="n">
        <f aca="false">$D32*F32</f>
        <v>0</v>
      </c>
      <c r="AF32" s="121" t="n">
        <f aca="false">$D32*G32</f>
        <v>15351235.9777832</v>
      </c>
      <c r="AG32" s="121" t="n">
        <f aca="false">$D32*H32</f>
        <v>0</v>
      </c>
      <c r="AH32" s="121" t="n">
        <f aca="false">$D32*I32</f>
        <v>0</v>
      </c>
      <c r="AI32" s="121" t="n">
        <f aca="false">$D32*J32</f>
        <v>0</v>
      </c>
      <c r="AJ32" s="121" t="n">
        <f aca="false">$D32*K32</f>
        <v>0</v>
      </c>
      <c r="AK32" s="121" t="n">
        <f aca="false">$D32*L32</f>
        <v>0</v>
      </c>
      <c r="AL32" s="121" t="n">
        <f aca="false">$D32*M32</f>
        <v>0</v>
      </c>
      <c r="AM32" s="125"/>
      <c r="AO32" s="75" t="e">
        <f aca="false">EURO(N32,O32,Z32,Z32,R32,U32,0,0)</f>
        <v>#NAME?</v>
      </c>
      <c r="AP32" s="138" t="e">
        <f aca="false">AO32*C32</f>
        <v>#NAME?</v>
      </c>
      <c r="AQ32" s="60" t="e">
        <f aca="false">-EURO(N32,O32,Z32,Z32,R32,U32,0,1)</f>
        <v>#NAME?</v>
      </c>
    </row>
    <row r="33" customFormat="false" ht="12.75" hidden="false" customHeight="false" outlineLevel="0" collapsed="false">
      <c r="A33" s="127" t="n">
        <f aca="false">EDATE(A32,1)</f>
        <v>40878</v>
      </c>
      <c r="B33" s="128" t="n">
        <f aca="false">B32</f>
        <v>205479</v>
      </c>
      <c r="C33" s="116" t="n">
        <f aca="false">IF(AB33=0,0,IF(AND(AB33=1,$H$3=1),B33*W33,IF($H$3=2,B33,"N/A")))</f>
        <v>6369849</v>
      </c>
      <c r="D33" s="116" t="n">
        <f aca="false">C33*AA33</f>
        <v>3317849.89333443</v>
      </c>
      <c r="E33" s="129" t="n">
        <f aca="false">VLOOKUP($A33,[1]!CurveTable,MATCH($E$4,[1]!CurveType,0))</f>
        <v>4.875</v>
      </c>
      <c r="F33" s="130"/>
      <c r="G33" s="131" t="n">
        <f aca="false">E33</f>
        <v>4.875</v>
      </c>
      <c r="H33" s="129" t="n">
        <f aca="false">VLOOKUP($A33,[1]!CurveTable,MATCH($H$4,[1]!CurveType,0))</f>
        <v>0</v>
      </c>
      <c r="I33" s="131"/>
      <c r="J33" s="131" t="n">
        <f aca="false">H33</f>
        <v>0</v>
      </c>
      <c r="K33" s="129"/>
      <c r="L33" s="131"/>
      <c r="M33" s="131"/>
      <c r="N33" s="131" t="n">
        <f aca="false">G33+J33+M33+$N$7</f>
        <v>4.585</v>
      </c>
      <c r="O33" s="131" t="n">
        <f aca="false">O32</f>
        <v>3</v>
      </c>
      <c r="P33" s="131"/>
      <c r="Q33" s="129" t="n">
        <f aca="false">VLOOKUP($A33,[1]!CurveTable,MATCH($Q$4,[1]!CurveType,0))</f>
        <v>0.18</v>
      </c>
      <c r="R33" s="129" t="n">
        <f aca="false">Q33+Summary!C$25</f>
        <v>0.18</v>
      </c>
      <c r="S33" s="129"/>
      <c r="T33" s="132" t="n">
        <f aca="false">X33</f>
        <v>40878</v>
      </c>
      <c r="U33" s="133" t="n">
        <f aca="false">T33-$C$3</f>
        <v>3873</v>
      </c>
      <c r="V33" s="134"/>
      <c r="W33" s="61" t="n">
        <f aca="false">A34-A33</f>
        <v>31</v>
      </c>
      <c r="X33" s="135" t="n">
        <f aca="false">CHOOSE(F$3,A34+24,A33)</f>
        <v>40878</v>
      </c>
      <c r="Y33" s="61" t="n">
        <f aca="false">X33-C$3</f>
        <v>3873</v>
      </c>
      <c r="Z33" s="136" t="n">
        <f aca="false">VLOOKUP($A33,[1]!CurveTable,MATCH($Z$4,[1]!CurveType,0))</f>
        <v>0.0624681184873252</v>
      </c>
      <c r="AA33" s="137" t="n">
        <f aca="false">1/(1+CHOOSE(F$3,(Z34+($K$3/10000))/2,(Z33+($K$3/10000))/2))^(2*Y33/365.25)</f>
        <v>0.520867903357588</v>
      </c>
      <c r="AB33" s="61" t="n">
        <f aca="false">IF(AND(mthbeg&lt;=A33,mthend&gt;=A33),1,0)</f>
        <v>1</v>
      </c>
      <c r="AC33" s="61" t="n">
        <f aca="false">W33*AB33</f>
        <v>31</v>
      </c>
      <c r="AD33" s="121" t="n">
        <f aca="false">$D33*E33</f>
        <v>16174518.2300053</v>
      </c>
      <c r="AE33" s="121" t="n">
        <f aca="false">$D33*F33</f>
        <v>0</v>
      </c>
      <c r="AF33" s="121" t="n">
        <f aca="false">$D33*G33</f>
        <v>16174518.2300053</v>
      </c>
      <c r="AG33" s="121" t="n">
        <f aca="false">$D33*H33</f>
        <v>0</v>
      </c>
      <c r="AH33" s="121" t="n">
        <f aca="false">$D33*I33</f>
        <v>0</v>
      </c>
      <c r="AI33" s="121" t="n">
        <f aca="false">$D33*J33</f>
        <v>0</v>
      </c>
      <c r="AJ33" s="121" t="n">
        <f aca="false">$D33*K33</f>
        <v>0</v>
      </c>
      <c r="AK33" s="121" t="n">
        <f aca="false">$D33*L33</f>
        <v>0</v>
      </c>
      <c r="AL33" s="121" t="n">
        <f aca="false">$D33*M33</f>
        <v>0</v>
      </c>
      <c r="AM33" s="125"/>
      <c r="AO33" s="75" t="e">
        <f aca="false">EURO(N33,O33,Z33,Z33,R33,U33,0,0)</f>
        <v>#NAME?</v>
      </c>
      <c r="AP33" s="138" t="e">
        <f aca="false">AO33*C33</f>
        <v>#NAME?</v>
      </c>
      <c r="AQ33" s="60" t="e">
        <f aca="false">-EURO(N33,O33,Z33,Z33,R33,U33,0,1)</f>
        <v>#NAME?</v>
      </c>
    </row>
    <row r="34" customFormat="false" ht="12.75" hidden="false" customHeight="false" outlineLevel="0" collapsed="false">
      <c r="A34" s="127" t="n">
        <f aca="false">EDATE(A33,1)</f>
        <v>40909</v>
      </c>
      <c r="B34" s="128" t="n">
        <f aca="false">B33</f>
        <v>205479</v>
      </c>
      <c r="C34" s="116" t="n">
        <f aca="false">IF(AB34=0,0,IF(AND(AB34=1,$H$3=1),B34*W34,IF($H$3=2,B34,"N/A")))</f>
        <v>6369849</v>
      </c>
      <c r="D34" s="116" t="n">
        <f aca="false">C34*AA34</f>
        <v>3299119.12653318</v>
      </c>
      <c r="E34" s="129" t="n">
        <f aca="false">VLOOKUP($A34,[1]!CurveTable,MATCH($E$4,[1]!CurveType,0))</f>
        <v>4.94</v>
      </c>
      <c r="F34" s="130"/>
      <c r="G34" s="131" t="n">
        <f aca="false">E34</f>
        <v>4.94</v>
      </c>
      <c r="H34" s="129" t="n">
        <f aca="false">VLOOKUP($A34,[1]!CurveTable,MATCH($H$4,[1]!CurveType,0))</f>
        <v>0</v>
      </c>
      <c r="I34" s="131"/>
      <c r="J34" s="131" t="n">
        <f aca="false">H34</f>
        <v>0</v>
      </c>
      <c r="K34" s="129"/>
      <c r="L34" s="131"/>
      <c r="M34" s="131"/>
      <c r="N34" s="131" t="n">
        <f aca="false">G34+J34+M34+$N$7</f>
        <v>4.65</v>
      </c>
      <c r="O34" s="131" t="n">
        <f aca="false">O33</f>
        <v>3</v>
      </c>
      <c r="P34" s="131"/>
      <c r="Q34" s="129" t="n">
        <f aca="false">VLOOKUP($A34,[1]!CurveTable,MATCH($Q$4,[1]!CurveType,0))</f>
        <v>0.18</v>
      </c>
      <c r="R34" s="129" t="n">
        <f aca="false">Q34+Summary!C$25</f>
        <v>0.18</v>
      </c>
      <c r="S34" s="129"/>
      <c r="T34" s="132" t="n">
        <f aca="false">X34</f>
        <v>40909</v>
      </c>
      <c r="U34" s="133" t="n">
        <f aca="false">T34-$C$3</f>
        <v>3904</v>
      </c>
      <c r="V34" s="134"/>
      <c r="W34" s="61" t="n">
        <f aca="false">A35-A34</f>
        <v>31</v>
      </c>
      <c r="X34" s="135" t="n">
        <f aca="false">CHOOSE(F$3,A35+24,A34)</f>
        <v>40909</v>
      </c>
      <c r="Y34" s="61" t="n">
        <f aca="false">X34-C$3</f>
        <v>3904</v>
      </c>
      <c r="Z34" s="136" t="n">
        <f aca="false">VLOOKUP($A34,[1]!CurveTable,MATCH($Z$4,[1]!CurveType,0))</f>
        <v>0.0625106361593901</v>
      </c>
      <c r="AA34" s="137" t="n">
        <f aca="false">1/(1+CHOOSE(F$3,(Z35+($K$3/10000))/2,(Z34+($K$3/10000))/2))^(2*Y34/365.25)</f>
        <v>0.517927367906709</v>
      </c>
      <c r="AB34" s="61" t="n">
        <f aca="false">IF(AND(mthbeg&lt;=A34,mthend&gt;=A34),1,0)</f>
        <v>1</v>
      </c>
      <c r="AC34" s="61" t="n">
        <f aca="false">W34*AB34</f>
        <v>31</v>
      </c>
      <c r="AD34" s="121" t="n">
        <f aca="false">$D34*E34</f>
        <v>16297648.4850739</v>
      </c>
      <c r="AE34" s="121" t="n">
        <f aca="false">$D34*F34</f>
        <v>0</v>
      </c>
      <c r="AF34" s="121" t="n">
        <f aca="false">$D34*G34</f>
        <v>16297648.4850739</v>
      </c>
      <c r="AG34" s="121" t="n">
        <f aca="false">$D34*H34</f>
        <v>0</v>
      </c>
      <c r="AH34" s="121" t="n">
        <f aca="false">$D34*I34</f>
        <v>0</v>
      </c>
      <c r="AI34" s="121" t="n">
        <f aca="false">$D34*J34</f>
        <v>0</v>
      </c>
      <c r="AJ34" s="121" t="n">
        <f aca="false">$D34*K34</f>
        <v>0</v>
      </c>
      <c r="AK34" s="121" t="n">
        <f aca="false">$D34*L34</f>
        <v>0</v>
      </c>
      <c r="AL34" s="121" t="n">
        <f aca="false">$D34*M34</f>
        <v>0</v>
      </c>
      <c r="AM34" s="125"/>
      <c r="AO34" s="75" t="e">
        <f aca="false">EURO(N34,O34,Z34,Z34,R34,U34,0,0)</f>
        <v>#NAME?</v>
      </c>
      <c r="AP34" s="138" t="e">
        <f aca="false">AO34*C34</f>
        <v>#NAME?</v>
      </c>
      <c r="AQ34" s="60" t="e">
        <f aca="false">-EURO(N34,O34,Z34,Z34,R34,U34,0,1)</f>
        <v>#NAME?</v>
      </c>
    </row>
    <row r="35" customFormat="false" ht="12.75" hidden="false" customHeight="false" outlineLevel="0" collapsed="false">
      <c r="A35" s="127" t="n">
        <f aca="false">EDATE(A34,1)</f>
        <v>40940</v>
      </c>
      <c r="B35" s="128" t="n">
        <f aca="false">B34</f>
        <v>205479</v>
      </c>
      <c r="C35" s="116" t="n">
        <f aca="false">IF(AB35=0,0,IF(AND(AB35=1,$H$3=1),B35*W35,IF($H$3=2,B35,"N/A")))</f>
        <v>5958891</v>
      </c>
      <c r="D35" s="116" t="n">
        <f aca="false">C35*AA35</f>
        <v>3068827.87314104</v>
      </c>
      <c r="E35" s="129" t="n">
        <f aca="false">VLOOKUP($A35,[1]!CurveTable,MATCH($E$4,[1]!CurveType,0))</f>
        <v>4.82</v>
      </c>
      <c r="F35" s="130"/>
      <c r="G35" s="131" t="n">
        <f aca="false">E35</f>
        <v>4.82</v>
      </c>
      <c r="H35" s="129" t="n">
        <f aca="false">VLOOKUP($A35,[1]!CurveTable,MATCH($H$4,[1]!CurveType,0))</f>
        <v>0</v>
      </c>
      <c r="I35" s="131"/>
      <c r="J35" s="131" t="n">
        <f aca="false">H35</f>
        <v>0</v>
      </c>
      <c r="K35" s="129"/>
      <c r="L35" s="131"/>
      <c r="M35" s="131"/>
      <c r="N35" s="131" t="n">
        <f aca="false">G35+J35+M35+$N$7</f>
        <v>4.53</v>
      </c>
      <c r="O35" s="131" t="n">
        <f aca="false">O34</f>
        <v>3</v>
      </c>
      <c r="P35" s="131"/>
      <c r="Q35" s="129" t="n">
        <f aca="false">VLOOKUP($A35,[1]!CurveTable,MATCH($Q$4,[1]!CurveType,0))</f>
        <v>0.175</v>
      </c>
      <c r="R35" s="129" t="n">
        <f aca="false">Q35+Summary!C$25</f>
        <v>0.175</v>
      </c>
      <c r="S35" s="129"/>
      <c r="T35" s="132" t="n">
        <f aca="false">X35</f>
        <v>40940</v>
      </c>
      <c r="U35" s="133" t="n">
        <f aca="false">T35-$C$3</f>
        <v>3935</v>
      </c>
      <c r="W35" s="61" t="n">
        <f aca="false">A36-A35</f>
        <v>29</v>
      </c>
      <c r="X35" s="135" t="n">
        <f aca="false">CHOOSE(F$3,A36+24,A35)</f>
        <v>40940</v>
      </c>
      <c r="Y35" s="61" t="n">
        <f aca="false">X35-C$3</f>
        <v>3935</v>
      </c>
      <c r="Z35" s="136" t="n">
        <f aca="false">VLOOKUP($A35,[1]!CurveTable,MATCH($Z$4,[1]!CurveType,0))</f>
        <v>0.0625531538320545</v>
      </c>
      <c r="AA35" s="137" t="n">
        <f aca="false">1/(1+CHOOSE(F$3,(Z36+($K$3/10000))/2,(Z35+($K$3/10000))/2))^(2*Y35/365.25)</f>
        <v>0.51499983354974</v>
      </c>
      <c r="AB35" s="61" t="n">
        <f aca="false">IF(AND(mthbeg&lt;=A35,mthend&gt;=A35),1,0)</f>
        <v>1</v>
      </c>
      <c r="AC35" s="61" t="n">
        <f aca="false">W35*AB35</f>
        <v>29</v>
      </c>
      <c r="AD35" s="121" t="n">
        <f aca="false">$D35*E35</f>
        <v>14791750.3485398</v>
      </c>
      <c r="AE35" s="121" t="n">
        <f aca="false">$D35*F35</f>
        <v>0</v>
      </c>
      <c r="AF35" s="121" t="n">
        <f aca="false">$D35*G35</f>
        <v>14791750.3485398</v>
      </c>
      <c r="AG35" s="121" t="n">
        <f aca="false">$D35*H35</f>
        <v>0</v>
      </c>
      <c r="AH35" s="121" t="n">
        <f aca="false">$D35*I35</f>
        <v>0</v>
      </c>
      <c r="AI35" s="121" t="n">
        <f aca="false">$D35*J35</f>
        <v>0</v>
      </c>
      <c r="AJ35" s="121" t="n">
        <f aca="false">$D35*K35</f>
        <v>0</v>
      </c>
      <c r="AK35" s="121" t="n">
        <f aca="false">$D35*L35</f>
        <v>0</v>
      </c>
      <c r="AL35" s="121" t="n">
        <f aca="false">$D35*M35</f>
        <v>0</v>
      </c>
      <c r="AM35" s="125"/>
      <c r="AO35" s="75" t="e">
        <f aca="false">EURO(N35,O35,Z35,Z35,R35,U35,0,0)</f>
        <v>#NAME?</v>
      </c>
      <c r="AP35" s="138" t="e">
        <f aca="false">AO35*C35</f>
        <v>#NAME?</v>
      </c>
      <c r="AQ35" s="60" t="e">
        <f aca="false">-EURO(N35,O35,Z35,Z35,R35,U35,0,1)</f>
        <v>#NAME?</v>
      </c>
    </row>
    <row r="36" customFormat="false" ht="12.75" hidden="false" customHeight="false" outlineLevel="0" collapsed="false">
      <c r="A36" s="127" t="n">
        <f aca="false">EDATE(A35,1)</f>
        <v>40969</v>
      </c>
      <c r="B36" s="128" t="n">
        <f aca="false">B35</f>
        <v>205479</v>
      </c>
      <c r="C36" s="116" t="n">
        <f aca="false">IF(AB36=0,0,IF(AND(AB36=1,$H$3=1),B36*W36,IF($H$3=2,B36,"N/A")))</f>
        <v>6369849</v>
      </c>
      <c r="D36" s="116" t="n">
        <f aca="false">C36*AA36</f>
        <v>3263101.10583809</v>
      </c>
      <c r="E36" s="129" t="n">
        <f aca="false">VLOOKUP($A36,[1]!CurveTable,MATCH($E$4,[1]!CurveType,0))</f>
        <v>4.681</v>
      </c>
      <c r="F36" s="130"/>
      <c r="G36" s="131" t="n">
        <f aca="false">E36</f>
        <v>4.681</v>
      </c>
      <c r="H36" s="129" t="n">
        <f aca="false">VLOOKUP($A36,[1]!CurveTable,MATCH($H$4,[1]!CurveType,0))</f>
        <v>0</v>
      </c>
      <c r="I36" s="131"/>
      <c r="J36" s="131" t="n">
        <f aca="false">H36</f>
        <v>0</v>
      </c>
      <c r="K36" s="129"/>
      <c r="L36" s="131"/>
      <c r="M36" s="131"/>
      <c r="N36" s="131" t="n">
        <f aca="false">G36+J36+M36+$N$7</f>
        <v>4.391</v>
      </c>
      <c r="O36" s="131" t="n">
        <f aca="false">O35</f>
        <v>3</v>
      </c>
      <c r="P36" s="131"/>
      <c r="Q36" s="129" t="n">
        <f aca="false">VLOOKUP($A36,[1]!CurveTable,MATCH($Q$4,[1]!CurveType,0))</f>
        <v>0.17</v>
      </c>
      <c r="R36" s="129" t="n">
        <f aca="false">Q36+Summary!C$25</f>
        <v>0.17</v>
      </c>
      <c r="S36" s="129"/>
      <c r="T36" s="132" t="n">
        <f aca="false">X36</f>
        <v>40969</v>
      </c>
      <c r="U36" s="133" t="n">
        <f aca="false">T36-$C$3</f>
        <v>3964</v>
      </c>
      <c r="W36" s="61" t="n">
        <f aca="false">A37-A36</f>
        <v>31</v>
      </c>
      <c r="X36" s="135" t="n">
        <f aca="false">CHOOSE(F$3,A37+24,A36)</f>
        <v>40969</v>
      </c>
      <c r="Y36" s="61" t="n">
        <f aca="false">X36-C$3</f>
        <v>3964</v>
      </c>
      <c r="Z36" s="136" t="n">
        <f aca="false">VLOOKUP($A36,[1]!CurveTable,MATCH($Z$4,[1]!CurveType,0))</f>
        <v>0.0625929284296065</v>
      </c>
      <c r="AA36" s="137" t="n">
        <f aca="false">1/(1+CHOOSE(F$3,(Z37+($K$3/10000))/2,(Z36+($K$3/10000))/2))^(2*Y36/365.25)</f>
        <v>0.512272913508325</v>
      </c>
      <c r="AB36" s="61" t="n">
        <f aca="false">IF(AND(mthbeg&lt;=A36,mthend&gt;=A36),1,0)</f>
        <v>1</v>
      </c>
      <c r="AC36" s="61" t="n">
        <f aca="false">W36*AB36</f>
        <v>31</v>
      </c>
      <c r="AD36" s="121" t="n">
        <f aca="false">$D36*E36</f>
        <v>15274576.2764281</v>
      </c>
      <c r="AE36" s="121" t="n">
        <f aca="false">$D36*F36</f>
        <v>0</v>
      </c>
      <c r="AF36" s="121" t="n">
        <f aca="false">$D36*G36</f>
        <v>15274576.2764281</v>
      </c>
      <c r="AG36" s="121" t="n">
        <f aca="false">$D36*H36</f>
        <v>0</v>
      </c>
      <c r="AH36" s="121" t="n">
        <f aca="false">$D36*I36</f>
        <v>0</v>
      </c>
      <c r="AI36" s="121" t="n">
        <f aca="false">$D36*J36</f>
        <v>0</v>
      </c>
      <c r="AJ36" s="121" t="n">
        <f aca="false">$D36*K36</f>
        <v>0</v>
      </c>
      <c r="AK36" s="121" t="n">
        <f aca="false">$D36*L36</f>
        <v>0</v>
      </c>
      <c r="AL36" s="121" t="n">
        <f aca="false">$D36*M36</f>
        <v>0</v>
      </c>
      <c r="AM36" s="125"/>
      <c r="AO36" s="75" t="e">
        <f aca="false">EURO(N36,O36,Z36,Z36,R36,U36,0,0)</f>
        <v>#NAME?</v>
      </c>
      <c r="AP36" s="138" t="e">
        <f aca="false">AO36*C36</f>
        <v>#NAME?</v>
      </c>
      <c r="AQ36" s="60" t="e">
        <f aca="false">-EURO(N36,O36,Z36,Z36,R36,U36,0,1)</f>
        <v>#NAME?</v>
      </c>
    </row>
    <row r="37" customFormat="false" ht="12.75" hidden="false" customHeight="false" outlineLevel="0" collapsed="false">
      <c r="A37" s="127" t="n">
        <f aca="false">EDATE(A36,1)</f>
        <v>41000</v>
      </c>
      <c r="B37" s="128" t="n">
        <f aca="false">B36</f>
        <v>205479</v>
      </c>
      <c r="C37" s="116" t="n">
        <f aca="false">IF(AB37=0,0,IF(AND(AB37=1,$H$3=1),B37*W37,IF($H$3=2,B37,"N/A")))</f>
        <v>6164370</v>
      </c>
      <c r="D37" s="116" t="n">
        <f aca="false">C37*AA37</f>
        <v>3139947.9206079</v>
      </c>
      <c r="E37" s="129" t="n">
        <f aca="false">VLOOKUP($A37,[1]!CurveTable,MATCH($E$4,[1]!CurveType,0))</f>
        <v>4.511</v>
      </c>
      <c r="F37" s="130"/>
      <c r="G37" s="131" t="n">
        <f aca="false">E37</f>
        <v>4.511</v>
      </c>
      <c r="H37" s="129" t="n">
        <f aca="false">VLOOKUP($A37,[1]!CurveTable,MATCH($H$4,[1]!CurveType,0))</f>
        <v>0</v>
      </c>
      <c r="I37" s="131"/>
      <c r="J37" s="131" t="n">
        <f aca="false">H37</f>
        <v>0</v>
      </c>
      <c r="K37" s="129"/>
      <c r="L37" s="131"/>
      <c r="M37" s="131"/>
      <c r="N37" s="131" t="n">
        <f aca="false">G37+J37+M37+$N$7</f>
        <v>4.221</v>
      </c>
      <c r="O37" s="131" t="n">
        <f aca="false">O36</f>
        <v>3</v>
      </c>
      <c r="P37" s="131"/>
      <c r="Q37" s="129" t="n">
        <f aca="false">VLOOKUP($A37,[1]!CurveTable,MATCH($Q$4,[1]!CurveType,0))</f>
        <v>0.17</v>
      </c>
      <c r="R37" s="129" t="n">
        <f aca="false">Q37+Summary!C$25</f>
        <v>0.17</v>
      </c>
      <c r="S37" s="129"/>
      <c r="T37" s="132" t="n">
        <f aca="false">X37</f>
        <v>41000</v>
      </c>
      <c r="U37" s="133" t="n">
        <f aca="false">T37-$C$3</f>
        <v>3995</v>
      </c>
      <c r="W37" s="61" t="n">
        <f aca="false">A38-A37</f>
        <v>30</v>
      </c>
      <c r="X37" s="135" t="n">
        <f aca="false">CHOOSE(F$3,A38+24,A37)</f>
        <v>41000</v>
      </c>
      <c r="Y37" s="61" t="n">
        <f aca="false">X37-C$3</f>
        <v>3995</v>
      </c>
      <c r="Z37" s="136" t="n">
        <f aca="false">VLOOKUP($A37,[1]!CurveTable,MATCH($Z$4,[1]!CurveType,0))</f>
        <v>0.0626354461034322</v>
      </c>
      <c r="AA37" s="137" t="n">
        <f aca="false">1/(1+CHOOSE(F$3,(Z38+($K$3/10000))/2,(Z37+($K$3/10000))/2))^(2*Y37/365.25)</f>
        <v>0.50937044995805</v>
      </c>
      <c r="AB37" s="61" t="n">
        <f aca="false">IF(AND(mthbeg&lt;=A37,mthend&gt;=A37),1,0)</f>
        <v>1</v>
      </c>
      <c r="AC37" s="61" t="n">
        <f aca="false">W37*AB37</f>
        <v>30</v>
      </c>
      <c r="AD37" s="121" t="n">
        <f aca="false">$D37*E37</f>
        <v>14164305.0698622</v>
      </c>
      <c r="AE37" s="121" t="n">
        <f aca="false">$D37*F37</f>
        <v>0</v>
      </c>
      <c r="AF37" s="121" t="n">
        <f aca="false">$D37*G37</f>
        <v>14164305.0698622</v>
      </c>
      <c r="AG37" s="121" t="n">
        <f aca="false">$D37*H37</f>
        <v>0</v>
      </c>
      <c r="AH37" s="121" t="n">
        <f aca="false">$D37*I37</f>
        <v>0</v>
      </c>
      <c r="AI37" s="121" t="n">
        <f aca="false">$D37*J37</f>
        <v>0</v>
      </c>
      <c r="AJ37" s="121" t="n">
        <f aca="false">$D37*K37</f>
        <v>0</v>
      </c>
      <c r="AK37" s="121" t="n">
        <f aca="false">$D37*L37</f>
        <v>0</v>
      </c>
      <c r="AL37" s="121" t="n">
        <f aca="false">$D37*M37</f>
        <v>0</v>
      </c>
      <c r="AM37" s="125"/>
      <c r="AO37" s="75" t="e">
        <f aca="false">EURO(N37,O37,Z37,Z37,R37,U37,0,0)</f>
        <v>#NAME?</v>
      </c>
      <c r="AP37" s="138" t="e">
        <f aca="false">AO37*C37</f>
        <v>#NAME?</v>
      </c>
      <c r="AQ37" s="60" t="e">
        <f aca="false">-EURO(N37,O37,Z37,Z37,R37,U37,0,1)</f>
        <v>#NAME?</v>
      </c>
    </row>
    <row r="38" customFormat="false" ht="12.75" hidden="false" customHeight="false" outlineLevel="0" collapsed="false">
      <c r="A38" s="127" t="n">
        <f aca="false">EDATE(A37,1)</f>
        <v>41030</v>
      </c>
      <c r="B38" s="128" t="n">
        <f aca="false">B37</f>
        <v>205479</v>
      </c>
      <c r="C38" s="116" t="n">
        <f aca="false">IF(AB38=0,0,IF(AND(AB38=1,$H$3=1),B38*W38,IF($H$3=2,B38,"N/A")))</f>
        <v>6369849</v>
      </c>
      <c r="D38" s="116" t="n">
        <f aca="false">C38*AA38</f>
        <v>3226799.26374465</v>
      </c>
      <c r="E38" s="129" t="n">
        <f aca="false">VLOOKUP($A38,[1]!CurveTable,MATCH($E$4,[1]!CurveType,0))</f>
        <v>4.57</v>
      </c>
      <c r="F38" s="130"/>
      <c r="G38" s="131" t="n">
        <f aca="false">E38</f>
        <v>4.57</v>
      </c>
      <c r="H38" s="129" t="n">
        <f aca="false">VLOOKUP($A38,[1]!CurveTable,MATCH($H$4,[1]!CurveType,0))</f>
        <v>0</v>
      </c>
      <c r="I38" s="131"/>
      <c r="J38" s="131" t="n">
        <f aca="false">H38</f>
        <v>0</v>
      </c>
      <c r="K38" s="129"/>
      <c r="L38" s="131"/>
      <c r="M38" s="131"/>
      <c r="N38" s="131" t="n">
        <f aca="false">G38+J38+M38+$N$7</f>
        <v>4.28</v>
      </c>
      <c r="O38" s="131" t="n">
        <f aca="false">O37</f>
        <v>3</v>
      </c>
      <c r="P38" s="131"/>
      <c r="Q38" s="129" t="n">
        <f aca="false">VLOOKUP($A38,[1]!CurveTable,MATCH($Q$4,[1]!CurveType,0))</f>
        <v>0.17</v>
      </c>
      <c r="R38" s="129" t="n">
        <f aca="false">Q38+Summary!C$25</f>
        <v>0.17</v>
      </c>
      <c r="S38" s="129"/>
      <c r="T38" s="132" t="n">
        <f aca="false">X38</f>
        <v>41030</v>
      </c>
      <c r="U38" s="133" t="n">
        <f aca="false">T38-$C$3</f>
        <v>4025</v>
      </c>
      <c r="W38" s="61" t="n">
        <f aca="false">A39-A38</f>
        <v>31</v>
      </c>
      <c r="X38" s="135" t="n">
        <f aca="false">CHOOSE(F$3,A39+24,A38)</f>
        <v>41030</v>
      </c>
      <c r="Y38" s="61" t="n">
        <f aca="false">X38-C$3</f>
        <v>4025</v>
      </c>
      <c r="Z38" s="136" t="n">
        <f aca="false">VLOOKUP($A38,[1]!CurveTable,MATCH($Z$4,[1]!CurveType,0))</f>
        <v>0.0626765922399639</v>
      </c>
      <c r="AA38" s="137" t="n">
        <f aca="false">1/(1+CHOOSE(F$3,(Z39+($K$3/10000))/2,(Z38+($K$3/10000))/2))^(2*Y38/365.25)</f>
        <v>0.506573902104218</v>
      </c>
      <c r="AB38" s="61" t="n">
        <f aca="false">IF(AND(mthbeg&lt;=A38,mthend&gt;=A38),1,0)</f>
        <v>1</v>
      </c>
      <c r="AC38" s="61" t="n">
        <f aca="false">W38*AB38</f>
        <v>31</v>
      </c>
      <c r="AD38" s="121" t="n">
        <f aca="false">$D38*E38</f>
        <v>14746472.6353131</v>
      </c>
      <c r="AE38" s="121" t="n">
        <f aca="false">$D38*F38</f>
        <v>0</v>
      </c>
      <c r="AF38" s="121" t="n">
        <f aca="false">$D38*G38</f>
        <v>14746472.6353131</v>
      </c>
      <c r="AG38" s="121" t="n">
        <f aca="false">$D38*H38</f>
        <v>0</v>
      </c>
      <c r="AH38" s="121" t="n">
        <f aca="false">$D38*I38</f>
        <v>0</v>
      </c>
      <c r="AI38" s="121" t="n">
        <f aca="false">$D38*J38</f>
        <v>0</v>
      </c>
      <c r="AJ38" s="121" t="n">
        <f aca="false">$D38*K38</f>
        <v>0</v>
      </c>
      <c r="AK38" s="121" t="n">
        <f aca="false">$D38*L38</f>
        <v>0</v>
      </c>
      <c r="AL38" s="121" t="n">
        <f aca="false">$D38*M38</f>
        <v>0</v>
      </c>
      <c r="AM38" s="125"/>
      <c r="AO38" s="75" t="e">
        <f aca="false">EURO(N38,O38,Z38,Z38,R38,U38,0,0)</f>
        <v>#NAME?</v>
      </c>
      <c r="AP38" s="138" t="e">
        <f aca="false">AO38*C38</f>
        <v>#NAME?</v>
      </c>
      <c r="AQ38" s="60" t="e">
        <f aca="false">-EURO(N38,O38,Z38,Z38,R38,U38,0,1)</f>
        <v>#NAME?</v>
      </c>
    </row>
    <row r="39" customFormat="false" ht="12.75" hidden="false" customHeight="false" outlineLevel="0" collapsed="false">
      <c r="A39" s="127" t="n">
        <f aca="false">EDATE(A38,1)</f>
        <v>41061</v>
      </c>
      <c r="B39" s="128" t="n">
        <f aca="false">B38</f>
        <v>205479</v>
      </c>
      <c r="C39" s="116" t="n">
        <f aca="false">IF(AB39=0,0,IF(AND(AB39=1,$H$3=1),B39*W39,IF($H$3=2,B39,"N/A")))</f>
        <v>6164370</v>
      </c>
      <c r="D39" s="116" t="n">
        <f aca="false">C39*AA39</f>
        <v>3104973.45211116</v>
      </c>
      <c r="E39" s="129" t="n">
        <f aca="false">VLOOKUP($A39,[1]!CurveTable,MATCH($E$4,[1]!CurveType,0))</f>
        <v>4.61</v>
      </c>
      <c r="F39" s="130"/>
      <c r="G39" s="131" t="n">
        <f aca="false">E39</f>
        <v>4.61</v>
      </c>
      <c r="H39" s="129" t="n">
        <f aca="false">VLOOKUP($A39,[1]!CurveTable,MATCH($H$4,[1]!CurveType,0))</f>
        <v>0</v>
      </c>
      <c r="I39" s="131"/>
      <c r="J39" s="131" t="n">
        <f aca="false">H39</f>
        <v>0</v>
      </c>
      <c r="K39" s="129"/>
      <c r="L39" s="131"/>
      <c r="M39" s="131"/>
      <c r="N39" s="131" t="n">
        <f aca="false">G39+J39+M39+$N$7</f>
        <v>4.32</v>
      </c>
      <c r="O39" s="131" t="n">
        <f aca="false">O38</f>
        <v>3</v>
      </c>
      <c r="P39" s="131"/>
      <c r="Q39" s="129" t="n">
        <f aca="false">VLOOKUP($A39,[1]!CurveTable,MATCH($Q$4,[1]!CurveType,0))</f>
        <v>0.17</v>
      </c>
      <c r="R39" s="129" t="n">
        <f aca="false">Q39+Summary!C$25</f>
        <v>0.17</v>
      </c>
      <c r="S39" s="129"/>
      <c r="T39" s="132" t="n">
        <f aca="false">X39</f>
        <v>41061</v>
      </c>
      <c r="U39" s="133" t="n">
        <f aca="false">T39-$C$3</f>
        <v>4056</v>
      </c>
      <c r="W39" s="61" t="n">
        <f aca="false">A40-A39</f>
        <v>30</v>
      </c>
      <c r="X39" s="135" t="n">
        <f aca="false">CHOOSE(F$3,A40+24,A39)</f>
        <v>41061</v>
      </c>
      <c r="Y39" s="61" t="n">
        <f aca="false">X39-C$3</f>
        <v>4056</v>
      </c>
      <c r="Z39" s="136" t="n">
        <f aca="false">VLOOKUP($A39,[1]!CurveTable,MATCH($Z$4,[1]!CurveType,0))</f>
        <v>0.0627191099149695</v>
      </c>
      <c r="AA39" s="137" t="n">
        <f aca="false">1/(1+CHOOSE(F$3,(Z40+($K$3/10000))/2,(Z39+($K$3/10000))/2))^(2*Y39/365.25)</f>
        <v>0.50369680147544</v>
      </c>
      <c r="AB39" s="61" t="n">
        <f aca="false">IF(AND(mthbeg&lt;=A39,mthend&gt;=A39),1,0)</f>
        <v>1</v>
      </c>
      <c r="AC39" s="61" t="n">
        <f aca="false">W39*AB39</f>
        <v>30</v>
      </c>
      <c r="AD39" s="121" t="n">
        <f aca="false">$D39*E39</f>
        <v>14313927.6142324</v>
      </c>
      <c r="AE39" s="121" t="n">
        <f aca="false">$D39*F39</f>
        <v>0</v>
      </c>
      <c r="AF39" s="121" t="n">
        <f aca="false">$D39*G39</f>
        <v>14313927.6142324</v>
      </c>
      <c r="AG39" s="121" t="n">
        <f aca="false">$D39*H39</f>
        <v>0</v>
      </c>
      <c r="AH39" s="121" t="n">
        <f aca="false">$D39*I39</f>
        <v>0</v>
      </c>
      <c r="AI39" s="121" t="n">
        <f aca="false">$D39*J39</f>
        <v>0</v>
      </c>
      <c r="AJ39" s="121" t="n">
        <f aca="false">$D39*K39</f>
        <v>0</v>
      </c>
      <c r="AK39" s="121" t="n">
        <f aca="false">$D39*L39</f>
        <v>0</v>
      </c>
      <c r="AL39" s="121" t="n">
        <f aca="false">$D39*M39</f>
        <v>0</v>
      </c>
      <c r="AM39" s="125"/>
      <c r="AO39" s="75" t="e">
        <f aca="false">EURO(N39,O39,Z39,Z39,R39,U39,0,0)</f>
        <v>#NAME?</v>
      </c>
      <c r="AP39" s="138" t="e">
        <f aca="false">AO39*C39</f>
        <v>#NAME?</v>
      </c>
      <c r="AQ39" s="60" t="e">
        <f aca="false">-EURO(N39,O39,Z39,Z39,R39,U39,0,1)</f>
        <v>#NAME?</v>
      </c>
    </row>
    <row r="40" customFormat="false" ht="12.75" hidden="false" customHeight="false" outlineLevel="0" collapsed="false">
      <c r="A40" s="127" t="n">
        <f aca="false">EDATE(A39,1)</f>
        <v>41091</v>
      </c>
      <c r="B40" s="128" t="n">
        <f aca="false">B39</f>
        <v>205479</v>
      </c>
      <c r="C40" s="116" t="n">
        <f aca="false">IF(AB40=0,0,IF(AND(AB40=1,$H$3=1),B40*W40,IF($H$3=2,B40,"N/A")))</f>
        <v>6369849</v>
      </c>
      <c r="D40" s="116" t="n">
        <f aca="false">C40*AA40</f>
        <v>3190814.93383365</v>
      </c>
      <c r="E40" s="129" t="n">
        <f aca="false">VLOOKUP($A40,[1]!CurveTable,MATCH($E$4,[1]!CurveType,0))</f>
        <v>4.655</v>
      </c>
      <c r="F40" s="130"/>
      <c r="G40" s="131" t="n">
        <f aca="false">E40</f>
        <v>4.655</v>
      </c>
      <c r="H40" s="129" t="n">
        <f aca="false">VLOOKUP($A40,[1]!CurveTable,MATCH($H$4,[1]!CurveType,0))</f>
        <v>0</v>
      </c>
      <c r="I40" s="131"/>
      <c r="J40" s="131" t="n">
        <f aca="false">H40</f>
        <v>0</v>
      </c>
      <c r="K40" s="129"/>
      <c r="L40" s="131"/>
      <c r="M40" s="131"/>
      <c r="N40" s="131" t="n">
        <f aca="false">G40+J40+M40+$N$7</f>
        <v>4.365</v>
      </c>
      <c r="O40" s="131" t="n">
        <f aca="false">O39</f>
        <v>3</v>
      </c>
      <c r="P40" s="131"/>
      <c r="Q40" s="129" t="n">
        <f aca="false">VLOOKUP($A40,[1]!CurveTable,MATCH($Q$4,[1]!CurveType,0))</f>
        <v>0.17</v>
      </c>
      <c r="R40" s="129" t="n">
        <f aca="false">Q40+Summary!C$25</f>
        <v>0.17</v>
      </c>
      <c r="S40" s="129"/>
      <c r="T40" s="132" t="n">
        <f aca="false">X40</f>
        <v>41091</v>
      </c>
      <c r="U40" s="133" t="n">
        <f aca="false">T40-$C$3</f>
        <v>4086</v>
      </c>
      <c r="W40" s="61" t="n">
        <f aca="false">A41-A40</f>
        <v>31</v>
      </c>
      <c r="X40" s="135" t="n">
        <f aca="false">CHOOSE(F$3,A41+24,A40)</f>
        <v>41091</v>
      </c>
      <c r="Y40" s="61" t="n">
        <f aca="false">X40-C$3</f>
        <v>4086</v>
      </c>
      <c r="Z40" s="136" t="n">
        <f aca="false">VLOOKUP($A40,[1]!CurveTable,MATCH($Z$4,[1]!CurveType,0))</f>
        <v>0.0627602560526439</v>
      </c>
      <c r="AA40" s="137" t="n">
        <f aca="false">1/(1+CHOOSE(F$3,(Z41+($K$3/10000))/2,(Z40+($K$3/10000))/2))^(2*Y40/365.25)</f>
        <v>0.500924736808306</v>
      </c>
      <c r="AB40" s="61" t="n">
        <f aca="false">IF(AND(mthbeg&lt;=A40,mthend&gt;=A40),1,0)</f>
        <v>1</v>
      </c>
      <c r="AC40" s="61" t="n">
        <f aca="false">W40*AB40</f>
        <v>31</v>
      </c>
      <c r="AD40" s="121" t="n">
        <f aca="false">$D40*E40</f>
        <v>14853243.5169957</v>
      </c>
      <c r="AE40" s="121" t="n">
        <f aca="false">$D40*F40</f>
        <v>0</v>
      </c>
      <c r="AF40" s="121" t="n">
        <f aca="false">$D40*G40</f>
        <v>14853243.5169957</v>
      </c>
      <c r="AG40" s="121" t="n">
        <f aca="false">$D40*H40</f>
        <v>0</v>
      </c>
      <c r="AH40" s="121" t="n">
        <f aca="false">$D40*I40</f>
        <v>0</v>
      </c>
      <c r="AI40" s="121" t="n">
        <f aca="false">$D40*J40</f>
        <v>0</v>
      </c>
      <c r="AJ40" s="121" t="n">
        <f aca="false">$D40*K40</f>
        <v>0</v>
      </c>
      <c r="AK40" s="121" t="n">
        <f aca="false">$D40*L40</f>
        <v>0</v>
      </c>
      <c r="AL40" s="121" t="n">
        <f aca="false">$D40*M40</f>
        <v>0</v>
      </c>
      <c r="AM40" s="125"/>
      <c r="AO40" s="75" t="e">
        <f aca="false">EURO(N40,O40,Z40,Z40,R40,U40,0,0)</f>
        <v>#NAME?</v>
      </c>
      <c r="AP40" s="138" t="e">
        <f aca="false">AO40*C40</f>
        <v>#NAME?</v>
      </c>
      <c r="AQ40" s="60" t="e">
        <f aca="false">-EURO(N40,O40,Z40,Z40,R40,U40,0,1)</f>
        <v>#NAME?</v>
      </c>
    </row>
    <row r="41" customFormat="false" ht="12.75" hidden="false" customHeight="false" outlineLevel="0" collapsed="false">
      <c r="A41" s="127" t="n">
        <f aca="false">EDATE(A40,1)</f>
        <v>41122</v>
      </c>
      <c r="B41" s="128" t="n">
        <f aca="false">B40</f>
        <v>205479</v>
      </c>
      <c r="C41" s="116" t="n">
        <f aca="false">IF(AB41=0,0,IF(AND(AB41=1,$H$3=1),B41*W41,IF($H$3=2,B41,"N/A")))</f>
        <v>6369849</v>
      </c>
      <c r="D41" s="116" t="n">
        <f aca="false">C41*AA41</f>
        <v>3172648.98361724</v>
      </c>
      <c r="E41" s="129" t="n">
        <f aca="false">VLOOKUP($A41,[1]!CurveTable,MATCH($E$4,[1]!CurveType,0))</f>
        <v>4.69</v>
      </c>
      <c r="F41" s="130"/>
      <c r="G41" s="131" t="n">
        <f aca="false">E41</f>
        <v>4.69</v>
      </c>
      <c r="H41" s="129" t="n">
        <f aca="false">VLOOKUP($A41,[1]!CurveTable,MATCH($H$4,[1]!CurveType,0))</f>
        <v>0</v>
      </c>
      <c r="I41" s="131"/>
      <c r="J41" s="131" t="n">
        <f aca="false">H41</f>
        <v>0</v>
      </c>
      <c r="K41" s="129"/>
      <c r="L41" s="131"/>
      <c r="M41" s="131"/>
      <c r="N41" s="131" t="n">
        <f aca="false">G41+J41+M41+$N$7</f>
        <v>4.4</v>
      </c>
      <c r="O41" s="131" t="n">
        <f aca="false">O40</f>
        <v>3</v>
      </c>
      <c r="P41" s="131"/>
      <c r="Q41" s="129" t="n">
        <f aca="false">VLOOKUP($A41,[1]!CurveTable,MATCH($Q$4,[1]!CurveType,0))</f>
        <v>0.17</v>
      </c>
      <c r="R41" s="129" t="n">
        <f aca="false">Q41+Summary!C$25</f>
        <v>0.17</v>
      </c>
      <c r="S41" s="129"/>
      <c r="T41" s="132" t="n">
        <f aca="false">X41</f>
        <v>41122</v>
      </c>
      <c r="U41" s="133" t="n">
        <f aca="false">T41-$C$3</f>
        <v>4117</v>
      </c>
      <c r="W41" s="61" t="n">
        <f aca="false">A42-A41</f>
        <v>31</v>
      </c>
      <c r="X41" s="135" t="n">
        <f aca="false">CHOOSE(F$3,A42+24,A41)</f>
        <v>41122</v>
      </c>
      <c r="Y41" s="61" t="n">
        <f aca="false">X41-C$3</f>
        <v>4117</v>
      </c>
      <c r="Z41" s="136" t="n">
        <f aca="false">VLOOKUP($A41,[1]!CurveTable,MATCH($Z$4,[1]!CurveType,0))</f>
        <v>0.0628027737288299</v>
      </c>
      <c r="AA41" s="137" t="n">
        <f aca="false">1/(1+CHOOSE(F$3,(Z42+($K$3/10000))/2,(Z41+($K$3/10000))/2))^(2*Y41/365.25)</f>
        <v>0.498072871683024</v>
      </c>
      <c r="AB41" s="61" t="n">
        <f aca="false">IF(AND(mthbeg&lt;=A41,mthend&gt;=A41),1,0)</f>
        <v>1</v>
      </c>
      <c r="AC41" s="61" t="n">
        <f aca="false">W41*AB41</f>
        <v>31</v>
      </c>
      <c r="AD41" s="121" t="n">
        <f aca="false">$D41*E41</f>
        <v>14879723.7331649</v>
      </c>
      <c r="AE41" s="121" t="n">
        <f aca="false">$D41*F41</f>
        <v>0</v>
      </c>
      <c r="AF41" s="121" t="n">
        <f aca="false">$D41*G41</f>
        <v>14879723.7331649</v>
      </c>
      <c r="AG41" s="121" t="n">
        <f aca="false">$D41*H41</f>
        <v>0</v>
      </c>
      <c r="AH41" s="121" t="n">
        <f aca="false">$D41*I41</f>
        <v>0</v>
      </c>
      <c r="AI41" s="121" t="n">
        <f aca="false">$D41*J41</f>
        <v>0</v>
      </c>
      <c r="AJ41" s="121" t="n">
        <f aca="false">$D41*K41</f>
        <v>0</v>
      </c>
      <c r="AK41" s="121" t="n">
        <f aca="false">$D41*L41</f>
        <v>0</v>
      </c>
      <c r="AL41" s="121" t="n">
        <f aca="false">$D41*M41</f>
        <v>0</v>
      </c>
      <c r="AM41" s="125"/>
      <c r="AO41" s="75" t="e">
        <f aca="false">EURO(N41,O41,Z41,Z41,R41,U41,0,0)</f>
        <v>#NAME?</v>
      </c>
      <c r="AP41" s="138" t="e">
        <f aca="false">AO41*C41</f>
        <v>#NAME?</v>
      </c>
      <c r="AQ41" s="60" t="e">
        <f aca="false">-EURO(N41,O41,Z41,Z41,R41,U41,0,1)</f>
        <v>#NAME?</v>
      </c>
    </row>
    <row r="42" customFormat="false" ht="12.75" hidden="false" customHeight="false" outlineLevel="0" collapsed="false">
      <c r="A42" s="127" t="n">
        <f aca="false">EDATE(A41,1)</f>
        <v>41153</v>
      </c>
      <c r="B42" s="128" t="n">
        <f aca="false">B41</f>
        <v>205479</v>
      </c>
      <c r="C42" s="116" t="n">
        <f aca="false">IF(AB42=0,0,IF(AND(AB42=1,$H$3=1),B42*W42,IF($H$3=2,B42,"N/A")))</f>
        <v>6164370</v>
      </c>
      <c r="D42" s="116" t="n">
        <f aca="false">C42*AA42</f>
        <v>3052804.26951765</v>
      </c>
      <c r="E42" s="129" t="n">
        <f aca="false">VLOOKUP($A42,[1]!CurveTable,MATCH($E$4,[1]!CurveType,0))</f>
        <v>4.695</v>
      </c>
      <c r="F42" s="130"/>
      <c r="G42" s="131" t="n">
        <f aca="false">E42</f>
        <v>4.695</v>
      </c>
      <c r="H42" s="129" t="n">
        <f aca="false">VLOOKUP($A42,[1]!CurveTable,MATCH($H$4,[1]!CurveType,0))</f>
        <v>0</v>
      </c>
      <c r="I42" s="131"/>
      <c r="J42" s="131" t="n">
        <f aca="false">H42</f>
        <v>0</v>
      </c>
      <c r="K42" s="129"/>
      <c r="L42" s="131"/>
      <c r="M42" s="131"/>
      <c r="N42" s="131" t="n">
        <f aca="false">G42+J42+M42+$N$7</f>
        <v>4.405</v>
      </c>
      <c r="O42" s="131" t="n">
        <f aca="false">O41</f>
        <v>3</v>
      </c>
      <c r="P42" s="131"/>
      <c r="Q42" s="129" t="n">
        <f aca="false">VLOOKUP($A42,[1]!CurveTable,MATCH($Q$4,[1]!CurveType,0))</f>
        <v>0.17</v>
      </c>
      <c r="R42" s="129" t="n">
        <f aca="false">Q42+Summary!C$25</f>
        <v>0.17</v>
      </c>
      <c r="S42" s="129"/>
      <c r="T42" s="132" t="n">
        <f aca="false">X42</f>
        <v>41153</v>
      </c>
      <c r="U42" s="133" t="n">
        <f aca="false">T42-$C$3</f>
        <v>4148</v>
      </c>
      <c r="W42" s="61" t="n">
        <f aca="false">A43-A42</f>
        <v>30</v>
      </c>
      <c r="X42" s="135" t="n">
        <f aca="false">CHOOSE(F$3,A43+24,A42)</f>
        <v>41153</v>
      </c>
      <c r="Y42" s="61" t="n">
        <f aca="false">X42-C$3</f>
        <v>4148</v>
      </c>
      <c r="Z42" s="136" t="n">
        <f aca="false">VLOOKUP($A42,[1]!CurveTable,MATCH($Z$4,[1]!CurveType,0))</f>
        <v>0.0628452914056163</v>
      </c>
      <c r="AA42" s="137" t="n">
        <f aca="false">1/(1+CHOOSE(F$3,(Z43+($K$3/10000))/2,(Z42+($K$3/10000))/2))^(2*Y42/365.25)</f>
        <v>0.495233782124961</v>
      </c>
      <c r="AB42" s="61" t="n">
        <f aca="false">IF(AND(mthbeg&lt;=A42,mthend&gt;=A42),1,0)</f>
        <v>1</v>
      </c>
      <c r="AC42" s="61" t="n">
        <f aca="false">W42*AB42</f>
        <v>30</v>
      </c>
      <c r="AD42" s="121" t="n">
        <f aca="false">$D42*E42</f>
        <v>14332916.0453854</v>
      </c>
      <c r="AE42" s="121" t="n">
        <f aca="false">$D42*F42</f>
        <v>0</v>
      </c>
      <c r="AF42" s="121" t="n">
        <f aca="false">$D42*G42</f>
        <v>14332916.0453854</v>
      </c>
      <c r="AG42" s="121" t="n">
        <f aca="false">$D42*H42</f>
        <v>0</v>
      </c>
      <c r="AH42" s="121" t="n">
        <f aca="false">$D42*I42</f>
        <v>0</v>
      </c>
      <c r="AI42" s="121" t="n">
        <f aca="false">$D42*J42</f>
        <v>0</v>
      </c>
      <c r="AJ42" s="121" t="n">
        <f aca="false">$D42*K42</f>
        <v>0</v>
      </c>
      <c r="AK42" s="121" t="n">
        <f aca="false">$D42*L42</f>
        <v>0</v>
      </c>
      <c r="AL42" s="121" t="n">
        <f aca="false">$D42*M42</f>
        <v>0</v>
      </c>
      <c r="AM42" s="125"/>
      <c r="AO42" s="75" t="e">
        <f aca="false">EURO(N42,O42,Z42,Z42,R42,U42,0,0)</f>
        <v>#NAME?</v>
      </c>
      <c r="AP42" s="138" t="e">
        <f aca="false">AO42*C42</f>
        <v>#NAME?</v>
      </c>
      <c r="AQ42" s="60" t="e">
        <f aca="false">-EURO(N42,O42,Z42,Z42,R42,U42,0,1)</f>
        <v>#NAME?</v>
      </c>
    </row>
    <row r="43" customFormat="false" ht="12.75" hidden="false" customHeight="false" outlineLevel="0" collapsed="false">
      <c r="A43" s="127" t="n">
        <f aca="false">EDATE(A42,1)</f>
        <v>41183</v>
      </c>
      <c r="B43" s="128" t="n">
        <f aca="false">B42</f>
        <v>205479</v>
      </c>
      <c r="C43" s="116" t="n">
        <f aca="false">IF(AB43=0,0,IF(AND(AB43=1,$H$3=1),B43*W43,IF($H$3=2,B43,"N/A")))</f>
        <v>6369849</v>
      </c>
      <c r="D43" s="116" t="n">
        <f aca="false">C43*AA43</f>
        <v>3137140.49755195</v>
      </c>
      <c r="E43" s="129" t="n">
        <f aca="false">VLOOKUP($A43,[1]!CurveTable,MATCH($E$4,[1]!CurveType,0))</f>
        <v>4.725</v>
      </c>
      <c r="F43" s="130"/>
      <c r="G43" s="131" t="n">
        <f aca="false">E43</f>
        <v>4.725</v>
      </c>
      <c r="H43" s="129" t="n">
        <f aca="false">VLOOKUP($A43,[1]!CurveTable,MATCH($H$4,[1]!CurveType,0))</f>
        <v>0</v>
      </c>
      <c r="I43" s="131"/>
      <c r="J43" s="131" t="n">
        <f aca="false">H43</f>
        <v>0</v>
      </c>
      <c r="K43" s="129"/>
      <c r="L43" s="131"/>
      <c r="M43" s="131"/>
      <c r="N43" s="131" t="n">
        <f aca="false">G43+J43+M43+$N$7</f>
        <v>4.435</v>
      </c>
      <c r="O43" s="131" t="n">
        <f aca="false">O42</f>
        <v>3</v>
      </c>
      <c r="P43" s="131"/>
      <c r="Q43" s="129" t="n">
        <f aca="false">VLOOKUP($A43,[1]!CurveTable,MATCH($Q$4,[1]!CurveType,0))</f>
        <v>0.17</v>
      </c>
      <c r="R43" s="129" t="n">
        <f aca="false">Q43+Summary!C$25</f>
        <v>0.17</v>
      </c>
      <c r="S43" s="129"/>
      <c r="T43" s="132" t="n">
        <f aca="false">X43</f>
        <v>41183</v>
      </c>
      <c r="U43" s="133" t="n">
        <f aca="false">T43-$C$3</f>
        <v>4178</v>
      </c>
      <c r="W43" s="61" t="n">
        <f aca="false">A44-A43</f>
        <v>31</v>
      </c>
      <c r="X43" s="135" t="n">
        <f aca="false">CHOOSE(F$3,A44+24,A43)</f>
        <v>41183</v>
      </c>
      <c r="Y43" s="61" t="n">
        <f aca="false">X43-C$3</f>
        <v>4178</v>
      </c>
      <c r="Z43" s="136" t="n">
        <f aca="false">VLOOKUP($A43,[1]!CurveTable,MATCH($Z$4,[1]!CurveType,0))</f>
        <v>0.0628864375450129</v>
      </c>
      <c r="AA43" s="137" t="n">
        <f aca="false">1/(1+CHOOSE(F$3,(Z44+($K$3/10000))/2,(Z43+($K$3/10000))/2))^(2*Y43/365.25)</f>
        <v>0.492498408918634</v>
      </c>
      <c r="AB43" s="61" t="n">
        <f aca="false">IF(AND(mthbeg&lt;=A43,mthend&gt;=A43),1,0)</f>
        <v>1</v>
      </c>
      <c r="AC43" s="61" t="n">
        <f aca="false">W43*AB43</f>
        <v>31</v>
      </c>
      <c r="AD43" s="121" t="n">
        <f aca="false">$D43*E43</f>
        <v>14822988.850933</v>
      </c>
      <c r="AE43" s="121" t="n">
        <f aca="false">$D43*F43</f>
        <v>0</v>
      </c>
      <c r="AF43" s="121" t="n">
        <f aca="false">$D43*G43</f>
        <v>14822988.850933</v>
      </c>
      <c r="AG43" s="121" t="n">
        <f aca="false">$D43*H43</f>
        <v>0</v>
      </c>
      <c r="AH43" s="121" t="n">
        <f aca="false">$D43*I43</f>
        <v>0</v>
      </c>
      <c r="AI43" s="121" t="n">
        <f aca="false">$D43*J43</f>
        <v>0</v>
      </c>
      <c r="AJ43" s="121" t="n">
        <f aca="false">$D43*K43</f>
        <v>0</v>
      </c>
      <c r="AK43" s="121" t="n">
        <f aca="false">$D43*L43</f>
        <v>0</v>
      </c>
      <c r="AL43" s="121" t="n">
        <f aca="false">$D43*M43</f>
        <v>0</v>
      </c>
      <c r="AM43" s="125"/>
      <c r="AO43" s="75" t="e">
        <f aca="false">EURO(N43,O43,Z43,Z43,R43,U43,0,0)</f>
        <v>#NAME?</v>
      </c>
      <c r="AP43" s="138" t="e">
        <f aca="false">AO43*C43</f>
        <v>#NAME?</v>
      </c>
      <c r="AQ43" s="60" t="e">
        <f aca="false">-EURO(N43,O43,Z43,Z43,R43,U43,0,1)</f>
        <v>#NAME?</v>
      </c>
    </row>
    <row r="44" customFormat="false" ht="12.75" hidden="false" customHeight="false" outlineLevel="0" collapsed="false">
      <c r="A44" s="127" t="n">
        <f aca="false">EDATE(A43,1)</f>
        <v>41214</v>
      </c>
      <c r="B44" s="128" t="n">
        <f aca="false">B43</f>
        <v>205479</v>
      </c>
      <c r="C44" s="116" t="n">
        <f aca="false">IF(AB44=0,0,IF(AND(AB44=1,$H$3=1),B44*W44,IF($H$3=2,B44,"N/A")))</f>
        <v>6164370</v>
      </c>
      <c r="D44" s="116" t="n">
        <f aca="false">C44*AA44</f>
        <v>3018595.58755562</v>
      </c>
      <c r="E44" s="129" t="n">
        <f aca="false">VLOOKUP($A44,[1]!CurveTable,MATCH($E$4,[1]!CurveType,0))</f>
        <v>4.835</v>
      </c>
      <c r="F44" s="130"/>
      <c r="G44" s="131" t="n">
        <f aca="false">E44</f>
        <v>4.835</v>
      </c>
      <c r="H44" s="129" t="n">
        <f aca="false">VLOOKUP($A44,[1]!CurveTable,MATCH($H$4,[1]!CurveType,0))</f>
        <v>0</v>
      </c>
      <c r="I44" s="131"/>
      <c r="J44" s="131" t="n">
        <f aca="false">H44</f>
        <v>0</v>
      </c>
      <c r="K44" s="129"/>
      <c r="L44" s="131"/>
      <c r="M44" s="131"/>
      <c r="N44" s="131" t="n">
        <f aca="false">G44+J44+M44+$N$7</f>
        <v>4.545</v>
      </c>
      <c r="O44" s="131" t="n">
        <f aca="false">O43</f>
        <v>3</v>
      </c>
      <c r="P44" s="131"/>
      <c r="Q44" s="129" t="n">
        <f aca="false">VLOOKUP($A44,[1]!CurveTable,MATCH($Q$4,[1]!CurveType,0))</f>
        <v>0.17</v>
      </c>
      <c r="R44" s="129" t="n">
        <f aca="false">Q44+Summary!C$25</f>
        <v>0.17</v>
      </c>
      <c r="S44" s="129"/>
      <c r="T44" s="132" t="n">
        <f aca="false">X44</f>
        <v>41214</v>
      </c>
      <c r="U44" s="133" t="n">
        <f aca="false">T44-$C$3</f>
        <v>4209</v>
      </c>
      <c r="W44" s="61" t="n">
        <f aca="false">A45-A44</f>
        <v>30</v>
      </c>
      <c r="X44" s="135" t="n">
        <f aca="false">CHOOSE(F$3,A45+24,A44)</f>
        <v>41214</v>
      </c>
      <c r="Y44" s="61" t="n">
        <f aca="false">X44-C$3</f>
        <v>4209</v>
      </c>
      <c r="Z44" s="136" t="n">
        <f aca="false">VLOOKUP($A44,[1]!CurveTable,MATCH($Z$4,[1]!CurveType,0))</f>
        <v>0.0629289552229797</v>
      </c>
      <c r="AA44" s="137" t="n">
        <f aca="false">1/(1+CHOOSE(F$3,(Z45+($K$3/10000))/2,(Z44+($K$3/10000))/2))^(2*Y44/365.25)</f>
        <v>0.489684361509062</v>
      </c>
      <c r="AB44" s="61" t="n">
        <f aca="false">IF(AND(mthbeg&lt;=A44,mthend&gt;=A44),1,0)</f>
        <v>1</v>
      </c>
      <c r="AC44" s="61" t="n">
        <f aca="false">W44*AB44</f>
        <v>30</v>
      </c>
      <c r="AD44" s="121" t="n">
        <f aca="false">$D44*E44</f>
        <v>14594909.6658314</v>
      </c>
      <c r="AE44" s="121" t="n">
        <f aca="false">$D44*F44</f>
        <v>0</v>
      </c>
      <c r="AF44" s="121" t="n">
        <f aca="false">$D44*G44</f>
        <v>14594909.6658314</v>
      </c>
      <c r="AG44" s="121" t="n">
        <f aca="false">$D44*H44</f>
        <v>0</v>
      </c>
      <c r="AH44" s="121" t="n">
        <f aca="false">$D44*I44</f>
        <v>0</v>
      </c>
      <c r="AI44" s="121" t="n">
        <f aca="false">$D44*J44</f>
        <v>0</v>
      </c>
      <c r="AJ44" s="121" t="n">
        <f aca="false">$D44*K44</f>
        <v>0</v>
      </c>
      <c r="AK44" s="121" t="n">
        <f aca="false">$D44*L44</f>
        <v>0</v>
      </c>
      <c r="AL44" s="121" t="n">
        <f aca="false">$D44*M44</f>
        <v>0</v>
      </c>
      <c r="AM44" s="125"/>
      <c r="AO44" s="75" t="e">
        <f aca="false">EURO(N44,O44,Z44,Z44,R44,U44,0,0)</f>
        <v>#NAME?</v>
      </c>
      <c r="AP44" s="138" t="e">
        <f aca="false">AO44*C44</f>
        <v>#NAME?</v>
      </c>
      <c r="AQ44" s="60" t="e">
        <f aca="false">-EURO(N44,O44,Z44,Z44,R44,U44,0,1)</f>
        <v>#NAME?</v>
      </c>
    </row>
    <row r="45" customFormat="false" ht="12.75" hidden="false" customHeight="false" outlineLevel="0" collapsed="false">
      <c r="A45" s="127" t="n">
        <f aca="false">EDATE(A44,1)</f>
        <v>41244</v>
      </c>
      <c r="B45" s="128" t="n">
        <f aca="false">B44</f>
        <v>205479</v>
      </c>
      <c r="C45" s="116" t="n">
        <f aca="false">IF(AB45=0,0,IF(AND(AB45=1,$H$3=1),B45*W45,IF($H$3=2,B45,"N/A")))</f>
        <v>6369849</v>
      </c>
      <c r="D45" s="116" t="n">
        <f aca="false">C45*AA45</f>
        <v>3101945.49824656</v>
      </c>
      <c r="E45" s="129" t="n">
        <f aca="false">VLOOKUP($A45,[1]!CurveTable,MATCH($E$4,[1]!CurveType,0))</f>
        <v>4.955</v>
      </c>
      <c r="F45" s="130"/>
      <c r="G45" s="131" t="n">
        <f aca="false">E45</f>
        <v>4.955</v>
      </c>
      <c r="H45" s="129" t="n">
        <f aca="false">VLOOKUP($A45,[1]!CurveTable,MATCH($H$4,[1]!CurveType,0))</f>
        <v>0</v>
      </c>
      <c r="I45" s="131"/>
      <c r="J45" s="131" t="n">
        <f aca="false">H45</f>
        <v>0</v>
      </c>
      <c r="K45" s="129"/>
      <c r="L45" s="131"/>
      <c r="M45" s="131"/>
      <c r="N45" s="131" t="n">
        <f aca="false">G45+J45+M45+$N$7</f>
        <v>4.665</v>
      </c>
      <c r="O45" s="131" t="n">
        <f aca="false">O44</f>
        <v>3</v>
      </c>
      <c r="P45" s="131"/>
      <c r="Q45" s="129" t="n">
        <f aca="false">VLOOKUP($A45,[1]!CurveTable,MATCH($Q$4,[1]!CurveType,0))</f>
        <v>0.17</v>
      </c>
      <c r="R45" s="129" t="n">
        <f aca="false">Q45+Summary!C$25</f>
        <v>0.17</v>
      </c>
      <c r="S45" s="129"/>
      <c r="T45" s="132" t="n">
        <f aca="false">X45</f>
        <v>41244</v>
      </c>
      <c r="U45" s="133" t="n">
        <f aca="false">T45-$C$3</f>
        <v>4239</v>
      </c>
      <c r="W45" s="61" t="n">
        <f aca="false">A46-A45</f>
        <v>31</v>
      </c>
      <c r="X45" s="135" t="n">
        <f aca="false">CHOOSE(F$3,A46+24,A45)</f>
        <v>41244</v>
      </c>
      <c r="Y45" s="61" t="n">
        <f aca="false">X45-C$3</f>
        <v>4239</v>
      </c>
      <c r="Z45" s="136" t="n">
        <f aca="false">VLOOKUP($A45,[1]!CurveTable,MATCH($Z$4,[1]!CurveType,0))</f>
        <v>0.062970101363518</v>
      </c>
      <c r="AA45" s="137" t="n">
        <f aca="false">1/(1+CHOOSE(F$3,(Z46+($K$3/10000))/2,(Z45+($K$3/10000))/2))^(2*Y45/365.25)</f>
        <v>0.486973160312993</v>
      </c>
      <c r="AB45" s="61" t="n">
        <f aca="false">IF(AND(mthbeg&lt;=A45,mthend&gt;=A45),1,0)</f>
        <v>1</v>
      </c>
      <c r="AC45" s="61" t="n">
        <f aca="false">W45*AB45</f>
        <v>31</v>
      </c>
      <c r="AD45" s="121" t="n">
        <f aca="false">$D45*E45</f>
        <v>15370139.9438117</v>
      </c>
      <c r="AE45" s="121" t="n">
        <f aca="false">$D45*F45</f>
        <v>0</v>
      </c>
      <c r="AF45" s="121" t="n">
        <f aca="false">$D45*G45</f>
        <v>15370139.9438117</v>
      </c>
      <c r="AG45" s="121" t="n">
        <f aca="false">$D45*H45</f>
        <v>0</v>
      </c>
      <c r="AH45" s="121" t="n">
        <f aca="false">$D45*I45</f>
        <v>0</v>
      </c>
      <c r="AI45" s="121" t="n">
        <f aca="false">$D45*J45</f>
        <v>0</v>
      </c>
      <c r="AJ45" s="121" t="n">
        <f aca="false">$D45*K45</f>
        <v>0</v>
      </c>
      <c r="AK45" s="121" t="n">
        <f aca="false">$D45*L45</f>
        <v>0</v>
      </c>
      <c r="AL45" s="121" t="n">
        <f aca="false">$D45*M45</f>
        <v>0</v>
      </c>
      <c r="AM45" s="125"/>
      <c r="AO45" s="75" t="e">
        <f aca="false">EURO(N45,O45,Z45,Z45,R45,U45,0,0)</f>
        <v>#NAME?</v>
      </c>
      <c r="AP45" s="138" t="e">
        <f aca="false">AO45*C45</f>
        <v>#NAME?</v>
      </c>
      <c r="AQ45" s="60" t="e">
        <f aca="false">-EURO(N45,O45,Z45,Z45,R45,U45,0,1)</f>
        <v>#NAME?</v>
      </c>
    </row>
    <row r="46" customFormat="false" ht="12.75" hidden="false" customHeight="false" outlineLevel="0" collapsed="false">
      <c r="A46" s="127" t="n">
        <f aca="false">EDATE(A45,1)</f>
        <v>41275</v>
      </c>
      <c r="B46" s="128" t="n">
        <f aca="false">B45</f>
        <v>205479</v>
      </c>
      <c r="C46" s="116" t="n">
        <f aca="false">IF(AB46=0,0,IF(AND(AB46=1,$H$3=1),B46*W46,IF($H$3=2,B46,"N/A")))</f>
        <v>6369849</v>
      </c>
      <c r="D46" s="116" t="n">
        <f aca="false">C46*AA46</f>
        <v>3084179.13443842</v>
      </c>
      <c r="E46" s="129" t="n">
        <f aca="false">VLOOKUP($A46,[1]!CurveTable,MATCH($E$4,[1]!CurveType,0))</f>
        <v>5.025</v>
      </c>
      <c r="F46" s="130"/>
      <c r="G46" s="131" t="n">
        <f aca="false">E46</f>
        <v>5.025</v>
      </c>
      <c r="H46" s="129" t="n">
        <f aca="false">VLOOKUP($A46,[1]!CurveTable,MATCH($H$4,[1]!CurveType,0))</f>
        <v>0</v>
      </c>
      <c r="I46" s="131"/>
      <c r="J46" s="131" t="n">
        <f aca="false">H46</f>
        <v>0</v>
      </c>
      <c r="K46" s="129"/>
      <c r="L46" s="131"/>
      <c r="M46" s="131"/>
      <c r="N46" s="131" t="n">
        <f aca="false">G46+J46+M46+$N$7</f>
        <v>4.735</v>
      </c>
      <c r="O46" s="131" t="n">
        <f aca="false">O45</f>
        <v>3</v>
      </c>
      <c r="P46" s="131"/>
      <c r="Q46" s="129" t="n">
        <f aca="false">VLOOKUP($A46,[1]!CurveTable,MATCH($Q$4,[1]!CurveType,0))</f>
        <v>0.17</v>
      </c>
      <c r="R46" s="129" t="n">
        <f aca="false">Q46+Summary!C$25</f>
        <v>0.17</v>
      </c>
      <c r="S46" s="129"/>
      <c r="T46" s="132" t="n">
        <f aca="false">X46</f>
        <v>41275</v>
      </c>
      <c r="U46" s="133" t="n">
        <f aca="false">T46-$C$3</f>
        <v>4270</v>
      </c>
      <c r="W46" s="61" t="n">
        <f aca="false">A47-A46</f>
        <v>31</v>
      </c>
      <c r="X46" s="135" t="n">
        <f aca="false">CHOOSE(F$3,A47+24,A46)</f>
        <v>41275</v>
      </c>
      <c r="Y46" s="61" t="n">
        <f aca="false">X46-C$3</f>
        <v>4270</v>
      </c>
      <c r="Z46" s="136" t="n">
        <f aca="false">VLOOKUP($A46,[1]!CurveTable,MATCH($Z$4,[1]!CurveType,0))</f>
        <v>0.0630126190426648</v>
      </c>
      <c r="AA46" s="137" t="n">
        <f aca="false">1/(1+CHOOSE(F$3,(Z47+($K$3/10000))/2,(Z46+($K$3/10000))/2))^(2*Y46/365.25)</f>
        <v>0.48418402609519</v>
      </c>
      <c r="AB46" s="61" t="n">
        <f aca="false">IF(AND(mthbeg&lt;=A46,mthend&gt;=A46),1,0)</f>
        <v>1</v>
      </c>
      <c r="AC46" s="61" t="n">
        <f aca="false">W46*AB46</f>
        <v>31</v>
      </c>
      <c r="AD46" s="121" t="n">
        <f aca="false">$D46*E46</f>
        <v>15498000.1505531</v>
      </c>
      <c r="AE46" s="121" t="n">
        <f aca="false">$D46*F46</f>
        <v>0</v>
      </c>
      <c r="AF46" s="121" t="n">
        <f aca="false">$D46*G46</f>
        <v>15498000.1505531</v>
      </c>
      <c r="AG46" s="121" t="n">
        <f aca="false">$D46*H46</f>
        <v>0</v>
      </c>
      <c r="AH46" s="121" t="n">
        <f aca="false">$D46*I46</f>
        <v>0</v>
      </c>
      <c r="AI46" s="121" t="n">
        <f aca="false">$D46*J46</f>
        <v>0</v>
      </c>
      <c r="AJ46" s="121" t="n">
        <f aca="false">$D46*K46</f>
        <v>0</v>
      </c>
      <c r="AK46" s="121" t="n">
        <f aca="false">$D46*L46</f>
        <v>0</v>
      </c>
      <c r="AL46" s="121" t="n">
        <f aca="false">$D46*M46</f>
        <v>0</v>
      </c>
      <c r="AM46" s="125"/>
      <c r="AO46" s="75" t="e">
        <f aca="false">EURO(N46,O46,Z46,Z46,R46,U46,0,0)</f>
        <v>#NAME?</v>
      </c>
      <c r="AP46" s="138" t="e">
        <f aca="false">AO46*C46</f>
        <v>#NAME?</v>
      </c>
      <c r="AQ46" s="60" t="e">
        <f aca="false">-EURO(N46,O46,Z46,Z46,R46,U46,0,1)</f>
        <v>#NAME?</v>
      </c>
    </row>
    <row r="47" customFormat="false" ht="12.75" hidden="false" customHeight="false" outlineLevel="0" collapsed="false">
      <c r="A47" s="127" t="n">
        <f aca="false">EDATE(A46,1)</f>
        <v>41306</v>
      </c>
      <c r="B47" s="128" t="n">
        <f aca="false">B46</f>
        <v>205479</v>
      </c>
      <c r="C47" s="116" t="n">
        <f aca="false">IF(AB47=0,0,IF(AND(AB47=1,$H$3=1),B47*W47,IF($H$3=2,B47,"N/A")))</f>
        <v>5753412</v>
      </c>
      <c r="D47" s="116" t="n">
        <f aca="false">C47*AA47</f>
        <v>2769735.70507602</v>
      </c>
      <c r="E47" s="129" t="n">
        <f aca="false">VLOOKUP($A47,[1]!CurveTable,MATCH($E$4,[1]!CurveType,0))</f>
        <v>4.905</v>
      </c>
      <c r="F47" s="130"/>
      <c r="G47" s="131" t="n">
        <f aca="false">E47</f>
        <v>4.905</v>
      </c>
      <c r="H47" s="129" t="n">
        <f aca="false">VLOOKUP($A47,[1]!CurveTable,MATCH($H$4,[1]!CurveType,0))</f>
        <v>0</v>
      </c>
      <c r="I47" s="131"/>
      <c r="J47" s="131" t="n">
        <f aca="false">H47</f>
        <v>0</v>
      </c>
      <c r="K47" s="129"/>
      <c r="L47" s="131"/>
      <c r="M47" s="131"/>
      <c r="N47" s="131" t="n">
        <f aca="false">G47+J47+M47+$N$7</f>
        <v>4.615</v>
      </c>
      <c r="O47" s="131" t="n">
        <f aca="false">O46</f>
        <v>3</v>
      </c>
      <c r="P47" s="131"/>
      <c r="Q47" s="129" t="n">
        <f aca="false">VLOOKUP($A47,[1]!CurveTable,MATCH($Q$4,[1]!CurveType,0))</f>
        <v>0.17</v>
      </c>
      <c r="R47" s="129" t="n">
        <f aca="false">Q47+Summary!C$25</f>
        <v>0.17</v>
      </c>
      <c r="S47" s="129"/>
      <c r="T47" s="132" t="n">
        <f aca="false">X47</f>
        <v>41306</v>
      </c>
      <c r="U47" s="133" t="n">
        <f aca="false">T47-$C$3</f>
        <v>4301</v>
      </c>
      <c r="W47" s="61" t="n">
        <f aca="false">A48-A47</f>
        <v>28</v>
      </c>
      <c r="X47" s="135" t="n">
        <f aca="false">CHOOSE(F$3,A48+24,A47)</f>
        <v>41306</v>
      </c>
      <c r="Y47" s="61" t="n">
        <f aca="false">X47-C$3</f>
        <v>4301</v>
      </c>
      <c r="Z47" s="136" t="n">
        <f aca="false">VLOOKUP($A47,[1]!CurveTable,MATCH($Z$4,[1]!CurveType,0))</f>
        <v>0.0630551367224115</v>
      </c>
      <c r="AA47" s="137" t="n">
        <f aca="false">1/(1+CHOOSE(F$3,(Z48+($K$3/10000))/2,(Z47+($K$3/10000))/2))^(2*Y47/365.25)</f>
        <v>0.481407503074005</v>
      </c>
      <c r="AB47" s="61" t="n">
        <f aca="false">IF(AND(mthbeg&lt;=A47,mthend&gt;=A47),1,0)</f>
        <v>1</v>
      </c>
      <c r="AC47" s="61" t="n">
        <f aca="false">W47*AB47</f>
        <v>28</v>
      </c>
      <c r="AD47" s="121" t="n">
        <f aca="false">$D47*E47</f>
        <v>13585553.6333979</v>
      </c>
      <c r="AE47" s="121" t="n">
        <f aca="false">$D47*F47</f>
        <v>0</v>
      </c>
      <c r="AF47" s="121" t="n">
        <f aca="false">$D47*G47</f>
        <v>13585553.6333979</v>
      </c>
      <c r="AG47" s="121" t="n">
        <f aca="false">$D47*H47</f>
        <v>0</v>
      </c>
      <c r="AH47" s="121" t="n">
        <f aca="false">$D47*I47</f>
        <v>0</v>
      </c>
      <c r="AI47" s="121" t="n">
        <f aca="false">$D47*J47</f>
        <v>0</v>
      </c>
      <c r="AJ47" s="121" t="n">
        <f aca="false">$D47*K47</f>
        <v>0</v>
      </c>
      <c r="AK47" s="121" t="n">
        <f aca="false">$D47*L47</f>
        <v>0</v>
      </c>
      <c r="AL47" s="121" t="n">
        <f aca="false">$D47*M47</f>
        <v>0</v>
      </c>
      <c r="AM47" s="139"/>
      <c r="AO47" s="75" t="e">
        <f aca="false">EURO(N47,O47,Z47,Z47,R47,U47,0,0)</f>
        <v>#NAME?</v>
      </c>
      <c r="AP47" s="138" t="e">
        <f aca="false">AO47*C47</f>
        <v>#NAME?</v>
      </c>
      <c r="AQ47" s="60" t="e">
        <f aca="false">-EURO(N47,O47,Z47,Z47,R47,U47,0,1)</f>
        <v>#NAME?</v>
      </c>
    </row>
    <row r="48" customFormat="false" ht="12.75" hidden="false" customHeight="false" outlineLevel="0" collapsed="false">
      <c r="A48" s="127" t="n">
        <f aca="false">EDATE(A47,1)</f>
        <v>41334</v>
      </c>
      <c r="B48" s="128" t="n">
        <f aca="false">B47</f>
        <v>205479</v>
      </c>
      <c r="C48" s="116" t="n">
        <f aca="false">IF(AB48=0,0,IF(AND(AB48=1,$H$3=1),B48*W48,IF($H$3=2,B48,"N/A")))</f>
        <v>6369849</v>
      </c>
      <c r="D48" s="116" t="n">
        <f aca="false">C48*AA48</f>
        <v>3050587.49011287</v>
      </c>
      <c r="E48" s="129" t="n">
        <f aca="false">VLOOKUP($A48,[1]!CurveTable,MATCH($E$4,[1]!CurveType,0))</f>
        <v>4.766</v>
      </c>
      <c r="F48" s="130"/>
      <c r="G48" s="131" t="n">
        <f aca="false">E48</f>
        <v>4.766</v>
      </c>
      <c r="H48" s="129" t="n">
        <f aca="false">VLOOKUP($A48,[1]!CurveTable,MATCH($H$4,[1]!CurveType,0))</f>
        <v>0</v>
      </c>
      <c r="I48" s="131"/>
      <c r="J48" s="131" t="n">
        <f aca="false">H48</f>
        <v>0</v>
      </c>
      <c r="K48" s="129"/>
      <c r="L48" s="131"/>
      <c r="M48" s="131"/>
      <c r="N48" s="131" t="n">
        <f aca="false">G48+J48+M48+$N$7</f>
        <v>4.476</v>
      </c>
      <c r="O48" s="131" t="n">
        <f aca="false">O47</f>
        <v>3</v>
      </c>
      <c r="P48" s="131"/>
      <c r="Q48" s="129" t="n">
        <f aca="false">VLOOKUP($A48,[1]!CurveTable,MATCH($Q$4,[1]!CurveType,0))</f>
        <v>0.17</v>
      </c>
      <c r="R48" s="129" t="n">
        <f aca="false">Q48+Summary!C$25</f>
        <v>0.17</v>
      </c>
      <c r="S48" s="129"/>
      <c r="T48" s="132" t="n">
        <f aca="false">X48</f>
        <v>41334</v>
      </c>
      <c r="U48" s="133" t="n">
        <f aca="false">T48-$C$3</f>
        <v>4329</v>
      </c>
      <c r="W48" s="61" t="n">
        <f aca="false">A49-A48</f>
        <v>31</v>
      </c>
      <c r="X48" s="135" t="n">
        <f aca="false">CHOOSE(F$3,A49+24,A48)</f>
        <v>41334</v>
      </c>
      <c r="Y48" s="61" t="n">
        <f aca="false">X48-C$3</f>
        <v>4329</v>
      </c>
      <c r="Z48" s="136" t="n">
        <f aca="false">VLOOKUP($A48,[1]!CurveTable,MATCH($Z$4,[1]!CurveType,0))</f>
        <v>0.0630935397885044</v>
      </c>
      <c r="AA48" s="137" t="n">
        <f aca="false">1/(1+CHOOSE(F$3,(Z49+($K$3/10000))/2,(Z48+($K$3/10000))/2))^(2*Y48/365.25)</f>
        <v>0.47891048753477</v>
      </c>
      <c r="AB48" s="61" t="n">
        <f aca="false">IF(AND(mthbeg&lt;=A48,mthend&gt;=A48),1,0)</f>
        <v>1</v>
      </c>
      <c r="AC48" s="61" t="n">
        <f aca="false">W48*AB48</f>
        <v>31</v>
      </c>
      <c r="AD48" s="121" t="n">
        <f aca="false">$D48*E48</f>
        <v>14539099.9778779</v>
      </c>
      <c r="AE48" s="121" t="n">
        <f aca="false">$D48*F48</f>
        <v>0</v>
      </c>
      <c r="AF48" s="121" t="n">
        <f aca="false">$D48*G48</f>
        <v>14539099.9778779</v>
      </c>
      <c r="AG48" s="121" t="n">
        <f aca="false">$D48*H48</f>
        <v>0</v>
      </c>
      <c r="AH48" s="121" t="n">
        <f aca="false">$D48*I48</f>
        <v>0</v>
      </c>
      <c r="AI48" s="121" t="n">
        <f aca="false">$D48*J48</f>
        <v>0</v>
      </c>
      <c r="AJ48" s="121" t="n">
        <f aca="false">$D48*K48</f>
        <v>0</v>
      </c>
      <c r="AK48" s="121" t="n">
        <f aca="false">$D48*L48</f>
        <v>0</v>
      </c>
      <c r="AL48" s="121" t="n">
        <f aca="false">$D48*M48</f>
        <v>0</v>
      </c>
      <c r="AM48" s="139"/>
      <c r="AO48" s="75" t="e">
        <f aca="false">EURO(N48,O48,Z48,Z48,R48,U48,0,0)</f>
        <v>#NAME?</v>
      </c>
      <c r="AP48" s="138" t="e">
        <f aca="false">AO48*C48</f>
        <v>#NAME?</v>
      </c>
      <c r="AQ48" s="60" t="e">
        <f aca="false">-EURO(N48,O48,Z48,Z48,R48,U48,0,1)</f>
        <v>#NAME?</v>
      </c>
    </row>
    <row r="49" customFormat="false" ht="12.75" hidden="false" customHeight="false" outlineLevel="0" collapsed="false">
      <c r="A49" s="127" t="n">
        <f aca="false">EDATE(A48,1)</f>
        <v>41365</v>
      </c>
      <c r="B49" s="128" t="n">
        <f aca="false">B48</f>
        <v>205479</v>
      </c>
      <c r="C49" s="116" t="n">
        <f aca="false">IF(AB49=0,0,IF(AND(AB49=1,$H$3=1),B49*W49,IF($H$3=2,B49,"N/A")))</f>
        <v>6164370</v>
      </c>
      <c r="D49" s="116" t="n">
        <f aca="false">C49*AA49</f>
        <v>2935213.31238944</v>
      </c>
      <c r="E49" s="129" t="n">
        <f aca="false">VLOOKUP($A49,[1]!CurveTable,MATCH($E$4,[1]!CurveType,0))</f>
        <v>4.596</v>
      </c>
      <c r="F49" s="130"/>
      <c r="G49" s="131" t="n">
        <f aca="false">E49</f>
        <v>4.596</v>
      </c>
      <c r="H49" s="129" t="n">
        <f aca="false">VLOOKUP($A49,[1]!CurveTable,MATCH($H$4,[1]!CurveType,0))</f>
        <v>0</v>
      </c>
      <c r="I49" s="131"/>
      <c r="J49" s="131" t="n">
        <f aca="false">H49</f>
        <v>0</v>
      </c>
      <c r="K49" s="129"/>
      <c r="L49" s="131"/>
      <c r="M49" s="131"/>
      <c r="N49" s="131" t="n">
        <f aca="false">G49+J49+M49+$N$7</f>
        <v>4.306</v>
      </c>
      <c r="O49" s="131" t="n">
        <f aca="false">O48</f>
        <v>3</v>
      </c>
      <c r="P49" s="131"/>
      <c r="Q49" s="129" t="n">
        <f aca="false">VLOOKUP($A49,[1]!CurveTable,MATCH($Q$4,[1]!CurveType,0))</f>
        <v>0.17</v>
      </c>
      <c r="R49" s="129" t="n">
        <f aca="false">Q49+Summary!C$25</f>
        <v>0.17</v>
      </c>
      <c r="S49" s="129"/>
      <c r="T49" s="132" t="n">
        <f aca="false">X49</f>
        <v>41365</v>
      </c>
      <c r="U49" s="133" t="n">
        <f aca="false">T49-$C$3</f>
        <v>4360</v>
      </c>
      <c r="W49" s="61" t="n">
        <f aca="false">A50-A49</f>
        <v>30</v>
      </c>
      <c r="X49" s="135" t="n">
        <f aca="false">CHOOSE(F$3,A50+24,A49)</f>
        <v>41365</v>
      </c>
      <c r="Y49" s="61" t="n">
        <f aca="false">X49-C$3</f>
        <v>4360</v>
      </c>
      <c r="Z49" s="136" t="n">
        <f aca="false">VLOOKUP($A49,[1]!CurveTable,MATCH($Z$4,[1]!CurveType,0))</f>
        <v>0.0631360574693929</v>
      </c>
      <c r="AA49" s="137" t="n">
        <f aca="false">1/(1+CHOOSE(F$3,(Z50+($K$3/10000))/2,(Z49+($K$3/10000))/2))^(2*Y49/365.25)</f>
        <v>0.476157873779387</v>
      </c>
      <c r="AB49" s="61" t="n">
        <f aca="false">IF(AND(mthbeg&lt;=A49,mthend&gt;=A49),1,0)</f>
        <v>1</v>
      </c>
      <c r="AC49" s="61" t="n">
        <f aca="false">W49*AB49</f>
        <v>30</v>
      </c>
      <c r="AD49" s="121" t="n">
        <f aca="false">$D49*E49</f>
        <v>13490240.3837419</v>
      </c>
      <c r="AE49" s="121" t="n">
        <f aca="false">$D49*F49</f>
        <v>0</v>
      </c>
      <c r="AF49" s="121" t="n">
        <f aca="false">$D49*G49</f>
        <v>13490240.3837419</v>
      </c>
      <c r="AG49" s="121" t="n">
        <f aca="false">$D49*H49</f>
        <v>0</v>
      </c>
      <c r="AH49" s="121" t="n">
        <f aca="false">$D49*I49</f>
        <v>0</v>
      </c>
      <c r="AI49" s="121" t="n">
        <f aca="false">$D49*J49</f>
        <v>0</v>
      </c>
      <c r="AJ49" s="121" t="n">
        <f aca="false">$D49*K49</f>
        <v>0</v>
      </c>
      <c r="AK49" s="121" t="n">
        <f aca="false">$D49*L49</f>
        <v>0</v>
      </c>
      <c r="AL49" s="121" t="n">
        <f aca="false">$D49*M49</f>
        <v>0</v>
      </c>
      <c r="AM49" s="139"/>
      <c r="AO49" s="75" t="e">
        <f aca="false">EURO(N49,O49,Z49,Z49,R49,U49,0,0)</f>
        <v>#NAME?</v>
      </c>
      <c r="AP49" s="138" t="e">
        <f aca="false">AO49*C49</f>
        <v>#NAME?</v>
      </c>
      <c r="AQ49" s="60" t="e">
        <f aca="false">-EURO(N49,O49,Z49,Z49,R49,U49,0,1)</f>
        <v>#NAME?</v>
      </c>
    </row>
    <row r="50" customFormat="false" ht="12.75" hidden="false" customHeight="false" outlineLevel="0" collapsed="false">
      <c r="A50" s="127" t="n">
        <f aca="false">EDATE(A49,1)</f>
        <v>41395</v>
      </c>
      <c r="B50" s="128" t="n">
        <f aca="false">B49</f>
        <v>205479</v>
      </c>
      <c r="C50" s="116" t="n">
        <f aca="false">IF(AB50=0,0,IF(AND(AB50=1,$H$3=1),B50*W50,IF($H$3=2,B50,"N/A")))</f>
        <v>6369849</v>
      </c>
      <c r="D50" s="116" t="n">
        <f aca="false">C50*AA50</f>
        <v>3016161.52333013</v>
      </c>
      <c r="E50" s="129" t="n">
        <f aca="false">VLOOKUP($A50,[1]!CurveTable,MATCH($E$4,[1]!CurveType,0))</f>
        <v>4.655</v>
      </c>
      <c r="F50" s="130"/>
      <c r="G50" s="131" t="n">
        <f aca="false">E50</f>
        <v>4.655</v>
      </c>
      <c r="H50" s="129" t="n">
        <f aca="false">VLOOKUP($A50,[1]!CurveTable,MATCH($H$4,[1]!CurveType,0))</f>
        <v>0</v>
      </c>
      <c r="I50" s="131"/>
      <c r="J50" s="131" t="n">
        <f aca="false">H50</f>
        <v>0</v>
      </c>
      <c r="K50" s="129"/>
      <c r="L50" s="131"/>
      <c r="M50" s="131"/>
      <c r="N50" s="131" t="n">
        <f aca="false">G50+J50+M50+$N$7</f>
        <v>4.365</v>
      </c>
      <c r="O50" s="131" t="n">
        <f aca="false">O49</f>
        <v>3</v>
      </c>
      <c r="P50" s="131"/>
      <c r="Q50" s="129" t="n">
        <f aca="false">VLOOKUP($A50,[1]!CurveTable,MATCH($Q$4,[1]!CurveType,0))</f>
        <v>0.17</v>
      </c>
      <c r="R50" s="129" t="n">
        <f aca="false">Q50+Summary!C$25</f>
        <v>0.17</v>
      </c>
      <c r="S50" s="129"/>
      <c r="T50" s="132" t="n">
        <f aca="false">X50</f>
        <v>41395</v>
      </c>
      <c r="U50" s="133" t="n">
        <f aca="false">T50-$C$3</f>
        <v>4390</v>
      </c>
      <c r="W50" s="61" t="n">
        <f aca="false">A51-A50</f>
        <v>31</v>
      </c>
      <c r="X50" s="135" t="n">
        <f aca="false">CHOOSE(F$3,A51+24,A50)</f>
        <v>41395</v>
      </c>
      <c r="Y50" s="61" t="n">
        <f aca="false">X50-C$3</f>
        <v>4390</v>
      </c>
      <c r="Z50" s="136" t="n">
        <f aca="false">VLOOKUP($A50,[1]!CurveTable,MATCH($Z$4,[1]!CurveType,0))</f>
        <v>0.0631772036127587</v>
      </c>
      <c r="AA50" s="137" t="n">
        <f aca="false">1/(1+CHOOSE(F$3,(Z51+($K$3/10000))/2,(Z50+($K$3/10000))/2))^(2*Y50/365.25)</f>
        <v>0.473505969031625</v>
      </c>
      <c r="AB50" s="61" t="n">
        <f aca="false">IF(AND(mthbeg&lt;=A50,mthend&gt;=A50),1,0)</f>
        <v>1</v>
      </c>
      <c r="AC50" s="61" t="n">
        <f aca="false">W50*AB50</f>
        <v>31</v>
      </c>
      <c r="AD50" s="121" t="n">
        <f aca="false">$D50*E50</f>
        <v>14040231.8911017</v>
      </c>
      <c r="AE50" s="121" t="n">
        <f aca="false">$D50*F50</f>
        <v>0</v>
      </c>
      <c r="AF50" s="121" t="n">
        <f aca="false">$D50*G50</f>
        <v>14040231.8911017</v>
      </c>
      <c r="AG50" s="121" t="n">
        <f aca="false">$D50*H50</f>
        <v>0</v>
      </c>
      <c r="AH50" s="121" t="n">
        <f aca="false">$D50*I50</f>
        <v>0</v>
      </c>
      <c r="AI50" s="121" t="n">
        <f aca="false">$D50*J50</f>
        <v>0</v>
      </c>
      <c r="AJ50" s="121" t="n">
        <f aca="false">$D50*K50</f>
        <v>0</v>
      </c>
      <c r="AK50" s="121" t="n">
        <f aca="false">$D50*L50</f>
        <v>0</v>
      </c>
      <c r="AL50" s="121" t="n">
        <f aca="false">$D50*M50</f>
        <v>0</v>
      </c>
      <c r="AM50" s="139"/>
      <c r="AO50" s="75" t="e">
        <f aca="false">EURO(N50,O50,Z50,Z50,R50,U50,0,0)</f>
        <v>#NAME?</v>
      </c>
      <c r="AP50" s="138" t="e">
        <f aca="false">AO50*C50</f>
        <v>#NAME?</v>
      </c>
      <c r="AQ50" s="60" t="e">
        <f aca="false">-EURO(N50,O50,Z50,Z50,R50,U50,0,1)</f>
        <v>#NAME?</v>
      </c>
    </row>
    <row r="51" customFormat="false" ht="12.75" hidden="false" customHeight="false" outlineLevel="0" collapsed="false">
      <c r="A51" s="127" t="n">
        <f aca="false">EDATE(A50,1)</f>
        <v>41426</v>
      </c>
      <c r="B51" s="128" t="n">
        <f aca="false">B50</f>
        <v>205479</v>
      </c>
      <c r="C51" s="116" t="n">
        <f aca="false">IF(AB51=0,0,IF(AND(AB51=1,$H$3=1),B51*W51,IF($H$3=2,B51,"N/A")))</f>
        <v>6164370</v>
      </c>
      <c r="D51" s="116" t="n">
        <f aca="false">C51*AA51</f>
        <v>2902049.45197579</v>
      </c>
      <c r="E51" s="129" t="n">
        <f aca="false">VLOOKUP($A51,[1]!CurveTable,MATCH($E$4,[1]!CurveType,0))</f>
        <v>4.695</v>
      </c>
      <c r="F51" s="130"/>
      <c r="G51" s="131" t="n">
        <f aca="false">E51</f>
        <v>4.695</v>
      </c>
      <c r="H51" s="129" t="n">
        <f aca="false">VLOOKUP($A51,[1]!CurveTable,MATCH($H$4,[1]!CurveType,0))</f>
        <v>0</v>
      </c>
      <c r="I51" s="131"/>
      <c r="J51" s="131" t="n">
        <f aca="false">H51</f>
        <v>0</v>
      </c>
      <c r="K51" s="129"/>
      <c r="L51" s="131"/>
      <c r="M51" s="131"/>
      <c r="N51" s="131" t="n">
        <f aca="false">G51+J51+M51+$N$7</f>
        <v>4.405</v>
      </c>
      <c r="O51" s="131" t="n">
        <f aca="false">O50</f>
        <v>3</v>
      </c>
      <c r="P51" s="131"/>
      <c r="Q51" s="129" t="n">
        <f aca="false">VLOOKUP($A51,[1]!CurveTable,MATCH($Q$4,[1]!CurveType,0))</f>
        <v>0.17</v>
      </c>
      <c r="R51" s="129" t="n">
        <f aca="false">Q51+Summary!C$25</f>
        <v>0.17</v>
      </c>
      <c r="S51" s="129"/>
      <c r="T51" s="132" t="n">
        <f aca="false">X51</f>
        <v>41426</v>
      </c>
      <c r="U51" s="133" t="n">
        <f aca="false">T51-$C$3</f>
        <v>4421</v>
      </c>
      <c r="W51" s="61" t="n">
        <f aca="false">A52-A51</f>
        <v>30</v>
      </c>
      <c r="X51" s="135" t="n">
        <f aca="false">CHOOSE(F$3,A52+24,A51)</f>
        <v>41426</v>
      </c>
      <c r="Y51" s="61" t="n">
        <f aca="false">X51-C$3</f>
        <v>4421</v>
      </c>
      <c r="Z51" s="136" t="n">
        <f aca="false">VLOOKUP($A51,[1]!CurveTable,MATCH($Z$4,[1]!CurveType,0))</f>
        <v>0.0632197212948267</v>
      </c>
      <c r="AA51" s="137" t="n">
        <f aca="false">1/(1+CHOOSE(F$3,(Z52+($K$3/10000))/2,(Z51+($K$3/10000))/2))^(2*Y51/365.25)</f>
        <v>0.470777946809779</v>
      </c>
      <c r="AB51" s="61" t="n">
        <f aca="false">IF(AND(mthbeg&lt;=A51,mthend&gt;=A51),1,0)</f>
        <v>1</v>
      </c>
      <c r="AC51" s="61" t="n">
        <f aca="false">W51*AB51</f>
        <v>30</v>
      </c>
      <c r="AD51" s="121" t="n">
        <f aca="false">$D51*E51</f>
        <v>13625122.1770264</v>
      </c>
      <c r="AE51" s="121" t="n">
        <f aca="false">$D51*F51</f>
        <v>0</v>
      </c>
      <c r="AF51" s="121" t="n">
        <f aca="false">$D51*G51</f>
        <v>13625122.1770264</v>
      </c>
      <c r="AG51" s="121" t="n">
        <f aca="false">$D51*H51</f>
        <v>0</v>
      </c>
      <c r="AH51" s="121" t="n">
        <f aca="false">$D51*I51</f>
        <v>0</v>
      </c>
      <c r="AI51" s="121" t="n">
        <f aca="false">$D51*J51</f>
        <v>0</v>
      </c>
      <c r="AJ51" s="121" t="n">
        <f aca="false">$D51*K51</f>
        <v>0</v>
      </c>
      <c r="AK51" s="121" t="n">
        <f aca="false">$D51*L51</f>
        <v>0</v>
      </c>
      <c r="AL51" s="121" t="n">
        <f aca="false">$D51*M51</f>
        <v>0</v>
      </c>
      <c r="AM51" s="139"/>
      <c r="AO51" s="75" t="e">
        <f aca="false">EURO(N51,O51,Z51,Z51,R51,U51,0,0)</f>
        <v>#NAME?</v>
      </c>
      <c r="AP51" s="138" t="e">
        <f aca="false">AO51*C51</f>
        <v>#NAME?</v>
      </c>
      <c r="AQ51" s="60" t="e">
        <f aca="false">-EURO(N51,O51,Z51,Z51,R51,U51,0,1)</f>
        <v>#NAME?</v>
      </c>
    </row>
    <row r="52" customFormat="false" ht="12.75" hidden="false" customHeight="false" outlineLevel="0" collapsed="false">
      <c r="A52" s="127" t="n">
        <f aca="false">EDATE(A51,1)</f>
        <v>41456</v>
      </c>
      <c r="B52" s="128" t="n">
        <f aca="false">B51</f>
        <v>205479</v>
      </c>
      <c r="C52" s="116" t="n">
        <f aca="false">IF(AB52=0,0,IF(AND(AB52=1,$H$3=1),B52*W52,IF($H$3=2,B52,"N/A")))</f>
        <v>6369849</v>
      </c>
      <c r="D52" s="116" t="n">
        <f aca="false">C52*AA52</f>
        <v>2982043.38923961</v>
      </c>
      <c r="E52" s="129" t="n">
        <f aca="false">VLOOKUP($A52,[1]!CurveTable,MATCH($E$4,[1]!CurveType,0))</f>
        <v>4.74</v>
      </c>
      <c r="F52" s="130"/>
      <c r="G52" s="131" t="n">
        <f aca="false">E52</f>
        <v>4.74</v>
      </c>
      <c r="H52" s="129" t="n">
        <f aca="false">VLOOKUP($A52,[1]!CurveTable,MATCH($H$4,[1]!CurveType,0))</f>
        <v>0</v>
      </c>
      <c r="I52" s="131"/>
      <c r="J52" s="131" t="n">
        <f aca="false">H52</f>
        <v>0</v>
      </c>
      <c r="K52" s="129"/>
      <c r="L52" s="131"/>
      <c r="M52" s="131"/>
      <c r="N52" s="131" t="n">
        <f aca="false">G52+J52+M52+$N$7</f>
        <v>4.45</v>
      </c>
      <c r="O52" s="131" t="n">
        <f aca="false">O51</f>
        <v>3</v>
      </c>
      <c r="P52" s="131"/>
      <c r="Q52" s="129" t="n">
        <f aca="false">VLOOKUP($A52,[1]!CurveTable,MATCH($Q$4,[1]!CurveType,0))</f>
        <v>0.17</v>
      </c>
      <c r="R52" s="129" t="n">
        <f aca="false">Q52+Summary!C$25</f>
        <v>0.17</v>
      </c>
      <c r="S52" s="129"/>
      <c r="T52" s="132" t="n">
        <f aca="false">X52</f>
        <v>41456</v>
      </c>
      <c r="U52" s="133" t="n">
        <f aca="false">T52-$C$3</f>
        <v>4451</v>
      </c>
      <c r="W52" s="61" t="n">
        <f aca="false">A53-A52</f>
        <v>31</v>
      </c>
      <c r="X52" s="135" t="n">
        <f aca="false">CHOOSE(F$3,A53+24,A52)</f>
        <v>41456</v>
      </c>
      <c r="Y52" s="61" t="n">
        <f aca="false">X52-C$3</f>
        <v>4451</v>
      </c>
      <c r="Z52" s="136" t="n">
        <f aca="false">VLOOKUP($A52,[1]!CurveTable,MATCH($Z$4,[1]!CurveType,0))</f>
        <v>0.0632608674393347</v>
      </c>
      <c r="AA52" s="137" t="n">
        <f aca="false">1/(1+CHOOSE(F$3,(Z53+($K$3/10000))/2,(Z52+($K$3/10000))/2))^(2*Y52/365.25)</f>
        <v>0.468149777057449</v>
      </c>
      <c r="AB52" s="61" t="n">
        <f aca="false">IF(AND(mthbeg&lt;=A52,mthend&gt;=A52),1,0)</f>
        <v>1</v>
      </c>
      <c r="AC52" s="61" t="n">
        <f aca="false">W52*AB52</f>
        <v>31</v>
      </c>
      <c r="AD52" s="121" t="n">
        <f aca="false">$D52*E52</f>
        <v>14134885.6649958</v>
      </c>
      <c r="AE52" s="121" t="n">
        <f aca="false">$D52*F52</f>
        <v>0</v>
      </c>
      <c r="AF52" s="121" t="n">
        <f aca="false">$D52*G52</f>
        <v>14134885.6649958</v>
      </c>
      <c r="AG52" s="121" t="n">
        <f aca="false">$D52*H52</f>
        <v>0</v>
      </c>
      <c r="AH52" s="121" t="n">
        <f aca="false">$D52*I52</f>
        <v>0</v>
      </c>
      <c r="AI52" s="121" t="n">
        <f aca="false">$D52*J52</f>
        <v>0</v>
      </c>
      <c r="AJ52" s="121" t="n">
        <f aca="false">$D52*K52</f>
        <v>0</v>
      </c>
      <c r="AK52" s="121" t="n">
        <f aca="false">$D52*L52</f>
        <v>0</v>
      </c>
      <c r="AL52" s="121" t="n">
        <f aca="false">$D52*M52</f>
        <v>0</v>
      </c>
      <c r="AM52" s="139"/>
      <c r="AO52" s="75" t="e">
        <f aca="false">EURO(N52,O52,Z52,Z52,R52,U52,0,0)</f>
        <v>#NAME?</v>
      </c>
      <c r="AP52" s="138" t="e">
        <f aca="false">AO52*C52</f>
        <v>#NAME?</v>
      </c>
      <c r="AQ52" s="60" t="e">
        <f aca="false">-EURO(N52,O52,Z52,Z52,R52,U52,0,1)</f>
        <v>#NAME?</v>
      </c>
    </row>
    <row r="53" customFormat="false" ht="12.75" hidden="false" customHeight="false" outlineLevel="0" collapsed="false">
      <c r="A53" s="127" t="n">
        <f aca="false">EDATE(A52,1)</f>
        <v>41487</v>
      </c>
      <c r="B53" s="128" t="n">
        <f aca="false">B52</f>
        <v>205479</v>
      </c>
      <c r="C53" s="116" t="n">
        <f aca="false">IF(AB53=0,0,IF(AND(AB53=1,$H$3=1),B53*W53,IF($H$3=2,B53,"N/A")))</f>
        <v>6369849</v>
      </c>
      <c r="D53" s="116" t="n">
        <f aca="false">C53*AA53</f>
        <v>2964822.11033298</v>
      </c>
      <c r="E53" s="129" t="n">
        <f aca="false">VLOOKUP($A53,[1]!CurveTable,MATCH($E$4,[1]!CurveType,0))</f>
        <v>4.775</v>
      </c>
      <c r="F53" s="130"/>
      <c r="G53" s="131" t="n">
        <f aca="false">E53</f>
        <v>4.775</v>
      </c>
      <c r="H53" s="129" t="n">
        <f aca="false">VLOOKUP($A53,[1]!CurveTable,MATCH($H$4,[1]!CurveType,0))</f>
        <v>0</v>
      </c>
      <c r="I53" s="131"/>
      <c r="J53" s="131" t="n">
        <f aca="false">H53</f>
        <v>0</v>
      </c>
      <c r="K53" s="129"/>
      <c r="L53" s="131"/>
      <c r="M53" s="131"/>
      <c r="N53" s="131" t="n">
        <f aca="false">G53+J53+M53+$N$7</f>
        <v>4.485</v>
      </c>
      <c r="O53" s="131" t="n">
        <f aca="false">O52</f>
        <v>3</v>
      </c>
      <c r="P53" s="131"/>
      <c r="Q53" s="129" t="n">
        <f aca="false">VLOOKUP($A53,[1]!CurveTable,MATCH($Q$4,[1]!CurveType,0))</f>
        <v>0.17</v>
      </c>
      <c r="R53" s="129" t="n">
        <f aca="false">Q53+Summary!C$25</f>
        <v>0.17</v>
      </c>
      <c r="S53" s="129"/>
      <c r="T53" s="132" t="n">
        <f aca="false">X53</f>
        <v>41487</v>
      </c>
      <c r="U53" s="133" t="n">
        <f aca="false">T53-$C$3</f>
        <v>4482</v>
      </c>
      <c r="W53" s="61" t="n">
        <f aca="false">A54-A53</f>
        <v>31</v>
      </c>
      <c r="X53" s="135" t="n">
        <f aca="false">CHOOSE(F$3,A54+24,A53)</f>
        <v>41487</v>
      </c>
      <c r="Y53" s="61" t="n">
        <f aca="false">X53-C$3</f>
        <v>4482</v>
      </c>
      <c r="Z53" s="136" t="n">
        <f aca="false">VLOOKUP($A53,[1]!CurveTable,MATCH($Z$4,[1]!CurveType,0))</f>
        <v>0.063303385122583</v>
      </c>
      <c r="AA53" s="137" t="n">
        <f aca="false">1/(1+CHOOSE(F$3,(Z54+($K$3/10000))/2,(Z53+($K$3/10000))/2))^(2*Y53/365.25)</f>
        <v>0.465446215496314</v>
      </c>
      <c r="AB53" s="61" t="n">
        <f aca="false">IF(AND(mthbeg&lt;=A53,mthend&gt;=A53),1,0)</f>
        <v>1</v>
      </c>
      <c r="AC53" s="61" t="n">
        <f aca="false">W53*AB53</f>
        <v>31</v>
      </c>
      <c r="AD53" s="121" t="n">
        <f aca="false">$D53*E53</f>
        <v>14157025.57684</v>
      </c>
      <c r="AE53" s="121" t="n">
        <f aca="false">$D53*F53</f>
        <v>0</v>
      </c>
      <c r="AF53" s="121" t="n">
        <f aca="false">$D53*G53</f>
        <v>14157025.57684</v>
      </c>
      <c r="AG53" s="121" t="n">
        <f aca="false">$D53*H53</f>
        <v>0</v>
      </c>
      <c r="AH53" s="121" t="n">
        <f aca="false">$D53*I53</f>
        <v>0</v>
      </c>
      <c r="AI53" s="121" t="n">
        <f aca="false">$D53*J53</f>
        <v>0</v>
      </c>
      <c r="AJ53" s="121" t="n">
        <f aca="false">$D53*K53</f>
        <v>0</v>
      </c>
      <c r="AK53" s="121" t="n">
        <f aca="false">$D53*L53</f>
        <v>0</v>
      </c>
      <c r="AL53" s="121" t="n">
        <f aca="false">$D53*M53</f>
        <v>0</v>
      </c>
      <c r="AM53" s="139"/>
      <c r="AO53" s="75" t="e">
        <f aca="false">EURO(N53,O53,Z53,Z53,R53,U53,0,0)</f>
        <v>#NAME?</v>
      </c>
      <c r="AP53" s="138" t="e">
        <f aca="false">AO53*C53</f>
        <v>#NAME?</v>
      </c>
      <c r="AQ53" s="60" t="e">
        <f aca="false">-EURO(N53,O53,Z53,Z53,R53,U53,0,1)</f>
        <v>#NAME?</v>
      </c>
    </row>
    <row r="54" customFormat="false" ht="12.75" hidden="false" customHeight="false" outlineLevel="0" collapsed="false">
      <c r="A54" s="127" t="n">
        <f aca="false">EDATE(A53,1)</f>
        <v>41518</v>
      </c>
      <c r="B54" s="128" t="n">
        <f aca="false">B53</f>
        <v>205479</v>
      </c>
      <c r="C54" s="116" t="n">
        <f aca="false">IF(AB54=0,0,IF(AND(AB54=1,$H$3=1),B54*W54,IF($H$3=2,B54,"N/A")))</f>
        <v>6164370</v>
      </c>
      <c r="D54" s="116" t="n">
        <f aca="false">C54*AA54</f>
        <v>2852593.25168485</v>
      </c>
      <c r="E54" s="129" t="n">
        <f aca="false">VLOOKUP($A54,[1]!CurveTable,MATCH($E$4,[1]!CurveType,0))</f>
        <v>4.78</v>
      </c>
      <c r="F54" s="130"/>
      <c r="G54" s="131" t="n">
        <f aca="false">E54</f>
        <v>4.78</v>
      </c>
      <c r="H54" s="129" t="n">
        <f aca="false">VLOOKUP($A54,[1]!CurveTable,MATCH($H$4,[1]!CurveType,0))</f>
        <v>0</v>
      </c>
      <c r="I54" s="131"/>
      <c r="J54" s="131" t="n">
        <f aca="false">H54</f>
        <v>0</v>
      </c>
      <c r="K54" s="129"/>
      <c r="L54" s="131"/>
      <c r="M54" s="131"/>
      <c r="N54" s="131" t="n">
        <f aca="false">G54+J54+M54+$N$7</f>
        <v>4.49</v>
      </c>
      <c r="O54" s="131" t="n">
        <f aca="false">O53</f>
        <v>3</v>
      </c>
      <c r="P54" s="131"/>
      <c r="Q54" s="129" t="n">
        <f aca="false">VLOOKUP($A54,[1]!CurveTable,MATCH($Q$4,[1]!CurveType,0))</f>
        <v>0.17</v>
      </c>
      <c r="R54" s="129" t="n">
        <f aca="false">Q54+Summary!C$25</f>
        <v>0.17</v>
      </c>
      <c r="S54" s="129"/>
      <c r="T54" s="132" t="n">
        <f aca="false">X54</f>
        <v>41518</v>
      </c>
      <c r="U54" s="133" t="n">
        <f aca="false">T54-$C$3</f>
        <v>4513</v>
      </c>
      <c r="W54" s="61" t="n">
        <f aca="false">A55-A54</f>
        <v>30</v>
      </c>
      <c r="X54" s="135" t="n">
        <f aca="false">CHOOSE(F$3,A55+24,A54)</f>
        <v>41518</v>
      </c>
      <c r="Y54" s="61" t="n">
        <f aca="false">X54-C$3</f>
        <v>4513</v>
      </c>
      <c r="Z54" s="136" t="n">
        <f aca="false">VLOOKUP($A54,[1]!CurveTable,MATCH($Z$4,[1]!CurveType,0))</f>
        <v>0.0633459028064309</v>
      </c>
      <c r="AA54" s="137" t="n">
        <f aca="false">1/(1+CHOOSE(F$3,(Z55+($K$3/10000))/2,(Z54+($K$3/10000))/2))^(2*Y54/365.25)</f>
        <v>0.462755034445507</v>
      </c>
      <c r="AB54" s="61" t="n">
        <f aca="false">IF(AND(mthbeg&lt;=A54,mthend&gt;=A54),1,0)</f>
        <v>1</v>
      </c>
      <c r="AC54" s="61" t="n">
        <f aca="false">W54*AB54</f>
        <v>30</v>
      </c>
      <c r="AD54" s="121" t="n">
        <f aca="false">$D54*E54</f>
        <v>13635395.7430536</v>
      </c>
      <c r="AE54" s="121" t="n">
        <f aca="false">$D54*F54</f>
        <v>0</v>
      </c>
      <c r="AF54" s="121" t="n">
        <f aca="false">$D54*G54</f>
        <v>13635395.7430536</v>
      </c>
      <c r="AG54" s="121" t="n">
        <f aca="false">$D54*H54</f>
        <v>0</v>
      </c>
      <c r="AH54" s="121" t="n">
        <f aca="false">$D54*I54</f>
        <v>0</v>
      </c>
      <c r="AI54" s="121" t="n">
        <f aca="false">$D54*J54</f>
        <v>0</v>
      </c>
      <c r="AJ54" s="121" t="n">
        <f aca="false">$D54*K54</f>
        <v>0</v>
      </c>
      <c r="AK54" s="121" t="n">
        <f aca="false">$D54*L54</f>
        <v>0</v>
      </c>
      <c r="AL54" s="121" t="n">
        <f aca="false">$D54*M54</f>
        <v>0</v>
      </c>
      <c r="AM54" s="139"/>
      <c r="AO54" s="75" t="e">
        <f aca="false">EURO(N54,O54,Z54,Z54,R54,U54,0,0)</f>
        <v>#NAME?</v>
      </c>
      <c r="AP54" s="138" t="e">
        <f aca="false">AO54*C54</f>
        <v>#NAME?</v>
      </c>
      <c r="AQ54" s="60" t="e">
        <f aca="false">-EURO(N54,O54,Z54,Z54,R54,U54,0,1)</f>
        <v>#NAME?</v>
      </c>
    </row>
    <row r="55" customFormat="false" ht="12.75" hidden="false" customHeight="false" outlineLevel="0" collapsed="false">
      <c r="A55" s="127" t="n">
        <f aca="false">EDATE(A54,1)</f>
        <v>41548</v>
      </c>
      <c r="B55" s="128" t="n">
        <f aca="false">B54</f>
        <v>205479</v>
      </c>
      <c r="C55" s="116" t="n">
        <f aca="false">IF(AB55=0,0,IF(AND(AB55=1,$H$3=1),B55*W55,IF($H$3=2,B55,"N/A")))</f>
        <v>6369849</v>
      </c>
      <c r="D55" s="116" t="n">
        <f aca="false">C55*AA55</f>
        <v>2931165.14082584</v>
      </c>
      <c r="E55" s="129" t="n">
        <f aca="false">VLOOKUP($A55,[1]!CurveTable,MATCH($E$4,[1]!CurveType,0))</f>
        <v>4.81</v>
      </c>
      <c r="F55" s="130"/>
      <c r="G55" s="131" t="n">
        <f aca="false">E55</f>
        <v>4.81</v>
      </c>
      <c r="H55" s="129" t="n">
        <f aca="false">VLOOKUP($A55,[1]!CurveTable,MATCH($H$4,[1]!CurveType,0))</f>
        <v>0</v>
      </c>
      <c r="I55" s="131"/>
      <c r="J55" s="131" t="n">
        <f aca="false">H55</f>
        <v>0</v>
      </c>
      <c r="K55" s="129"/>
      <c r="L55" s="131"/>
      <c r="M55" s="131"/>
      <c r="N55" s="131" t="n">
        <f aca="false">G55+J55+M55+$N$7</f>
        <v>4.52</v>
      </c>
      <c r="O55" s="131" t="n">
        <f aca="false">O54</f>
        <v>3</v>
      </c>
      <c r="P55" s="131"/>
      <c r="Q55" s="129" t="n">
        <f aca="false">VLOOKUP($A55,[1]!CurveTable,MATCH($Q$4,[1]!CurveType,0))</f>
        <v>0.17</v>
      </c>
      <c r="R55" s="129" t="n">
        <f aca="false">Q55+Summary!C$25</f>
        <v>0.17</v>
      </c>
      <c r="S55" s="129"/>
      <c r="T55" s="132" t="n">
        <f aca="false">X55</f>
        <v>41548</v>
      </c>
      <c r="U55" s="133" t="n">
        <f aca="false">T55-$C$3</f>
        <v>4543</v>
      </c>
      <c r="W55" s="61" t="n">
        <f aca="false">A56-A55</f>
        <v>31</v>
      </c>
      <c r="X55" s="135" t="n">
        <f aca="false">CHOOSE(F$3,A56+24,A55)</f>
        <v>41548</v>
      </c>
      <c r="Y55" s="61" t="n">
        <f aca="false">X55-C$3</f>
        <v>4543</v>
      </c>
      <c r="Z55" s="136" t="n">
        <f aca="false">VLOOKUP($A55,[1]!CurveTable,MATCH($Z$4,[1]!CurveType,0))</f>
        <v>0.0633870489526611</v>
      </c>
      <c r="AA55" s="137" t="n">
        <f aca="false">1/(1+CHOOSE(F$3,(Z56+($K$3/10000))/2,(Z55+($K$3/10000))/2))^(2*Y55/365.25)</f>
        <v>0.460162421562244</v>
      </c>
      <c r="AB55" s="61" t="n">
        <f aca="false">IF(AND(mthbeg&lt;=A55,mthend&gt;=A55),1,0)</f>
        <v>1</v>
      </c>
      <c r="AC55" s="61" t="n">
        <f aca="false">W55*AB55</f>
        <v>31</v>
      </c>
      <c r="AD55" s="121" t="n">
        <f aca="false">$D55*E55</f>
        <v>14098904.3273723</v>
      </c>
      <c r="AE55" s="121" t="n">
        <f aca="false">$D55*F55</f>
        <v>0</v>
      </c>
      <c r="AF55" s="121" t="n">
        <f aca="false">$D55*G55</f>
        <v>14098904.3273723</v>
      </c>
      <c r="AG55" s="121" t="n">
        <f aca="false">$D55*H55</f>
        <v>0</v>
      </c>
      <c r="AH55" s="121" t="n">
        <f aca="false">$D55*I55</f>
        <v>0</v>
      </c>
      <c r="AI55" s="121" t="n">
        <f aca="false">$D55*J55</f>
        <v>0</v>
      </c>
      <c r="AJ55" s="121" t="n">
        <f aca="false">$D55*K55</f>
        <v>0</v>
      </c>
      <c r="AK55" s="121" t="n">
        <f aca="false">$D55*L55</f>
        <v>0</v>
      </c>
      <c r="AL55" s="121" t="n">
        <f aca="false">$D55*M55</f>
        <v>0</v>
      </c>
      <c r="AM55" s="139"/>
      <c r="AO55" s="75" t="e">
        <f aca="false">EURO(N55,O55,Z55,Z55,R55,U55,0,0)</f>
        <v>#NAME?</v>
      </c>
      <c r="AP55" s="138" t="e">
        <f aca="false">AO55*C55</f>
        <v>#NAME?</v>
      </c>
      <c r="AQ55" s="60" t="e">
        <f aca="false">-EURO(N55,O55,Z55,Z55,R55,U55,0,1)</f>
        <v>#NAME?</v>
      </c>
    </row>
    <row r="56" customFormat="false" ht="12.75" hidden="false" customHeight="false" outlineLevel="0" collapsed="false">
      <c r="A56" s="127" t="n">
        <f aca="false">EDATE(A55,1)</f>
        <v>41579</v>
      </c>
      <c r="B56" s="128" t="n">
        <f aca="false">B55</f>
        <v>205479</v>
      </c>
      <c r="C56" s="116" t="n">
        <f aca="false">IF(AB56=0,0,IF(AND(AB56=1,$H$3=1),B56*W56,IF($H$3=2,B56,"N/A")))</f>
        <v>6164370</v>
      </c>
      <c r="D56" s="116" t="n">
        <f aca="false">C56*AA56</f>
        <v>2820171.55284296</v>
      </c>
      <c r="E56" s="129" t="n">
        <f aca="false">VLOOKUP($A56,[1]!CurveTable,MATCH($E$4,[1]!CurveType,0))</f>
        <v>4.92</v>
      </c>
      <c r="F56" s="130"/>
      <c r="G56" s="131" t="n">
        <f aca="false">E56</f>
        <v>4.92</v>
      </c>
      <c r="H56" s="129" t="n">
        <f aca="false">VLOOKUP($A56,[1]!CurveTable,MATCH($H$4,[1]!CurveType,0))</f>
        <v>0</v>
      </c>
      <c r="I56" s="131"/>
      <c r="J56" s="131" t="n">
        <f aca="false">H56</f>
        <v>0</v>
      </c>
      <c r="K56" s="129"/>
      <c r="L56" s="131"/>
      <c r="M56" s="131"/>
      <c r="N56" s="131" t="n">
        <f aca="false">G56+J56+M56+$N$7</f>
        <v>4.63</v>
      </c>
      <c r="O56" s="131" t="n">
        <f aca="false">O55</f>
        <v>3</v>
      </c>
      <c r="P56" s="131"/>
      <c r="Q56" s="129" t="n">
        <f aca="false">VLOOKUP($A56,[1]!CurveTable,MATCH($Q$4,[1]!CurveType,0))</f>
        <v>0.17</v>
      </c>
      <c r="R56" s="129" t="n">
        <f aca="false">Q56+Summary!C$25</f>
        <v>0.17</v>
      </c>
      <c r="S56" s="129"/>
      <c r="T56" s="132" t="n">
        <f aca="false">X56</f>
        <v>41579</v>
      </c>
      <c r="U56" s="133" t="n">
        <f aca="false">T56-$C$3</f>
        <v>4574</v>
      </c>
      <c r="W56" s="61" t="n">
        <f aca="false">A57-A56</f>
        <v>30</v>
      </c>
      <c r="X56" s="135" t="n">
        <f aca="false">CHOOSE(F$3,A57+24,A56)</f>
        <v>41579</v>
      </c>
      <c r="Y56" s="61" t="n">
        <f aca="false">X56-C$3</f>
        <v>4574</v>
      </c>
      <c r="Z56" s="136" t="n">
        <f aca="false">VLOOKUP($A56,[1]!CurveTable,MATCH($Z$4,[1]!CurveType,0))</f>
        <v>0.063429566637689</v>
      </c>
      <c r="AA56" s="137" t="n">
        <f aca="false">1/(1+CHOOSE(F$3,(Z57+($K$3/10000))/2,(Z56+($K$3/10000))/2))^(2*Y56/365.25)</f>
        <v>0.457495502840187</v>
      </c>
      <c r="AB56" s="61" t="n">
        <f aca="false">IF(AND(mthbeg&lt;=A56,mthend&gt;=A56),1,0)</f>
        <v>1</v>
      </c>
      <c r="AC56" s="61" t="n">
        <f aca="false">W56*AB56</f>
        <v>30</v>
      </c>
      <c r="AD56" s="121" t="n">
        <f aca="false">$D56*E56</f>
        <v>13875244.0399874</v>
      </c>
      <c r="AE56" s="121" t="n">
        <f aca="false">$D56*F56</f>
        <v>0</v>
      </c>
      <c r="AF56" s="121" t="n">
        <f aca="false">$D56*G56</f>
        <v>13875244.0399874</v>
      </c>
      <c r="AG56" s="121" t="n">
        <f aca="false">$D56*H56</f>
        <v>0</v>
      </c>
      <c r="AH56" s="121" t="n">
        <f aca="false">$D56*I56</f>
        <v>0</v>
      </c>
      <c r="AI56" s="121" t="n">
        <f aca="false">$D56*J56</f>
        <v>0</v>
      </c>
      <c r="AJ56" s="121" t="n">
        <f aca="false">$D56*K56</f>
        <v>0</v>
      </c>
      <c r="AK56" s="121" t="n">
        <f aca="false">$D56*L56</f>
        <v>0</v>
      </c>
      <c r="AL56" s="121" t="n">
        <f aca="false">$D56*M56</f>
        <v>0</v>
      </c>
      <c r="AM56" s="139"/>
      <c r="AO56" s="75" t="e">
        <f aca="false">EURO(N56,O56,Z56,Z56,R56,U56,0,0)</f>
        <v>#NAME?</v>
      </c>
      <c r="AP56" s="138" t="e">
        <f aca="false">AO56*C56</f>
        <v>#NAME?</v>
      </c>
      <c r="AQ56" s="60" t="e">
        <f aca="false">-EURO(N56,O56,Z56,Z56,R56,U56,0,1)</f>
        <v>#NAME?</v>
      </c>
    </row>
    <row r="57" customFormat="false" ht="12.75" hidden="false" customHeight="false" outlineLevel="0" collapsed="false">
      <c r="A57" s="127" t="n">
        <f aca="false">EDATE(A56,1)</f>
        <v>41609</v>
      </c>
      <c r="B57" s="128" t="n">
        <f aca="false">B56</f>
        <v>205479</v>
      </c>
      <c r="C57" s="116" t="n">
        <f aca="false">IF(AB57=0,0,IF(AND(AB57=1,$H$3=1),B57*W57,IF($H$3=2,B57,"N/A")))</f>
        <v>6369849</v>
      </c>
      <c r="D57" s="116" t="n">
        <f aca="false">C57*AA57</f>
        <v>2897811.87385485</v>
      </c>
      <c r="E57" s="129" t="n">
        <f aca="false">VLOOKUP($A57,[1]!CurveTable,MATCH($E$4,[1]!CurveType,0))</f>
        <v>5.04</v>
      </c>
      <c r="F57" s="130"/>
      <c r="G57" s="131" t="n">
        <f aca="false">E57</f>
        <v>5.04</v>
      </c>
      <c r="H57" s="129" t="n">
        <f aca="false">VLOOKUP($A57,[1]!CurveTable,MATCH($H$4,[1]!CurveType,0))</f>
        <v>0</v>
      </c>
      <c r="I57" s="131"/>
      <c r="J57" s="131" t="n">
        <f aca="false">H57</f>
        <v>0</v>
      </c>
      <c r="K57" s="129"/>
      <c r="L57" s="131"/>
      <c r="M57" s="131"/>
      <c r="N57" s="131" t="n">
        <f aca="false">G57+J57+M57+$N$7</f>
        <v>4.75</v>
      </c>
      <c r="O57" s="131" t="n">
        <f aca="false">O56</f>
        <v>3</v>
      </c>
      <c r="P57" s="131"/>
      <c r="Q57" s="129" t="n">
        <f aca="false">VLOOKUP($A57,[1]!CurveTable,MATCH($Q$4,[1]!CurveType,0))</f>
        <v>0.17</v>
      </c>
      <c r="R57" s="129" t="n">
        <f aca="false">Q57+Summary!C$25</f>
        <v>0.17</v>
      </c>
      <c r="S57" s="129"/>
      <c r="T57" s="132" t="n">
        <f aca="false">X57</f>
        <v>41609</v>
      </c>
      <c r="U57" s="133" t="n">
        <f aca="false">T57-$C$3</f>
        <v>4604</v>
      </c>
      <c r="W57" s="61" t="n">
        <f aca="false">A58-A57</f>
        <v>31</v>
      </c>
      <c r="X57" s="135" t="n">
        <f aca="false">CHOOSE(F$3,A58+24,A57)</f>
        <v>41609</v>
      </c>
      <c r="Y57" s="61" t="n">
        <f aca="false">X57-C$3</f>
        <v>4604</v>
      </c>
      <c r="Z57" s="136" t="n">
        <f aca="false">VLOOKUP($A57,[1]!CurveTable,MATCH($Z$4,[1]!CurveType,0))</f>
        <v>0.0634707127850613</v>
      </c>
      <c r="AA57" s="137" t="n">
        <f aca="false">1/(1+CHOOSE(F$3,(Z58+($K$3/10000))/2,(Z57+($K$3/10000))/2))^(2*Y57/365.25)</f>
        <v>0.454926305765623</v>
      </c>
      <c r="AB57" s="61" t="n">
        <f aca="false">IF(AND(mthbeg&lt;=A57,mthend&gt;=A57),1,0)</f>
        <v>1</v>
      </c>
      <c r="AC57" s="61" t="n">
        <f aca="false">W57*AB57</f>
        <v>31</v>
      </c>
      <c r="AD57" s="121" t="n">
        <f aca="false">$D57*E57</f>
        <v>14604971.8442284</v>
      </c>
      <c r="AE57" s="121" t="n">
        <f aca="false">$D57*F57</f>
        <v>0</v>
      </c>
      <c r="AF57" s="121" t="n">
        <f aca="false">$D57*G57</f>
        <v>14604971.8442284</v>
      </c>
      <c r="AG57" s="121" t="n">
        <f aca="false">$D57*H57</f>
        <v>0</v>
      </c>
      <c r="AH57" s="121" t="n">
        <f aca="false">$D57*I57</f>
        <v>0</v>
      </c>
      <c r="AI57" s="121" t="n">
        <f aca="false">$D57*J57</f>
        <v>0</v>
      </c>
      <c r="AJ57" s="121" t="n">
        <f aca="false">$D57*K57</f>
        <v>0</v>
      </c>
      <c r="AK57" s="121" t="n">
        <f aca="false">$D57*L57</f>
        <v>0</v>
      </c>
      <c r="AL57" s="121" t="n">
        <f aca="false">$D57*M57</f>
        <v>0</v>
      </c>
      <c r="AM57" s="139"/>
      <c r="AO57" s="75" t="e">
        <f aca="false">EURO(N57,O57,Z57,Z57,R57,U57,0,0)</f>
        <v>#NAME?</v>
      </c>
      <c r="AP57" s="138" t="e">
        <f aca="false">AO57*C57</f>
        <v>#NAME?</v>
      </c>
      <c r="AQ57" s="60" t="e">
        <f aca="false">-EURO(N57,O57,Z57,Z57,R57,U57,0,1)</f>
        <v>#NAME?</v>
      </c>
    </row>
    <row r="58" customFormat="false" ht="12.75" hidden="false" customHeight="false" outlineLevel="0" collapsed="false">
      <c r="A58" s="127" t="n">
        <f aca="false">EDATE(A57,1)</f>
        <v>41640</v>
      </c>
      <c r="B58" s="128" t="n">
        <f aca="false">B57</f>
        <v>205479</v>
      </c>
      <c r="C58" s="116" t="n">
        <f aca="false">IF(AB58=0,0,IF(AND(AB58=1,$H$3=1),B58*W58,IF($H$3=2,B58,"N/A")))</f>
        <v>6369849</v>
      </c>
      <c r="D58" s="116" t="n">
        <f aca="false">C58*AA58</f>
        <v>2880977.71019325</v>
      </c>
      <c r="E58" s="129" t="n">
        <f aca="false">VLOOKUP($A58,[1]!CurveTable,MATCH($E$4,[1]!CurveType,0))</f>
        <v>5.115</v>
      </c>
      <c r="F58" s="130"/>
      <c r="G58" s="131" t="n">
        <f aca="false">E58</f>
        <v>5.115</v>
      </c>
      <c r="H58" s="129" t="n">
        <f aca="false">VLOOKUP($A58,[1]!CurveTable,MATCH($H$4,[1]!CurveType,0))</f>
        <v>0</v>
      </c>
      <c r="I58" s="131"/>
      <c r="J58" s="131" t="n">
        <f aca="false">H58</f>
        <v>0</v>
      </c>
      <c r="K58" s="129"/>
      <c r="L58" s="131"/>
      <c r="M58" s="131"/>
      <c r="N58" s="131" t="n">
        <f aca="false">G58+J58+M58+$N$7</f>
        <v>4.825</v>
      </c>
      <c r="O58" s="131" t="n">
        <f aca="false">O57</f>
        <v>3</v>
      </c>
      <c r="P58" s="131"/>
      <c r="Q58" s="129" t="n">
        <f aca="false">VLOOKUP($A58,[1]!CurveTable,MATCH($Q$4,[1]!CurveType,0))</f>
        <v>0.17</v>
      </c>
      <c r="R58" s="129" t="n">
        <f aca="false">Q58+Summary!C$25</f>
        <v>0.17</v>
      </c>
      <c r="S58" s="129"/>
      <c r="T58" s="132" t="n">
        <f aca="false">X58</f>
        <v>41640</v>
      </c>
      <c r="U58" s="133" t="n">
        <f aca="false">T58-$C$3</f>
        <v>4635</v>
      </c>
      <c r="W58" s="61" t="n">
        <f aca="false">A59-A58</f>
        <v>31</v>
      </c>
      <c r="X58" s="135" t="n">
        <f aca="false">CHOOSE(F$3,A59+24,A58)</f>
        <v>41640</v>
      </c>
      <c r="Y58" s="61" t="n">
        <f aca="false">X58-C$3</f>
        <v>4635</v>
      </c>
      <c r="Z58" s="136" t="n">
        <f aca="false">VLOOKUP($A58,[1]!CurveTable,MATCH($Z$4,[1]!CurveType,0))</f>
        <v>0.0635132304712691</v>
      </c>
      <c r="AA58" s="137" t="n">
        <f aca="false">1/(1+CHOOSE(F$3,(Z59+($K$3/10000))/2,(Z58+($K$3/10000))/2))^(2*Y58/365.25)</f>
        <v>0.452283517269129</v>
      </c>
      <c r="AB58" s="61" t="n">
        <f aca="false">IF(AND(mthbeg&lt;=A58,mthend&gt;=A58),1,0)</f>
        <v>1</v>
      </c>
      <c r="AC58" s="61" t="n">
        <f aca="false">W58*AB58</f>
        <v>31</v>
      </c>
      <c r="AD58" s="121" t="n">
        <f aca="false">$D58*E58</f>
        <v>14736200.9876385</v>
      </c>
      <c r="AE58" s="121" t="n">
        <f aca="false">$D58*F58</f>
        <v>0</v>
      </c>
      <c r="AF58" s="121" t="n">
        <f aca="false">$D58*G58</f>
        <v>14736200.9876385</v>
      </c>
      <c r="AG58" s="121" t="n">
        <f aca="false">$D58*H58</f>
        <v>0</v>
      </c>
      <c r="AH58" s="121" t="n">
        <f aca="false">$D58*I58</f>
        <v>0</v>
      </c>
      <c r="AI58" s="121" t="n">
        <f aca="false">$D58*J58</f>
        <v>0</v>
      </c>
      <c r="AJ58" s="121" t="n">
        <f aca="false">$D58*K58</f>
        <v>0</v>
      </c>
      <c r="AK58" s="121" t="n">
        <f aca="false">$D58*L58</f>
        <v>0</v>
      </c>
      <c r="AL58" s="121" t="n">
        <f aca="false">$D58*M58</f>
        <v>0</v>
      </c>
      <c r="AM58" s="139"/>
      <c r="AO58" s="75" t="e">
        <f aca="false">EURO(N58,O58,Z58,Z58,R58,U58,0,0)</f>
        <v>#NAME?</v>
      </c>
      <c r="AP58" s="138" t="e">
        <f aca="false">AO58*C58</f>
        <v>#NAME?</v>
      </c>
      <c r="AQ58" s="60" t="e">
        <f aca="false">-EURO(N58,O58,Z58,Z58,R58,U58,0,1)</f>
        <v>#NAME?</v>
      </c>
    </row>
    <row r="59" customFormat="false" ht="12.75" hidden="false" customHeight="false" outlineLevel="0" collapsed="false">
      <c r="A59" s="127" t="n">
        <f aca="false">EDATE(A58,1)</f>
        <v>41671</v>
      </c>
      <c r="B59" s="128" t="n">
        <f aca="false">B58</f>
        <v>205479</v>
      </c>
      <c r="C59" s="116" t="n">
        <f aca="false">IF(AB59=0,0,IF(AND(AB59=1,$H$3=1),B59*W59,IF($H$3=2,B59,"N/A")))</f>
        <v>5753412</v>
      </c>
      <c r="D59" s="116" t="n">
        <f aca="false">C59*AA59</f>
        <v>2587038.62601776</v>
      </c>
      <c r="E59" s="129" t="n">
        <f aca="false">VLOOKUP($A59,[1]!CurveTable,MATCH($E$4,[1]!CurveType,0))</f>
        <v>4.995</v>
      </c>
      <c r="F59" s="130"/>
      <c r="G59" s="131" t="n">
        <f aca="false">E59</f>
        <v>4.995</v>
      </c>
      <c r="H59" s="129" t="n">
        <f aca="false">VLOOKUP($A59,[1]!CurveTable,MATCH($H$4,[1]!CurveType,0))</f>
        <v>0</v>
      </c>
      <c r="I59" s="131"/>
      <c r="J59" s="131" t="n">
        <f aca="false">H59</f>
        <v>0</v>
      </c>
      <c r="K59" s="129"/>
      <c r="L59" s="131"/>
      <c r="M59" s="131"/>
      <c r="N59" s="131" t="n">
        <f aca="false">G59+J59+M59+$N$7</f>
        <v>4.705</v>
      </c>
      <c r="O59" s="131" t="n">
        <f aca="false">O58</f>
        <v>3</v>
      </c>
      <c r="P59" s="131"/>
      <c r="Q59" s="129" t="n">
        <f aca="false">VLOOKUP($A59,[1]!CurveTable,MATCH($Q$4,[1]!CurveType,0))</f>
        <v>0.17</v>
      </c>
      <c r="R59" s="129" t="n">
        <f aca="false">Q59+Summary!C$25</f>
        <v>0.17</v>
      </c>
      <c r="S59" s="129"/>
      <c r="T59" s="132" t="n">
        <f aca="false">X59</f>
        <v>41671</v>
      </c>
      <c r="U59" s="133" t="n">
        <f aca="false">T59-$C$3</f>
        <v>4666</v>
      </c>
      <c r="W59" s="61" t="n">
        <f aca="false">A60-A59</f>
        <v>28</v>
      </c>
      <c r="X59" s="135" t="n">
        <f aca="false">CHOOSE(F$3,A60+24,A59)</f>
        <v>41671</v>
      </c>
      <c r="Y59" s="61" t="n">
        <f aca="false">X59-C$3</f>
        <v>4666</v>
      </c>
      <c r="Z59" s="136" t="n">
        <f aca="false">VLOOKUP($A59,[1]!CurveTable,MATCH($Z$4,[1]!CurveType,0))</f>
        <v>0.0635557481580768</v>
      </c>
      <c r="AA59" s="137" t="n">
        <f aca="false">1/(1+CHOOSE(F$3,(Z60+($K$3/10000))/2,(Z59+($K$3/10000))/2))^(2*Y59/365.25)</f>
        <v>0.449652940901462</v>
      </c>
      <c r="AB59" s="61" t="n">
        <f aca="false">IF(AND(mthbeg&lt;=A59,mthend&gt;=A59),1,0)</f>
        <v>1</v>
      </c>
      <c r="AC59" s="61" t="n">
        <f aca="false">W59*AB59</f>
        <v>28</v>
      </c>
      <c r="AD59" s="121" t="n">
        <f aca="false">$D59*E59</f>
        <v>12922257.9369587</v>
      </c>
      <c r="AE59" s="121" t="n">
        <f aca="false">$D59*F59</f>
        <v>0</v>
      </c>
      <c r="AF59" s="121" t="n">
        <f aca="false">$D59*G59</f>
        <v>12922257.9369587</v>
      </c>
      <c r="AG59" s="121" t="n">
        <f aca="false">$D59*H59</f>
        <v>0</v>
      </c>
      <c r="AH59" s="121" t="n">
        <f aca="false">$D59*I59</f>
        <v>0</v>
      </c>
      <c r="AI59" s="121" t="n">
        <f aca="false">$D59*J59</f>
        <v>0</v>
      </c>
      <c r="AJ59" s="121" t="n">
        <f aca="false">$D59*K59</f>
        <v>0</v>
      </c>
      <c r="AK59" s="121" t="n">
        <f aca="false">$D59*L59</f>
        <v>0</v>
      </c>
      <c r="AL59" s="121" t="n">
        <f aca="false">$D59*M59</f>
        <v>0</v>
      </c>
      <c r="AM59" s="139"/>
      <c r="AO59" s="75" t="e">
        <f aca="false">EURO(N59,O59,Z59,Z59,R59,U59,0,0)</f>
        <v>#NAME?</v>
      </c>
      <c r="AP59" s="138" t="e">
        <f aca="false">AO59*C59</f>
        <v>#NAME?</v>
      </c>
      <c r="AQ59" s="60" t="e">
        <f aca="false">-EURO(N59,O59,Z59,Z59,R59,U59,0,1)</f>
        <v>#NAME?</v>
      </c>
    </row>
    <row r="60" customFormat="false" ht="12.75" hidden="false" customHeight="false" outlineLevel="0" collapsed="false">
      <c r="A60" s="127" t="n">
        <f aca="false">EDATE(A59,1)</f>
        <v>41699</v>
      </c>
      <c r="B60" s="128" t="n">
        <f aca="false">B59</f>
        <v>205479</v>
      </c>
      <c r="C60" s="116" t="n">
        <f aca="false">IF(AB60=0,0,IF(AND(AB60=1,$H$3=1),B60*W60,IF($H$3=2,B60,"N/A")))</f>
        <v>6369849</v>
      </c>
      <c r="D60" s="116" t="n">
        <f aca="false">C60*AA60</f>
        <v>2849153.22627799</v>
      </c>
      <c r="E60" s="129" t="n">
        <f aca="false">VLOOKUP($A60,[1]!CurveTable,MATCH($E$4,[1]!CurveType,0))</f>
        <v>4.856</v>
      </c>
      <c r="F60" s="130"/>
      <c r="G60" s="131" t="n">
        <f aca="false">E60</f>
        <v>4.856</v>
      </c>
      <c r="H60" s="129" t="n">
        <f aca="false">VLOOKUP($A60,[1]!CurveTable,MATCH($H$4,[1]!CurveType,0))</f>
        <v>0</v>
      </c>
      <c r="I60" s="131"/>
      <c r="J60" s="131" t="n">
        <f aca="false">H60</f>
        <v>0</v>
      </c>
      <c r="K60" s="129"/>
      <c r="L60" s="131"/>
      <c r="M60" s="131"/>
      <c r="N60" s="131" t="n">
        <f aca="false">G60+J60+M60+$N$7</f>
        <v>4.566</v>
      </c>
      <c r="O60" s="131" t="n">
        <f aca="false">O59</f>
        <v>3</v>
      </c>
      <c r="P60" s="131"/>
      <c r="Q60" s="129" t="n">
        <f aca="false">VLOOKUP($A60,[1]!CurveTable,MATCH($Q$4,[1]!CurveType,0))</f>
        <v>0.17</v>
      </c>
      <c r="R60" s="129" t="n">
        <f aca="false">Q60+Summary!C$25</f>
        <v>0.17</v>
      </c>
      <c r="S60" s="129"/>
      <c r="T60" s="132" t="n">
        <f aca="false">X60</f>
        <v>41699</v>
      </c>
      <c r="U60" s="133" t="n">
        <f aca="false">T60-$C$3</f>
        <v>4694</v>
      </c>
      <c r="W60" s="61" t="n">
        <f aca="false">A61-A60</f>
        <v>31</v>
      </c>
      <c r="X60" s="135" t="n">
        <f aca="false">CHOOSE(F$3,A61+24,A60)</f>
        <v>41699</v>
      </c>
      <c r="Y60" s="61" t="n">
        <f aca="false">X60-C$3</f>
        <v>4694</v>
      </c>
      <c r="Z60" s="136" t="n">
        <f aca="false">VLOOKUP($A60,[1]!CurveTable,MATCH($Z$4,[1]!CurveType,0))</f>
        <v>0.0635941512305474</v>
      </c>
      <c r="AA60" s="137" t="n">
        <f aca="false">1/(1+CHOOSE(F$3,(Z61+($K$3/10000))/2,(Z60+($K$3/10000))/2))^(2*Y60/365.25)</f>
        <v>0.447287404501737</v>
      </c>
      <c r="AB60" s="61" t="n">
        <f aca="false">IF(AND(mthbeg&lt;=A60,mthend&gt;=A60),1,0)</f>
        <v>1</v>
      </c>
      <c r="AC60" s="61" t="n">
        <f aca="false">W60*AB60</f>
        <v>31</v>
      </c>
      <c r="AD60" s="121" t="n">
        <f aca="false">$D60*E60</f>
        <v>13835488.0668059</v>
      </c>
      <c r="AE60" s="121" t="n">
        <f aca="false">$D60*F60</f>
        <v>0</v>
      </c>
      <c r="AF60" s="121" t="n">
        <f aca="false">$D60*G60</f>
        <v>13835488.0668059</v>
      </c>
      <c r="AG60" s="121" t="n">
        <f aca="false">$D60*H60</f>
        <v>0</v>
      </c>
      <c r="AH60" s="121" t="n">
        <f aca="false">$D60*I60</f>
        <v>0</v>
      </c>
      <c r="AI60" s="121" t="n">
        <f aca="false">$D60*J60</f>
        <v>0</v>
      </c>
      <c r="AJ60" s="121" t="n">
        <f aca="false">$D60*K60</f>
        <v>0</v>
      </c>
      <c r="AK60" s="121" t="n">
        <f aca="false">$D60*L60</f>
        <v>0</v>
      </c>
      <c r="AL60" s="121" t="n">
        <f aca="false">$D60*M60</f>
        <v>0</v>
      </c>
      <c r="AM60" s="139"/>
      <c r="AO60" s="75" t="e">
        <f aca="false">EURO(N60,O60,Z60,Z60,R60,U60,0,0)</f>
        <v>#NAME?</v>
      </c>
      <c r="AP60" s="138" t="e">
        <f aca="false">AO60*C60</f>
        <v>#NAME?</v>
      </c>
      <c r="AQ60" s="60" t="e">
        <f aca="false">-EURO(N60,O60,Z60,Z60,R60,U60,0,1)</f>
        <v>#NAME?</v>
      </c>
    </row>
    <row r="61" customFormat="false" ht="12.75" hidden="false" customHeight="false" outlineLevel="0" collapsed="false">
      <c r="A61" s="127" t="n">
        <f aca="false">EDATE(A60,1)</f>
        <v>41730</v>
      </c>
      <c r="B61" s="128" t="n">
        <f aca="false">B60</f>
        <v>205479</v>
      </c>
      <c r="C61" s="116" t="n">
        <f aca="false">IF(AB61=0,0,IF(AND(AB61=1,$H$3=1),B61*W61,IF($H$3=2,B61,"N/A")))</f>
        <v>6164370</v>
      </c>
      <c r="D61" s="116" t="n">
        <f aca="false">C61*AA61</f>
        <v>2741171.90231165</v>
      </c>
      <c r="E61" s="129" t="n">
        <f aca="false">VLOOKUP($A61,[1]!CurveTable,MATCH($E$4,[1]!CurveType,0))</f>
        <v>4.686</v>
      </c>
      <c r="F61" s="130"/>
      <c r="G61" s="131" t="n">
        <f aca="false">E61</f>
        <v>4.686</v>
      </c>
      <c r="H61" s="129" t="n">
        <f aca="false">VLOOKUP($A61,[1]!CurveTable,MATCH($H$4,[1]!CurveType,0))</f>
        <v>0</v>
      </c>
      <c r="I61" s="131"/>
      <c r="J61" s="131" t="n">
        <f aca="false">H61</f>
        <v>0</v>
      </c>
      <c r="K61" s="129"/>
      <c r="L61" s="131"/>
      <c r="M61" s="131"/>
      <c r="N61" s="131" t="n">
        <f aca="false">G61+J61+M61+$N$7</f>
        <v>4.396</v>
      </c>
      <c r="O61" s="131" t="n">
        <f aca="false">O60</f>
        <v>3</v>
      </c>
      <c r="P61" s="131"/>
      <c r="Q61" s="129" t="n">
        <f aca="false">VLOOKUP($A61,[1]!CurveTable,MATCH($Q$4,[1]!CurveType,0))</f>
        <v>0.17</v>
      </c>
      <c r="R61" s="129" t="n">
        <f aca="false">Q61+Summary!C$25</f>
        <v>0.17</v>
      </c>
      <c r="S61" s="129"/>
      <c r="T61" s="132" t="n">
        <f aca="false">X61</f>
        <v>41730</v>
      </c>
      <c r="U61" s="133" t="n">
        <f aca="false">T61-$C$3</f>
        <v>4725</v>
      </c>
      <c r="W61" s="61" t="n">
        <f aca="false">A62-A61</f>
        <v>30</v>
      </c>
      <c r="X61" s="135" t="n">
        <f aca="false">CHOOSE(F$3,A62+24,A61)</f>
        <v>41730</v>
      </c>
      <c r="Y61" s="61" t="n">
        <f aca="false">X61-C$3</f>
        <v>4725</v>
      </c>
      <c r="Z61" s="136" t="n">
        <f aca="false">VLOOKUP($A61,[1]!CurveTable,MATCH($Z$4,[1]!CurveType,0))</f>
        <v>0.0636366689184955</v>
      </c>
      <c r="AA61" s="137" t="n">
        <f aca="false">1/(1+CHOOSE(F$3,(Z62+($K$3/10000))/2,(Z61+($K$3/10000))/2))^(2*Y61/365.25)</f>
        <v>0.444679975782059</v>
      </c>
      <c r="AB61" s="61" t="n">
        <f aca="false">IF(AND(mthbeg&lt;=A61,mthend&gt;=A61),1,0)</f>
        <v>1</v>
      </c>
      <c r="AC61" s="61" t="n">
        <f aca="false">W61*AB61</f>
        <v>30</v>
      </c>
      <c r="AD61" s="121" t="n">
        <f aca="false">$D61*E61</f>
        <v>12845131.5342324</v>
      </c>
      <c r="AE61" s="121" t="n">
        <f aca="false">$D61*F61</f>
        <v>0</v>
      </c>
      <c r="AF61" s="121" t="n">
        <f aca="false">$D61*G61</f>
        <v>12845131.5342324</v>
      </c>
      <c r="AG61" s="121" t="n">
        <f aca="false">$D61*H61</f>
        <v>0</v>
      </c>
      <c r="AH61" s="121" t="n">
        <f aca="false">$D61*I61</f>
        <v>0</v>
      </c>
      <c r="AI61" s="121" t="n">
        <f aca="false">$D61*J61</f>
        <v>0</v>
      </c>
      <c r="AJ61" s="121" t="n">
        <f aca="false">$D61*K61</f>
        <v>0</v>
      </c>
      <c r="AK61" s="121" t="n">
        <f aca="false">$D61*L61</f>
        <v>0</v>
      </c>
      <c r="AL61" s="121" t="n">
        <f aca="false">$D61*M61</f>
        <v>0</v>
      </c>
      <c r="AM61" s="139"/>
      <c r="AO61" s="75" t="e">
        <f aca="false">EURO(N61,O61,Z61,Z61,R61,U61,0,0)</f>
        <v>#NAME?</v>
      </c>
      <c r="AP61" s="138" t="e">
        <f aca="false">AO61*C61</f>
        <v>#NAME?</v>
      </c>
      <c r="AQ61" s="60" t="e">
        <f aca="false">-EURO(N61,O61,Z61,Z61,R61,U61,0,1)</f>
        <v>#NAME?</v>
      </c>
    </row>
    <row r="62" customFormat="false" ht="12.75" hidden="false" customHeight="false" outlineLevel="0" collapsed="false">
      <c r="A62" s="127" t="n">
        <f aca="false">EDATE(A61,1)</f>
        <v>41760</v>
      </c>
      <c r="B62" s="128" t="n">
        <f aca="false">B61</f>
        <v>205479</v>
      </c>
      <c r="C62" s="116" t="n">
        <f aca="false">IF(AB62=0,0,IF(AND(AB62=1,$H$3=1),B62*W62,IF($H$3=2,B62,"N/A")))</f>
        <v>6369849</v>
      </c>
      <c r="D62" s="116" t="n">
        <f aca="false">C62*AA62</f>
        <v>2816544.60703662</v>
      </c>
      <c r="E62" s="129" t="n">
        <f aca="false">VLOOKUP($A62,[1]!CurveTable,MATCH($E$4,[1]!CurveType,0))</f>
        <v>4.745</v>
      </c>
      <c r="F62" s="130"/>
      <c r="G62" s="131" t="n">
        <f aca="false">E62</f>
        <v>4.745</v>
      </c>
      <c r="H62" s="129" t="n">
        <f aca="false">VLOOKUP($A62,[1]!CurveTable,MATCH($H$4,[1]!CurveType,0))</f>
        <v>0</v>
      </c>
      <c r="I62" s="131"/>
      <c r="J62" s="131" t="n">
        <f aca="false">H62</f>
        <v>0</v>
      </c>
      <c r="K62" s="129"/>
      <c r="L62" s="131"/>
      <c r="M62" s="131"/>
      <c r="N62" s="131" t="n">
        <f aca="false">G62+J62+M62+$N$7</f>
        <v>4.455</v>
      </c>
      <c r="O62" s="131" t="n">
        <f aca="false">O61</f>
        <v>3</v>
      </c>
      <c r="P62" s="131"/>
      <c r="Q62" s="129" t="n">
        <f aca="false">VLOOKUP($A62,[1]!CurveTable,MATCH($Q$4,[1]!CurveType,0))</f>
        <v>0.17</v>
      </c>
      <c r="R62" s="129" t="n">
        <f aca="false">Q62+Summary!C$25</f>
        <v>0.17</v>
      </c>
      <c r="S62" s="129"/>
      <c r="T62" s="132" t="n">
        <f aca="false">X62</f>
        <v>41760</v>
      </c>
      <c r="U62" s="133" t="n">
        <f aca="false">T62-$C$3</f>
        <v>4755</v>
      </c>
      <c r="W62" s="61" t="n">
        <f aca="false">A63-A62</f>
        <v>31</v>
      </c>
      <c r="X62" s="135" t="n">
        <f aca="false">CHOOSE(F$3,A63+24,A62)</f>
        <v>41760</v>
      </c>
      <c r="Y62" s="61" t="n">
        <f aca="false">X62-C$3</f>
        <v>4755</v>
      </c>
      <c r="Z62" s="136" t="n">
        <f aca="false">VLOOKUP($A62,[1]!CurveTable,MATCH($Z$4,[1]!CurveType,0))</f>
        <v>0.0636778150686945</v>
      </c>
      <c r="AA62" s="137" t="n">
        <f aca="false">1/(1+CHOOSE(F$3,(Z63+($K$3/10000))/2,(Z62+($K$3/10000))/2))^(2*Y62/365.25)</f>
        <v>0.442168190648887</v>
      </c>
      <c r="AB62" s="61" t="n">
        <f aca="false">IF(AND(mthbeg&lt;=A62,mthend&gt;=A62),1,0)</f>
        <v>1</v>
      </c>
      <c r="AC62" s="61" t="n">
        <f aca="false">W62*AB62</f>
        <v>31</v>
      </c>
      <c r="AD62" s="121" t="n">
        <f aca="false">$D62*E62</f>
        <v>13364504.1603888</v>
      </c>
      <c r="AE62" s="121" t="n">
        <f aca="false">$D62*F62</f>
        <v>0</v>
      </c>
      <c r="AF62" s="121" t="n">
        <f aca="false">$D62*G62</f>
        <v>13364504.1603888</v>
      </c>
      <c r="AG62" s="121" t="n">
        <f aca="false">$D62*H62</f>
        <v>0</v>
      </c>
      <c r="AH62" s="121" t="n">
        <f aca="false">$D62*I62</f>
        <v>0</v>
      </c>
      <c r="AI62" s="121" t="n">
        <f aca="false">$D62*J62</f>
        <v>0</v>
      </c>
      <c r="AJ62" s="121" t="n">
        <f aca="false">$D62*K62</f>
        <v>0</v>
      </c>
      <c r="AK62" s="121" t="n">
        <f aca="false">$D62*L62</f>
        <v>0</v>
      </c>
      <c r="AL62" s="121" t="n">
        <f aca="false">$D62*M62</f>
        <v>0</v>
      </c>
      <c r="AM62" s="139"/>
      <c r="AO62" s="75" t="e">
        <f aca="false">EURO(N62,O62,Z62,Z62,R62,U62,0,0)</f>
        <v>#NAME?</v>
      </c>
      <c r="AP62" s="138" t="e">
        <f aca="false">AO62*C62</f>
        <v>#NAME?</v>
      </c>
      <c r="AQ62" s="60" t="e">
        <f aca="false">-EURO(N62,O62,Z62,Z62,R62,U62,0,1)</f>
        <v>#NAME?</v>
      </c>
    </row>
    <row r="63" customFormat="false" ht="12.75" hidden="false" customHeight="false" outlineLevel="0" collapsed="false">
      <c r="A63" s="127" t="n">
        <f aca="false">EDATE(A62,1)</f>
        <v>41791</v>
      </c>
      <c r="B63" s="128" t="n">
        <f aca="false">B62</f>
        <v>205479</v>
      </c>
      <c r="C63" s="116" t="n">
        <f aca="false">IF(AB63=0,0,IF(AND(AB63=1,$H$3=1),B63*W63,IF($H$3=2,B63,"N/A")))</f>
        <v>6164370</v>
      </c>
      <c r="D63" s="116" t="n">
        <f aca="false">C63*AA63</f>
        <v>2709761.89402103</v>
      </c>
      <c r="E63" s="129" t="n">
        <f aca="false">VLOOKUP($A63,[1]!CurveTable,MATCH($E$4,[1]!CurveType,0))</f>
        <v>4.785</v>
      </c>
      <c r="F63" s="130"/>
      <c r="G63" s="131" t="n">
        <f aca="false">E63</f>
        <v>4.785</v>
      </c>
      <c r="H63" s="129" t="n">
        <f aca="false">VLOOKUP($A63,[1]!CurveTable,MATCH($H$4,[1]!CurveType,0))</f>
        <v>0</v>
      </c>
      <c r="I63" s="131"/>
      <c r="J63" s="131" t="n">
        <f aca="false">H63</f>
        <v>0</v>
      </c>
      <c r="K63" s="129"/>
      <c r="L63" s="131"/>
      <c r="M63" s="131"/>
      <c r="N63" s="131" t="n">
        <f aca="false">G63+J63+M63+$N$7</f>
        <v>4.495</v>
      </c>
      <c r="O63" s="131" t="n">
        <f aca="false">O62</f>
        <v>3</v>
      </c>
      <c r="P63" s="131"/>
      <c r="Q63" s="129" t="n">
        <f aca="false">VLOOKUP($A63,[1]!CurveTable,MATCH($Q$4,[1]!CurveType,0))</f>
        <v>0.17</v>
      </c>
      <c r="R63" s="129" t="n">
        <f aca="false">Q63+Summary!C$25</f>
        <v>0.17</v>
      </c>
      <c r="S63" s="129"/>
      <c r="T63" s="132" t="n">
        <f aca="false">X63</f>
        <v>41791</v>
      </c>
      <c r="U63" s="133" t="n">
        <f aca="false">T63-$C$3</f>
        <v>4786</v>
      </c>
      <c r="W63" s="61" t="n">
        <f aca="false">A64-A63</f>
        <v>30</v>
      </c>
      <c r="X63" s="135" t="n">
        <f aca="false">CHOOSE(F$3,A64+24,A63)</f>
        <v>41791</v>
      </c>
      <c r="Y63" s="61" t="n">
        <f aca="false">X63-C$3</f>
        <v>4786</v>
      </c>
      <c r="Z63" s="136" t="n">
        <f aca="false">VLOOKUP($A63,[1]!CurveTable,MATCH($Z$4,[1]!CurveType,0))</f>
        <v>0.0637203327578226</v>
      </c>
      <c r="AA63" s="137" t="n">
        <f aca="false">1/(1+CHOOSE(F$3,(Z64+($K$3/10000))/2,(Z63+($K$3/10000))/2))^(2*Y63/365.25)</f>
        <v>0.439584563227229</v>
      </c>
      <c r="AB63" s="61" t="n">
        <f aca="false">IF(AND(mthbeg&lt;=A63,mthend&gt;=A63),1,0)</f>
        <v>1</v>
      </c>
      <c r="AC63" s="61" t="n">
        <f aca="false">W63*AB63</f>
        <v>30</v>
      </c>
      <c r="AD63" s="121" t="n">
        <f aca="false">$D63*E63</f>
        <v>12966210.6628907</v>
      </c>
      <c r="AE63" s="121" t="n">
        <f aca="false">$D63*F63</f>
        <v>0</v>
      </c>
      <c r="AF63" s="121" t="n">
        <f aca="false">$D63*G63</f>
        <v>12966210.6628907</v>
      </c>
      <c r="AG63" s="121" t="n">
        <f aca="false">$D63*H63</f>
        <v>0</v>
      </c>
      <c r="AH63" s="121" t="n">
        <f aca="false">$D63*I63</f>
        <v>0</v>
      </c>
      <c r="AI63" s="121" t="n">
        <f aca="false">$D63*J63</f>
        <v>0</v>
      </c>
      <c r="AJ63" s="121" t="n">
        <f aca="false">$D63*K63</f>
        <v>0</v>
      </c>
      <c r="AK63" s="121" t="n">
        <f aca="false">$D63*L63</f>
        <v>0</v>
      </c>
      <c r="AL63" s="121" t="n">
        <f aca="false">$D63*M63</f>
        <v>0</v>
      </c>
      <c r="AM63" s="139"/>
      <c r="AO63" s="75" t="e">
        <f aca="false">EURO(N63,O63,Z63,Z63,R63,U63,0,0)</f>
        <v>#NAME?</v>
      </c>
      <c r="AP63" s="138" t="e">
        <f aca="false">AO63*C63</f>
        <v>#NAME?</v>
      </c>
      <c r="AQ63" s="60" t="e">
        <f aca="false">-EURO(N63,O63,Z63,Z63,R63,U63,0,1)</f>
        <v>#NAME?</v>
      </c>
    </row>
    <row r="64" customFormat="false" ht="12.75" hidden="false" customHeight="false" outlineLevel="0" collapsed="false">
      <c r="A64" s="127" t="n">
        <f aca="false">EDATE(A63,1)</f>
        <v>41821</v>
      </c>
      <c r="B64" s="128" t="n">
        <f aca="false">B63</f>
        <v>205479</v>
      </c>
      <c r="C64" s="116" t="n">
        <f aca="false">IF(AB64=0,0,IF(AND(AB64=1,$H$3=1),B64*W64,IF($H$3=2,B64,"N/A")))</f>
        <v>6369849</v>
      </c>
      <c r="D64" s="116" t="n">
        <f aca="false">C64*AA64</f>
        <v>2784233.90699861</v>
      </c>
      <c r="E64" s="129" t="n">
        <f aca="false">VLOOKUP($A64,[1]!CurveTable,MATCH($E$4,[1]!CurveType,0))</f>
        <v>4.83</v>
      </c>
      <c r="F64" s="130"/>
      <c r="G64" s="131" t="n">
        <f aca="false">E64</f>
        <v>4.83</v>
      </c>
      <c r="H64" s="129" t="n">
        <f aca="false">VLOOKUP($A64,[1]!CurveTable,MATCH($H$4,[1]!CurveType,0))</f>
        <v>0</v>
      </c>
      <c r="I64" s="131"/>
      <c r="J64" s="131" t="n">
        <f aca="false">H64</f>
        <v>0</v>
      </c>
      <c r="K64" s="129"/>
      <c r="L64" s="131"/>
      <c r="M64" s="131"/>
      <c r="N64" s="131" t="n">
        <f aca="false">G64+J64+M64+$N$7</f>
        <v>4.54</v>
      </c>
      <c r="O64" s="131" t="n">
        <f aca="false">O63</f>
        <v>3</v>
      </c>
      <c r="P64" s="131"/>
      <c r="Q64" s="129" t="n">
        <f aca="false">VLOOKUP($A64,[1]!CurveTable,MATCH($Q$4,[1]!CurveType,0))</f>
        <v>0.17</v>
      </c>
      <c r="R64" s="129" t="n">
        <f aca="false">Q64+Summary!C$25</f>
        <v>0.17</v>
      </c>
      <c r="S64" s="129"/>
      <c r="T64" s="132" t="n">
        <f aca="false">X64</f>
        <v>41821</v>
      </c>
      <c r="U64" s="133" t="n">
        <f aca="false">T64-$C$3</f>
        <v>4816</v>
      </c>
      <c r="W64" s="61" t="n">
        <f aca="false">A65-A64</f>
        <v>31</v>
      </c>
      <c r="X64" s="135" t="n">
        <f aca="false">CHOOSE(F$3,A65+24,A64)</f>
        <v>41821</v>
      </c>
      <c r="Y64" s="61" t="n">
        <f aca="false">X64-C$3</f>
        <v>4816</v>
      </c>
      <c r="Z64" s="136" t="n">
        <f aca="false">VLOOKUP($A64,[1]!CurveTable,MATCH($Z$4,[1]!CurveType,0))</f>
        <v>0.0637614789091634</v>
      </c>
      <c r="AA64" s="137" t="n">
        <f aca="false">1/(1+CHOOSE(F$3,(Z65+($K$3/10000))/2,(Z64+($K$3/10000))/2))^(2*Y64/365.25)</f>
        <v>0.437095747010425</v>
      </c>
      <c r="AB64" s="61" t="n">
        <f aca="false">IF(AND(mthbeg&lt;=A64,mthend&gt;=A64),1,0)</f>
        <v>1</v>
      </c>
      <c r="AC64" s="61" t="n">
        <f aca="false">W64*AB64</f>
        <v>31</v>
      </c>
      <c r="AD64" s="121" t="n">
        <f aca="false">$D64*E64</f>
        <v>13447849.7708033</v>
      </c>
      <c r="AE64" s="121" t="n">
        <f aca="false">$D64*F64</f>
        <v>0</v>
      </c>
      <c r="AF64" s="121" t="n">
        <f aca="false">$D64*G64</f>
        <v>13447849.7708033</v>
      </c>
      <c r="AG64" s="121" t="n">
        <f aca="false">$D64*H64</f>
        <v>0</v>
      </c>
      <c r="AH64" s="121" t="n">
        <f aca="false">$D64*I64</f>
        <v>0</v>
      </c>
      <c r="AI64" s="121" t="n">
        <f aca="false">$D64*J64</f>
        <v>0</v>
      </c>
      <c r="AJ64" s="121" t="n">
        <f aca="false">$D64*K64</f>
        <v>0</v>
      </c>
      <c r="AK64" s="121" t="n">
        <f aca="false">$D64*L64</f>
        <v>0</v>
      </c>
      <c r="AL64" s="121" t="n">
        <f aca="false">$D64*M64</f>
        <v>0</v>
      </c>
      <c r="AM64" s="139"/>
      <c r="AO64" s="75" t="e">
        <f aca="false">EURO(N64,O64,Z64,Z64,R64,U64,0,0)</f>
        <v>#NAME?</v>
      </c>
      <c r="AP64" s="138" t="e">
        <f aca="false">AO64*C64</f>
        <v>#NAME?</v>
      </c>
      <c r="AQ64" s="60" t="e">
        <f aca="false">-EURO(N64,O64,Z64,Z64,R64,U64,0,1)</f>
        <v>#NAME?</v>
      </c>
    </row>
    <row r="65" customFormat="false" ht="12.75" hidden="false" customHeight="false" outlineLevel="0" collapsed="false">
      <c r="A65" s="127" t="n">
        <f aca="false">EDATE(A64,1)</f>
        <v>41852</v>
      </c>
      <c r="B65" s="128" t="n">
        <f aca="false">B64</f>
        <v>205479</v>
      </c>
      <c r="C65" s="116" t="n">
        <f aca="false">IF(AB65=0,0,IF(AND(AB65=1,$H$3=1),B65*W65,IF($H$3=2,B65,"N/A")))</f>
        <v>6369849</v>
      </c>
      <c r="D65" s="116" t="n">
        <f aca="false">C65*AA65</f>
        <v>2767927.35009941</v>
      </c>
      <c r="E65" s="129" t="n">
        <f aca="false">VLOOKUP($A65,[1]!CurveTable,MATCH($E$4,[1]!CurveType,0))</f>
        <v>4.865</v>
      </c>
      <c r="F65" s="130"/>
      <c r="G65" s="131" t="n">
        <f aca="false">E65</f>
        <v>4.865</v>
      </c>
      <c r="H65" s="129" t="n">
        <f aca="false">VLOOKUP($A65,[1]!CurveTable,MATCH($H$4,[1]!CurveType,0))</f>
        <v>0</v>
      </c>
      <c r="I65" s="131"/>
      <c r="J65" s="131" t="n">
        <f aca="false">H65</f>
        <v>0</v>
      </c>
      <c r="K65" s="129"/>
      <c r="L65" s="131"/>
      <c r="M65" s="131"/>
      <c r="N65" s="131" t="n">
        <f aca="false">G65+J65+M65+$N$7</f>
        <v>4.575</v>
      </c>
      <c r="O65" s="131" t="n">
        <f aca="false">O64</f>
        <v>3</v>
      </c>
      <c r="P65" s="131"/>
      <c r="Q65" s="129" t="n">
        <f aca="false">VLOOKUP($A65,[1]!CurveTable,MATCH($Q$4,[1]!CurveType,0))</f>
        <v>0.17</v>
      </c>
      <c r="R65" s="129" t="n">
        <f aca="false">Q65+Summary!C$25</f>
        <v>0.17</v>
      </c>
      <c r="S65" s="129"/>
      <c r="T65" s="132" t="n">
        <f aca="false">X65</f>
        <v>41852</v>
      </c>
      <c r="U65" s="133" t="n">
        <f aca="false">T65-$C$3</f>
        <v>4847</v>
      </c>
      <c r="W65" s="61" t="n">
        <f aca="false">A66-A65</f>
        <v>31</v>
      </c>
      <c r="X65" s="135" t="n">
        <f aca="false">CHOOSE(F$3,A66+24,A65)</f>
        <v>41852</v>
      </c>
      <c r="Y65" s="61" t="n">
        <f aca="false">X65-C$3</f>
        <v>4847</v>
      </c>
      <c r="Z65" s="136" t="n">
        <f aca="false">VLOOKUP($A65,[1]!CurveTable,MATCH($Z$4,[1]!CurveType,0))</f>
        <v>0.0638039965994714</v>
      </c>
      <c r="AA65" s="137" t="n">
        <f aca="false">1/(1+CHOOSE(F$3,(Z66+($K$3/10000))/2,(Z65+($K$3/10000))/2))^(2*Y65/365.25)</f>
        <v>0.434535787284661</v>
      </c>
      <c r="AB65" s="61" t="n">
        <f aca="false">IF(AND(mthbeg&lt;=A65,mthend&gt;=A65),1,0)</f>
        <v>1</v>
      </c>
      <c r="AC65" s="61" t="n">
        <f aca="false">W65*AB65</f>
        <v>31</v>
      </c>
      <c r="AD65" s="121" t="n">
        <f aca="false">$D65*E65</f>
        <v>13465966.5582336</v>
      </c>
      <c r="AE65" s="121" t="n">
        <f aca="false">$D65*F65</f>
        <v>0</v>
      </c>
      <c r="AF65" s="121" t="n">
        <f aca="false">$D65*G65</f>
        <v>13465966.5582336</v>
      </c>
      <c r="AG65" s="121" t="n">
        <f aca="false">$D65*H65</f>
        <v>0</v>
      </c>
      <c r="AH65" s="121" t="n">
        <f aca="false">$D65*I65</f>
        <v>0</v>
      </c>
      <c r="AI65" s="121" t="n">
        <f aca="false">$D65*J65</f>
        <v>0</v>
      </c>
      <c r="AJ65" s="121" t="n">
        <f aca="false">$D65*K65</f>
        <v>0</v>
      </c>
      <c r="AK65" s="121" t="n">
        <f aca="false">$D65*L65</f>
        <v>0</v>
      </c>
      <c r="AL65" s="121" t="n">
        <f aca="false">$D65*M65</f>
        <v>0</v>
      </c>
      <c r="AM65" s="139"/>
      <c r="AO65" s="75" t="e">
        <f aca="false">EURO(N65,O65,Z65,Z65,R65,U65,0,0)</f>
        <v>#NAME?</v>
      </c>
      <c r="AP65" s="138" t="e">
        <f aca="false">AO65*C65</f>
        <v>#NAME?</v>
      </c>
      <c r="AQ65" s="60" t="e">
        <f aca="false">-EURO(N65,O65,Z65,Z65,R65,U65,0,1)</f>
        <v>#NAME?</v>
      </c>
    </row>
    <row r="66" customFormat="false" ht="12.75" hidden="false" customHeight="false" outlineLevel="0" collapsed="false">
      <c r="A66" s="127" t="n">
        <f aca="false">EDATE(A65,1)</f>
        <v>41883</v>
      </c>
      <c r="B66" s="128" t="n">
        <f aca="false">B65</f>
        <v>205479</v>
      </c>
      <c r="C66" s="116" t="n">
        <f aca="false">IF(AB66=0,0,IF(AND(AB66=1,$H$3=1),B66*W66,IF($H$3=2,B66,"N/A")))</f>
        <v>6164370</v>
      </c>
      <c r="D66" s="116" t="n">
        <f aca="false">C66*AA66</f>
        <v>2662932.65983007</v>
      </c>
      <c r="E66" s="129" t="n">
        <f aca="false">VLOOKUP($A66,[1]!CurveTable,MATCH($E$4,[1]!CurveType,0))</f>
        <v>4.87</v>
      </c>
      <c r="F66" s="130"/>
      <c r="G66" s="131" t="n">
        <f aca="false">E66</f>
        <v>4.87</v>
      </c>
      <c r="H66" s="129" t="n">
        <f aca="false">VLOOKUP($A66,[1]!CurveTable,MATCH($H$4,[1]!CurveType,0))</f>
        <v>0</v>
      </c>
      <c r="I66" s="131"/>
      <c r="J66" s="131" t="n">
        <f aca="false">H66</f>
        <v>0</v>
      </c>
      <c r="K66" s="129"/>
      <c r="L66" s="131"/>
      <c r="M66" s="131"/>
      <c r="N66" s="131" t="n">
        <f aca="false">G66+J66+M66+$N$7</f>
        <v>4.58</v>
      </c>
      <c r="O66" s="131" t="n">
        <f aca="false">O65</f>
        <v>3</v>
      </c>
      <c r="P66" s="131"/>
      <c r="Q66" s="129" t="n">
        <f aca="false">VLOOKUP($A66,[1]!CurveTable,MATCH($Q$4,[1]!CurveType,0))</f>
        <v>0.17</v>
      </c>
      <c r="R66" s="129" t="n">
        <f aca="false">Q66+Summary!C$25</f>
        <v>0.17</v>
      </c>
      <c r="S66" s="129"/>
      <c r="T66" s="132" t="n">
        <f aca="false">X66</f>
        <v>41883</v>
      </c>
      <c r="U66" s="133" t="n">
        <f aca="false">T66-$C$3</f>
        <v>4878</v>
      </c>
      <c r="W66" s="61" t="n">
        <f aca="false">A67-A66</f>
        <v>30</v>
      </c>
      <c r="X66" s="135" t="n">
        <f aca="false">CHOOSE(F$3,A67+24,A66)</f>
        <v>41883</v>
      </c>
      <c r="Y66" s="61" t="n">
        <f aca="false">X66-C$3</f>
        <v>4878</v>
      </c>
      <c r="Z66" s="136" t="n">
        <f aca="false">VLOOKUP($A66,[1]!CurveTable,MATCH($Z$4,[1]!CurveType,0))</f>
        <v>0.0638465142903795</v>
      </c>
      <c r="AA66" s="137" t="n">
        <f aca="false">1/(1+CHOOSE(F$3,(Z67+($K$3/10000))/2,(Z66+($K$3/10000))/2))^(2*Y66/365.25)</f>
        <v>0.431987804078937</v>
      </c>
      <c r="AB66" s="61" t="n">
        <f aca="false">IF(AND(mthbeg&lt;=A66,mthend&gt;=A66),1,0)</f>
        <v>1</v>
      </c>
      <c r="AC66" s="61" t="n">
        <f aca="false">W66*AB66</f>
        <v>30</v>
      </c>
      <c r="AD66" s="121" t="n">
        <f aca="false">$D66*E66</f>
        <v>12968482.0533725</v>
      </c>
      <c r="AE66" s="121" t="n">
        <f aca="false">$D66*F66</f>
        <v>0</v>
      </c>
      <c r="AF66" s="121" t="n">
        <f aca="false">$D66*G66</f>
        <v>12968482.0533725</v>
      </c>
      <c r="AG66" s="121" t="n">
        <f aca="false">$D66*H66</f>
        <v>0</v>
      </c>
      <c r="AH66" s="121" t="n">
        <f aca="false">$D66*I66</f>
        <v>0</v>
      </c>
      <c r="AI66" s="121" t="n">
        <f aca="false">$D66*J66</f>
        <v>0</v>
      </c>
      <c r="AJ66" s="121" t="n">
        <f aca="false">$D66*K66</f>
        <v>0</v>
      </c>
      <c r="AK66" s="121" t="n">
        <f aca="false">$D66*L66</f>
        <v>0</v>
      </c>
      <c r="AL66" s="121" t="n">
        <f aca="false">$D66*M66</f>
        <v>0</v>
      </c>
      <c r="AM66" s="139"/>
      <c r="AO66" s="75" t="e">
        <f aca="false">EURO(N66,O66,Z66,Z66,R66,U66,0,0)</f>
        <v>#NAME?</v>
      </c>
      <c r="AP66" s="138" t="e">
        <f aca="false">AO66*C66</f>
        <v>#NAME?</v>
      </c>
      <c r="AQ66" s="60" t="e">
        <f aca="false">-EURO(N66,O66,Z66,Z66,R66,U66,0,1)</f>
        <v>#NAME?</v>
      </c>
    </row>
    <row r="67" customFormat="false" ht="12.75" hidden="false" customHeight="false" outlineLevel="0" collapsed="false">
      <c r="A67" s="127" t="n">
        <f aca="false">EDATE(A66,1)</f>
        <v>41913</v>
      </c>
      <c r="B67" s="128" t="n">
        <f aca="false">B66</f>
        <v>205479</v>
      </c>
      <c r="C67" s="116" t="n">
        <f aca="false">IF(AB67=0,0,IF(AND(AB67=1,$H$3=1),B67*W67,IF($H$3=2,B67,"N/A")))</f>
        <v>6369849</v>
      </c>
      <c r="D67" s="116" t="n">
        <f aca="false">C67*AA67</f>
        <v>2736062.79960912</v>
      </c>
      <c r="E67" s="129" t="n">
        <f aca="false">VLOOKUP($A67,[1]!CurveTable,MATCH($E$4,[1]!CurveType,0))</f>
        <v>4.9</v>
      </c>
      <c r="F67" s="130"/>
      <c r="G67" s="131" t="n">
        <f aca="false">E67</f>
        <v>4.9</v>
      </c>
      <c r="H67" s="129" t="n">
        <f aca="false">VLOOKUP($A67,[1]!CurveTable,MATCH($H$4,[1]!CurveType,0))</f>
        <v>0</v>
      </c>
      <c r="I67" s="131"/>
      <c r="J67" s="131" t="n">
        <f aca="false">H67</f>
        <v>0</v>
      </c>
      <c r="K67" s="129"/>
      <c r="L67" s="131"/>
      <c r="M67" s="131"/>
      <c r="N67" s="131" t="n">
        <f aca="false">G67+J67+M67+$N$7</f>
        <v>4.61</v>
      </c>
      <c r="O67" s="131" t="n">
        <f aca="false">O66</f>
        <v>3</v>
      </c>
      <c r="P67" s="131"/>
      <c r="Q67" s="129" t="n">
        <f aca="false">VLOOKUP($A67,[1]!CurveTable,MATCH($Q$4,[1]!CurveType,0))</f>
        <v>0.17</v>
      </c>
      <c r="R67" s="129" t="n">
        <f aca="false">Q67+Summary!C$25</f>
        <v>0.17</v>
      </c>
      <c r="S67" s="129"/>
      <c r="T67" s="132" t="n">
        <f aca="false">X67</f>
        <v>41913</v>
      </c>
      <c r="U67" s="133" t="n">
        <f aca="false">T67-$C$3</f>
        <v>4908</v>
      </c>
      <c r="W67" s="61" t="n">
        <f aca="false">A68-A67</f>
        <v>31</v>
      </c>
      <c r="X67" s="135" t="n">
        <f aca="false">CHOOSE(F$3,A68+24,A67)</f>
        <v>41913</v>
      </c>
      <c r="Y67" s="61" t="n">
        <f aca="false">X67-C$3</f>
        <v>4908</v>
      </c>
      <c r="Z67" s="136" t="n">
        <f aca="false">VLOOKUP($A67,[1]!CurveTable,MATCH($Z$4,[1]!CurveType,0))</f>
        <v>0.0638876604434415</v>
      </c>
      <c r="AA67" s="137" t="n">
        <f aca="false">1/(1+CHOOSE(F$3,(Z68+($K$3/10000))/2,(Z67+($K$3/10000))/2))^(2*Y67/365.25)</f>
        <v>0.429533384481974</v>
      </c>
      <c r="AB67" s="61" t="n">
        <f aca="false">IF(AND(mthbeg&lt;=A67,mthend&gt;=A67),1,0)</f>
        <v>1</v>
      </c>
      <c r="AC67" s="61" t="n">
        <f aca="false">W67*AB67</f>
        <v>31</v>
      </c>
      <c r="AD67" s="121" t="n">
        <f aca="false">$D67*E67</f>
        <v>13406707.7180847</v>
      </c>
      <c r="AE67" s="121" t="n">
        <f aca="false">$D67*F67</f>
        <v>0</v>
      </c>
      <c r="AF67" s="121" t="n">
        <f aca="false">$D67*G67</f>
        <v>13406707.7180847</v>
      </c>
      <c r="AG67" s="121" t="n">
        <f aca="false">$D67*H67</f>
        <v>0</v>
      </c>
      <c r="AH67" s="121" t="n">
        <f aca="false">$D67*I67</f>
        <v>0</v>
      </c>
      <c r="AI67" s="121" t="n">
        <f aca="false">$D67*J67</f>
        <v>0</v>
      </c>
      <c r="AJ67" s="121" t="n">
        <f aca="false">$D67*K67</f>
        <v>0</v>
      </c>
      <c r="AK67" s="121" t="n">
        <f aca="false">$D67*L67</f>
        <v>0</v>
      </c>
      <c r="AL67" s="121" t="n">
        <f aca="false">$D67*M67</f>
        <v>0</v>
      </c>
      <c r="AM67" s="139"/>
      <c r="AO67" s="75" t="e">
        <f aca="false">EURO(N67,O67,Z67,Z67,R67,U67,0,0)</f>
        <v>#NAME?</v>
      </c>
      <c r="AP67" s="138" t="e">
        <f aca="false">AO67*C67</f>
        <v>#NAME?</v>
      </c>
      <c r="AQ67" s="60" t="e">
        <f aca="false">-EURO(N67,O67,Z67,Z67,R67,U67,0,1)</f>
        <v>#NAME?</v>
      </c>
    </row>
    <row r="68" customFormat="false" ht="12.75" hidden="false" customHeight="false" outlineLevel="0" collapsed="false">
      <c r="A68" s="127" t="n">
        <f aca="false">EDATE(A67,1)</f>
        <v>41944</v>
      </c>
      <c r="B68" s="128" t="n">
        <f aca="false">B67</f>
        <v>205479</v>
      </c>
      <c r="C68" s="116" t="n">
        <f aca="false">IF(AB68=0,0,IF(AND(AB68=1,$H$3=1),B68*W68,IF($H$3=2,B68,"N/A")))</f>
        <v>6164370</v>
      </c>
      <c r="D68" s="116" t="n">
        <f aca="false">C68*AA68</f>
        <v>2632240.64790525</v>
      </c>
      <c r="E68" s="129" t="n">
        <f aca="false">VLOOKUP($A68,[1]!CurveTable,MATCH($E$4,[1]!CurveType,0))</f>
        <v>5.01</v>
      </c>
      <c r="F68" s="130"/>
      <c r="G68" s="131" t="n">
        <f aca="false">E68</f>
        <v>5.01</v>
      </c>
      <c r="H68" s="129" t="n">
        <f aca="false">VLOOKUP($A68,[1]!CurveTable,MATCH($H$4,[1]!CurveType,0))</f>
        <v>0</v>
      </c>
      <c r="I68" s="131"/>
      <c r="J68" s="131" t="n">
        <f aca="false">H68</f>
        <v>0</v>
      </c>
      <c r="K68" s="129"/>
      <c r="L68" s="131"/>
      <c r="M68" s="131"/>
      <c r="N68" s="131" t="n">
        <f aca="false">G68+J68+M68+$N$7</f>
        <v>4.72</v>
      </c>
      <c r="O68" s="131" t="n">
        <f aca="false">O67</f>
        <v>3</v>
      </c>
      <c r="P68" s="131"/>
      <c r="Q68" s="129" t="n">
        <f aca="false">VLOOKUP($A68,[1]!CurveTable,MATCH($Q$4,[1]!CurveType,0))</f>
        <v>0.17</v>
      </c>
      <c r="R68" s="129" t="n">
        <f aca="false">Q68+Summary!C$25</f>
        <v>0.17</v>
      </c>
      <c r="S68" s="129"/>
      <c r="T68" s="132" t="n">
        <f aca="false">X68</f>
        <v>41944</v>
      </c>
      <c r="U68" s="133" t="n">
        <f aca="false">T68-$C$3</f>
        <v>4939</v>
      </c>
      <c r="W68" s="61" t="n">
        <f aca="false">A69-A68</f>
        <v>30</v>
      </c>
      <c r="X68" s="135" t="n">
        <f aca="false">CHOOSE(F$3,A69+24,A68)</f>
        <v>41944</v>
      </c>
      <c r="Y68" s="61" t="n">
        <f aca="false">X68-C$3</f>
        <v>4939</v>
      </c>
      <c r="Z68" s="136" t="n">
        <f aca="false">VLOOKUP($A68,[1]!CurveTable,MATCH($Z$4,[1]!CurveType,0))</f>
        <v>0.0639301781355295</v>
      </c>
      <c r="AA68" s="137" t="n">
        <f aca="false">1/(1+CHOOSE(F$3,(Z69+($K$3/10000))/2,(Z68+($K$3/10000))/2))^(2*Y68/365.25)</f>
        <v>0.427008866746359</v>
      </c>
      <c r="AB68" s="61" t="n">
        <f aca="false">IF(AND(mthbeg&lt;=A68,mthend&gt;=A68),1,0)</f>
        <v>1</v>
      </c>
      <c r="AC68" s="61" t="n">
        <f aca="false">W68*AB68</f>
        <v>30</v>
      </c>
      <c r="AD68" s="121" t="n">
        <f aca="false">$D68*E68</f>
        <v>13187525.6460053</v>
      </c>
      <c r="AE68" s="121" t="n">
        <f aca="false">$D68*F68</f>
        <v>0</v>
      </c>
      <c r="AF68" s="121" t="n">
        <f aca="false">$D68*G68</f>
        <v>13187525.6460053</v>
      </c>
      <c r="AG68" s="121" t="n">
        <f aca="false">$D68*H68</f>
        <v>0</v>
      </c>
      <c r="AH68" s="121" t="n">
        <f aca="false">$D68*I68</f>
        <v>0</v>
      </c>
      <c r="AI68" s="121" t="n">
        <f aca="false">$D68*J68</f>
        <v>0</v>
      </c>
      <c r="AJ68" s="121" t="n">
        <f aca="false">$D68*K68</f>
        <v>0</v>
      </c>
      <c r="AK68" s="121" t="n">
        <f aca="false">$D68*L68</f>
        <v>0</v>
      </c>
      <c r="AL68" s="121" t="n">
        <f aca="false">$D68*M68</f>
        <v>0</v>
      </c>
      <c r="AM68" s="139"/>
      <c r="AO68" s="75" t="e">
        <f aca="false">EURO(N68,O68,Z68,Z68,R68,U68,0,0)</f>
        <v>#NAME?</v>
      </c>
      <c r="AP68" s="138" t="e">
        <f aca="false">AO68*C68</f>
        <v>#NAME?</v>
      </c>
      <c r="AQ68" s="60" t="e">
        <f aca="false">-EURO(N68,O68,Z68,Z68,R68,U68,0,1)</f>
        <v>#NAME?</v>
      </c>
    </row>
    <row r="69" customFormat="false" ht="12.75" hidden="false" customHeight="false" outlineLevel="0" collapsed="false">
      <c r="A69" s="127" t="n">
        <f aca="false">EDATE(A68,1)</f>
        <v>41974</v>
      </c>
      <c r="B69" s="128" t="n">
        <f aca="false">B68</f>
        <v>205479</v>
      </c>
      <c r="C69" s="116" t="n">
        <f aca="false">IF(AB69=0,0,IF(AND(AB69=1,$H$3=1),B69*W69,IF($H$3=2,B69,"N/A")))</f>
        <v>6369849</v>
      </c>
      <c r="D69" s="116" t="n">
        <f aca="false">C69*AA69</f>
        <v>2704491.95605724</v>
      </c>
      <c r="E69" s="129" t="n">
        <f aca="false">VLOOKUP($A69,[1]!CurveTable,MATCH($E$4,[1]!CurveType,0))</f>
        <v>5.13</v>
      </c>
      <c r="F69" s="130"/>
      <c r="G69" s="131" t="n">
        <f aca="false">E69</f>
        <v>5.13</v>
      </c>
      <c r="H69" s="129" t="n">
        <f aca="false">VLOOKUP($A69,[1]!CurveTable,MATCH($H$4,[1]!CurveType,0))</f>
        <v>0</v>
      </c>
      <c r="I69" s="131"/>
      <c r="J69" s="131" t="n">
        <f aca="false">H69</f>
        <v>0</v>
      </c>
      <c r="K69" s="129"/>
      <c r="L69" s="131"/>
      <c r="M69" s="131"/>
      <c r="N69" s="131" t="n">
        <f aca="false">G69+J69+M69+$N$7</f>
        <v>4.84</v>
      </c>
      <c r="O69" s="131" t="n">
        <f aca="false">O68</f>
        <v>3</v>
      </c>
      <c r="P69" s="131"/>
      <c r="Q69" s="129" t="n">
        <f aca="false">VLOOKUP($A69,[1]!CurveTable,MATCH($Q$4,[1]!CurveType,0))</f>
        <v>0.17</v>
      </c>
      <c r="R69" s="129" t="n">
        <f aca="false">Q69+Summary!C$25</f>
        <v>0.17</v>
      </c>
      <c r="S69" s="129"/>
      <c r="T69" s="132" t="n">
        <f aca="false">X69</f>
        <v>41974</v>
      </c>
      <c r="U69" s="133" t="n">
        <f aca="false">T69-$C$3</f>
        <v>4969</v>
      </c>
      <c r="W69" s="61" t="n">
        <f aca="false">A70-A69</f>
        <v>31</v>
      </c>
      <c r="X69" s="135" t="n">
        <f aca="false">CHOOSE(F$3,A70+24,A69)</f>
        <v>41974</v>
      </c>
      <c r="Y69" s="61" t="n">
        <f aca="false">X69-C$3</f>
        <v>4969</v>
      </c>
      <c r="Z69" s="136" t="n">
        <f aca="false">VLOOKUP($A69,[1]!CurveTable,MATCH($Z$4,[1]!CurveType,0))</f>
        <v>0.0639713242897333</v>
      </c>
      <c r="AA69" s="137" t="n">
        <f aca="false">1/(1+CHOOSE(F$3,(Z70+($K$3/10000))/2,(Z69+($K$3/10000))/2))^(2*Y69/365.25)</f>
        <v>0.424577090611919</v>
      </c>
      <c r="AB69" s="61" t="n">
        <f aca="false">IF(AND(mthbeg&lt;=A69,mthend&gt;=A69),1,0)</f>
        <v>1</v>
      </c>
      <c r="AC69" s="61" t="n">
        <f aca="false">W69*AB69</f>
        <v>31</v>
      </c>
      <c r="AD69" s="121" t="n">
        <f aca="false">$D69*E69</f>
        <v>13874043.7345737</v>
      </c>
      <c r="AE69" s="121" t="n">
        <f aca="false">$D69*F69</f>
        <v>0</v>
      </c>
      <c r="AF69" s="121" t="n">
        <f aca="false">$D69*G69</f>
        <v>13874043.7345737</v>
      </c>
      <c r="AG69" s="121" t="n">
        <f aca="false">$D69*H69</f>
        <v>0</v>
      </c>
      <c r="AH69" s="121" t="n">
        <f aca="false">$D69*I69</f>
        <v>0</v>
      </c>
      <c r="AI69" s="121" t="n">
        <f aca="false">$D69*J69</f>
        <v>0</v>
      </c>
      <c r="AJ69" s="121" t="n">
        <f aca="false">$D69*K69</f>
        <v>0</v>
      </c>
      <c r="AK69" s="121" t="n">
        <f aca="false">$D69*L69</f>
        <v>0</v>
      </c>
      <c r="AL69" s="121" t="n">
        <f aca="false">$D69*M69</f>
        <v>0</v>
      </c>
      <c r="AM69" s="139"/>
      <c r="AO69" s="75" t="e">
        <f aca="false">EURO(N69,O69,Z69,Z69,R69,U69,0,0)</f>
        <v>#NAME?</v>
      </c>
      <c r="AP69" s="138" t="e">
        <f aca="false">AO69*C69</f>
        <v>#NAME?</v>
      </c>
      <c r="AQ69" s="60" t="e">
        <f aca="false">-EURO(N69,O69,Z69,Z69,R69,U69,0,1)</f>
        <v>#NAME?</v>
      </c>
    </row>
    <row r="70" customFormat="false" ht="12.75" hidden="false" customHeight="false" outlineLevel="0" collapsed="false">
      <c r="A70" s="127" t="n">
        <f aca="false">EDATE(A69,1)</f>
        <v>42005</v>
      </c>
      <c r="B70" s="128" t="n">
        <f aca="false">B69</f>
        <v>205479</v>
      </c>
      <c r="C70" s="116" t="n">
        <f aca="false">IF(AB70=0,0,IF(AND(AB70=1,$H$3=1),B70*W70,IF($H$3=2,B70,"N/A")))</f>
        <v>6369849</v>
      </c>
      <c r="D70" s="116" t="n">
        <f aca="false">C70*AA70</f>
        <v>2688559.77379237</v>
      </c>
      <c r="E70" s="129" t="n">
        <f aca="false">VLOOKUP($A70,[1]!CurveTable,MATCH($E$4,[1]!CurveType,0))</f>
        <v>5.21</v>
      </c>
      <c r="F70" s="130"/>
      <c r="G70" s="131" t="n">
        <f aca="false">E70</f>
        <v>5.21</v>
      </c>
      <c r="H70" s="129" t="n">
        <f aca="false">VLOOKUP($A70,[1]!CurveTable,MATCH($H$4,[1]!CurveType,0))</f>
        <v>0</v>
      </c>
      <c r="I70" s="131"/>
      <c r="J70" s="131" t="n">
        <f aca="false">H70</f>
        <v>0</v>
      </c>
      <c r="K70" s="129"/>
      <c r="L70" s="131"/>
      <c r="M70" s="131"/>
      <c r="N70" s="131" t="n">
        <f aca="false">G70+J70+M70+$N$7</f>
        <v>4.92</v>
      </c>
      <c r="O70" s="131" t="n">
        <f aca="false">O69</f>
        <v>3</v>
      </c>
      <c r="P70" s="131"/>
      <c r="Q70" s="129" t="n">
        <f aca="false">VLOOKUP($A70,[1]!CurveTable,MATCH($Q$4,[1]!CurveType,0))</f>
        <v>0.17</v>
      </c>
      <c r="R70" s="129" t="n">
        <f aca="false">Q70+Summary!C$25</f>
        <v>0.17</v>
      </c>
      <c r="S70" s="129"/>
      <c r="T70" s="132" t="n">
        <f aca="false">X70</f>
        <v>42005</v>
      </c>
      <c r="U70" s="133" t="n">
        <f aca="false">T70-$C$3</f>
        <v>5000</v>
      </c>
      <c r="W70" s="61" t="n">
        <f aca="false">A71-A70</f>
        <v>31</v>
      </c>
      <c r="X70" s="135" t="n">
        <f aca="false">CHOOSE(F$3,A71+24,A70)</f>
        <v>42005</v>
      </c>
      <c r="Y70" s="61" t="n">
        <f aca="false">X70-C$3</f>
        <v>5000</v>
      </c>
      <c r="Z70" s="136" t="n">
        <f aca="false">VLOOKUP($A70,[1]!CurveTable,MATCH($Z$4,[1]!CurveType,0))</f>
        <v>0.0640138419830008</v>
      </c>
      <c r="AA70" s="137" t="n">
        <f aca="false">1/(1+CHOOSE(F$3,(Z71+($K$3/10000))/2,(Z70+($K$3/10000))/2))^(2*Y70/365.25)</f>
        <v>0.422075903807511</v>
      </c>
      <c r="AB70" s="61" t="n">
        <f aca="false">IF(AND(mthbeg&lt;=A70,mthend&gt;=A70),1,0)</f>
        <v>1</v>
      </c>
      <c r="AC70" s="61" t="n">
        <f aca="false">W70*AB70</f>
        <v>31</v>
      </c>
      <c r="AD70" s="121" t="n">
        <f aca="false">$D70*E70</f>
        <v>14007396.4214582</v>
      </c>
      <c r="AE70" s="121" t="n">
        <f aca="false">$D70*F70</f>
        <v>0</v>
      </c>
      <c r="AF70" s="121" t="n">
        <f aca="false">$D70*G70</f>
        <v>14007396.4214582</v>
      </c>
      <c r="AG70" s="121" t="n">
        <f aca="false">$D70*H70</f>
        <v>0</v>
      </c>
      <c r="AH70" s="121" t="n">
        <f aca="false">$D70*I70</f>
        <v>0</v>
      </c>
      <c r="AI70" s="121" t="n">
        <f aca="false">$D70*J70</f>
        <v>0</v>
      </c>
      <c r="AJ70" s="121" t="n">
        <f aca="false">$D70*K70</f>
        <v>0</v>
      </c>
      <c r="AK70" s="121" t="n">
        <f aca="false">$D70*L70</f>
        <v>0</v>
      </c>
      <c r="AL70" s="121" t="n">
        <f aca="false">$D70*M70</f>
        <v>0</v>
      </c>
      <c r="AM70" s="139"/>
      <c r="AO70" s="75" t="e">
        <f aca="false">EURO(N70,O70,Z70,Z70,R70,U70,0,0)</f>
        <v>#NAME?</v>
      </c>
      <c r="AP70" s="138" t="e">
        <f aca="false">AO70*C70</f>
        <v>#NAME?</v>
      </c>
      <c r="AQ70" s="60" t="e">
        <f aca="false">-EURO(N70,O70,Z70,Z70,R70,U70,0,1)</f>
        <v>#NAME?</v>
      </c>
    </row>
    <row r="71" customFormat="false" ht="12.75" hidden="false" customHeight="false" outlineLevel="0" collapsed="false">
      <c r="A71" s="127" t="n">
        <f aca="false">EDATE(A70,1)</f>
        <v>42036</v>
      </c>
      <c r="B71" s="128" t="n">
        <f aca="false">B70</f>
        <v>205479</v>
      </c>
      <c r="C71" s="116" t="n">
        <f aca="false">IF(AB71=0,0,IF(AND(AB71=1,$H$3=1),B71*W71,IF($H$3=2,B71,"N/A")))</f>
        <v>5753412</v>
      </c>
      <c r="D71" s="116" t="n">
        <f aca="false">C71*AA71</f>
        <v>2414054.13092418</v>
      </c>
      <c r="E71" s="129" t="n">
        <f aca="false">VLOOKUP($A71,[1]!CurveTable,MATCH($E$4,[1]!CurveType,0))</f>
        <v>5.09</v>
      </c>
      <c r="F71" s="130"/>
      <c r="G71" s="131" t="n">
        <f aca="false">E71</f>
        <v>5.09</v>
      </c>
      <c r="H71" s="129" t="n">
        <f aca="false">VLOOKUP($A71,[1]!CurveTable,MATCH($H$4,[1]!CurveType,0))</f>
        <v>0</v>
      </c>
      <c r="I71" s="131"/>
      <c r="J71" s="131" t="n">
        <f aca="false">H71</f>
        <v>0</v>
      </c>
      <c r="K71" s="129"/>
      <c r="L71" s="131"/>
      <c r="M71" s="131"/>
      <c r="N71" s="131" t="n">
        <f aca="false">G71+J71+M71+$N$7</f>
        <v>4.8</v>
      </c>
      <c r="O71" s="131" t="n">
        <f aca="false">O70</f>
        <v>3</v>
      </c>
      <c r="P71" s="131"/>
      <c r="Q71" s="129" t="n">
        <f aca="false">VLOOKUP($A71,[1]!CurveTable,MATCH($Q$4,[1]!CurveType,0))</f>
        <v>0.17</v>
      </c>
      <c r="R71" s="129" t="n">
        <f aca="false">Q71+Summary!C$25</f>
        <v>0.17</v>
      </c>
      <c r="S71" s="129"/>
      <c r="T71" s="132" t="n">
        <f aca="false">X71</f>
        <v>42036</v>
      </c>
      <c r="U71" s="133" t="n">
        <f aca="false">T71-$C$3</f>
        <v>5031</v>
      </c>
      <c r="W71" s="61" t="n">
        <f aca="false">A72-A71</f>
        <v>28</v>
      </c>
      <c r="X71" s="135" t="n">
        <f aca="false">CHOOSE(F$3,A72+24,A71)</f>
        <v>42036</v>
      </c>
      <c r="Y71" s="61" t="n">
        <f aca="false">X71-C$3</f>
        <v>5031</v>
      </c>
      <c r="Z71" s="136" t="n">
        <f aca="false">VLOOKUP($A71,[1]!CurveTable,MATCH($Z$4,[1]!CurveType,0))</f>
        <v>0.0640563596768673</v>
      </c>
      <c r="AA71" s="137" t="n">
        <f aca="false">1/(1+CHOOSE(F$3,(Z72+($K$3/10000))/2,(Z71+($K$3/10000))/2))^(2*Y71/365.25)</f>
        <v>0.419586522036694</v>
      </c>
      <c r="AB71" s="61" t="n">
        <f aca="false">IF(AND(mthbeg&lt;=A71,mthend&gt;=A71),1,0)</f>
        <v>1</v>
      </c>
      <c r="AC71" s="61" t="n">
        <f aca="false">W71*AB71</f>
        <v>28</v>
      </c>
      <c r="AD71" s="121" t="n">
        <f aca="false">$D71*E71</f>
        <v>12287535.5264041</v>
      </c>
      <c r="AE71" s="121" t="n">
        <f aca="false">$D71*F71</f>
        <v>0</v>
      </c>
      <c r="AF71" s="121" t="n">
        <f aca="false">$D71*G71</f>
        <v>12287535.5264041</v>
      </c>
      <c r="AG71" s="121" t="n">
        <f aca="false">$D71*H71</f>
        <v>0</v>
      </c>
      <c r="AH71" s="121" t="n">
        <f aca="false">$D71*I71</f>
        <v>0</v>
      </c>
      <c r="AI71" s="121" t="n">
        <f aca="false">$D71*J71</f>
        <v>0</v>
      </c>
      <c r="AJ71" s="121" t="n">
        <f aca="false">$D71*K71</f>
        <v>0</v>
      </c>
      <c r="AK71" s="121" t="n">
        <f aca="false">$D71*L71</f>
        <v>0</v>
      </c>
      <c r="AL71" s="121" t="n">
        <f aca="false">$D71*M71</f>
        <v>0</v>
      </c>
      <c r="AM71" s="139"/>
      <c r="AO71" s="75" t="e">
        <f aca="false">EURO(N71,O71,Z71,Z71,R71,U71,0,0)</f>
        <v>#NAME?</v>
      </c>
      <c r="AP71" s="138" t="e">
        <f aca="false">AO71*C71</f>
        <v>#NAME?</v>
      </c>
      <c r="AQ71" s="60" t="e">
        <f aca="false">-EURO(N71,O71,Z71,Z71,R71,U71,0,1)</f>
        <v>#NAME?</v>
      </c>
    </row>
    <row r="72" customFormat="false" ht="12.75" hidden="false" customHeight="false" outlineLevel="0" collapsed="false">
      <c r="A72" s="127" t="n">
        <f aca="false">EDATE(A71,1)</f>
        <v>42064</v>
      </c>
      <c r="B72" s="128" t="n">
        <f aca="false">B71</f>
        <v>205479</v>
      </c>
      <c r="C72" s="116" t="n">
        <f aca="false">IF(AB72=0,0,IF(AND(AB72=1,$H$3=1),B72*W72,IF($H$3=2,B72,"N/A")))</f>
        <v>6369849</v>
      </c>
      <c r="D72" s="116" t="n">
        <f aca="false">C72*AA72</f>
        <v>2658444.796874</v>
      </c>
      <c r="E72" s="129" t="n">
        <f aca="false">VLOOKUP($A72,[1]!CurveTable,MATCH($E$4,[1]!CurveType,0))</f>
        <v>4.951</v>
      </c>
      <c r="F72" s="130"/>
      <c r="G72" s="131" t="n">
        <f aca="false">E72</f>
        <v>4.951</v>
      </c>
      <c r="H72" s="129" t="n">
        <f aca="false">VLOOKUP($A72,[1]!CurveTable,MATCH($H$4,[1]!CurveType,0))</f>
        <v>0</v>
      </c>
      <c r="I72" s="131"/>
      <c r="J72" s="131" t="n">
        <f aca="false">H72</f>
        <v>0</v>
      </c>
      <c r="K72" s="129"/>
      <c r="L72" s="131"/>
      <c r="M72" s="131"/>
      <c r="N72" s="131" t="n">
        <f aca="false">G72+J72+M72+$N$7</f>
        <v>4.661</v>
      </c>
      <c r="O72" s="131" t="n">
        <f aca="false">O71</f>
        <v>3</v>
      </c>
      <c r="P72" s="131"/>
      <c r="Q72" s="129" t="n">
        <f aca="false">VLOOKUP($A72,[1]!CurveTable,MATCH($Q$4,[1]!CurveType,0))</f>
        <v>0.17</v>
      </c>
      <c r="R72" s="129" t="n">
        <f aca="false">Q72+Summary!C$25</f>
        <v>0.17</v>
      </c>
      <c r="S72" s="129"/>
      <c r="T72" s="132" t="n">
        <f aca="false">X72</f>
        <v>42064</v>
      </c>
      <c r="U72" s="133" t="n">
        <f aca="false">T72-$C$3</f>
        <v>5059</v>
      </c>
      <c r="W72" s="61" t="n">
        <f aca="false">A73-A72</f>
        <v>31</v>
      </c>
      <c r="X72" s="135" t="n">
        <f aca="false">CHOOSE(F$3,A73+24,A72)</f>
        <v>42064</v>
      </c>
      <c r="Y72" s="61" t="n">
        <f aca="false">X72-C$3</f>
        <v>5059</v>
      </c>
      <c r="Z72" s="136" t="n">
        <f aca="false">VLOOKUP($A72,[1]!CurveTable,MATCH($Z$4,[1]!CurveType,0))</f>
        <v>0.064094762755714</v>
      </c>
      <c r="AA72" s="137" t="n">
        <f aca="false">1/(1+CHOOSE(F$3,(Z73+($K$3/10000))/2,(Z72+($K$3/10000))/2))^(2*Y72/365.25)</f>
        <v>0.417348165847259</v>
      </c>
      <c r="AB72" s="61" t="n">
        <f aca="false">IF(AND(mthbeg&lt;=A72,mthend&gt;=A72),1,0)</f>
        <v>1</v>
      </c>
      <c r="AC72" s="61" t="n">
        <f aca="false">W72*AB72</f>
        <v>31</v>
      </c>
      <c r="AD72" s="121" t="n">
        <f aca="false">$D72*E72</f>
        <v>13161960.1893232</v>
      </c>
      <c r="AE72" s="121" t="n">
        <f aca="false">$D72*F72</f>
        <v>0</v>
      </c>
      <c r="AF72" s="121" t="n">
        <f aca="false">$D72*G72</f>
        <v>13161960.1893232</v>
      </c>
      <c r="AG72" s="121" t="n">
        <f aca="false">$D72*H72</f>
        <v>0</v>
      </c>
      <c r="AH72" s="121" t="n">
        <f aca="false">$D72*I72</f>
        <v>0</v>
      </c>
      <c r="AI72" s="121" t="n">
        <f aca="false">$D72*J72</f>
        <v>0</v>
      </c>
      <c r="AJ72" s="121" t="n">
        <f aca="false">$D72*K72</f>
        <v>0</v>
      </c>
      <c r="AK72" s="121" t="n">
        <f aca="false">$D72*L72</f>
        <v>0</v>
      </c>
      <c r="AL72" s="121" t="n">
        <f aca="false">$D72*M72</f>
        <v>0</v>
      </c>
      <c r="AM72" s="139"/>
      <c r="AO72" s="75" t="e">
        <f aca="false">EURO(N72,O72,Z72,Z72,R72,U72,0,0)</f>
        <v>#NAME?</v>
      </c>
      <c r="AP72" s="138" t="e">
        <f aca="false">AO72*C72</f>
        <v>#NAME?</v>
      </c>
      <c r="AQ72" s="60" t="e">
        <f aca="false">-EURO(N72,O72,Z72,Z72,R72,U72,0,1)</f>
        <v>#NAME?</v>
      </c>
    </row>
    <row r="73" customFormat="false" ht="12.75" hidden="false" customHeight="false" outlineLevel="0" collapsed="false">
      <c r="A73" s="127" t="n">
        <f aca="false">EDATE(A72,1)</f>
        <v>42095</v>
      </c>
      <c r="B73" s="128" t="n">
        <f aca="false">B72</f>
        <v>205479</v>
      </c>
      <c r="C73" s="116" t="n">
        <f aca="false">IF(AB73=0,0,IF(AND(AB73=1,$H$3=1),B73*W73,IF($H$3=2,B73,"N/A")))</f>
        <v>6164370</v>
      </c>
      <c r="D73" s="116" t="n">
        <f aca="false">C73*AA73</f>
        <v>2557480.94747291</v>
      </c>
      <c r="E73" s="129" t="n">
        <f aca="false">VLOOKUP($A73,[1]!CurveTable,MATCH($E$4,[1]!CurveType,0))</f>
        <v>4.781</v>
      </c>
      <c r="F73" s="130"/>
      <c r="G73" s="131" t="n">
        <f aca="false">E73</f>
        <v>4.781</v>
      </c>
      <c r="H73" s="129" t="n">
        <f aca="false">VLOOKUP($A73,[1]!CurveTable,MATCH($H$4,[1]!CurveType,0))</f>
        <v>0</v>
      </c>
      <c r="I73" s="131"/>
      <c r="J73" s="131" t="n">
        <f aca="false">H73</f>
        <v>0</v>
      </c>
      <c r="K73" s="129"/>
      <c r="L73" s="131"/>
      <c r="M73" s="131"/>
      <c r="N73" s="131" t="n">
        <f aca="false">G73+J73+M73+$N$7</f>
        <v>4.491</v>
      </c>
      <c r="O73" s="131" t="n">
        <f aca="false">O72</f>
        <v>3</v>
      </c>
      <c r="P73" s="131"/>
      <c r="Q73" s="129" t="n">
        <f aca="false">VLOOKUP($A73,[1]!CurveTable,MATCH($Q$4,[1]!CurveType,0))</f>
        <v>0.17</v>
      </c>
      <c r="R73" s="129" t="n">
        <f aca="false">Q73+Summary!C$25</f>
        <v>0.17</v>
      </c>
      <c r="S73" s="129"/>
      <c r="T73" s="132" t="n">
        <f aca="false">X73</f>
        <v>42095</v>
      </c>
      <c r="U73" s="133" t="n">
        <f aca="false">T73-$C$3</f>
        <v>5090</v>
      </c>
      <c r="W73" s="61" t="n">
        <f aca="false">A74-A73</f>
        <v>30</v>
      </c>
      <c r="X73" s="135" t="n">
        <f aca="false">CHOOSE(F$3,A74+24,A73)</f>
        <v>42095</v>
      </c>
      <c r="Y73" s="61" t="n">
        <f aca="false">X73-C$3</f>
        <v>5090</v>
      </c>
      <c r="Z73" s="136" t="n">
        <f aca="false">VLOOKUP($A73,[1]!CurveTable,MATCH($Z$4,[1]!CurveType,0))</f>
        <v>0.0641372804507214</v>
      </c>
      <c r="AA73" s="137" t="n">
        <f aca="false">1/(1+CHOOSE(F$3,(Z74+($K$3/10000))/2,(Z73+($K$3/10000))/2))^(2*Y73/365.25)</f>
        <v>0.414881155328592</v>
      </c>
      <c r="AB73" s="61" t="n">
        <f aca="false">IF(AND(mthbeg&lt;=A73,mthend&gt;=A73),1,0)</f>
        <v>1</v>
      </c>
      <c r="AC73" s="61" t="n">
        <f aca="false">W73*AB73</f>
        <v>30</v>
      </c>
      <c r="AD73" s="121" t="n">
        <f aca="false">$D73*E73</f>
        <v>12227316.409868</v>
      </c>
      <c r="AE73" s="121" t="n">
        <f aca="false">$D73*F73</f>
        <v>0</v>
      </c>
      <c r="AF73" s="121" t="n">
        <f aca="false">$D73*G73</f>
        <v>12227316.409868</v>
      </c>
      <c r="AG73" s="121" t="n">
        <f aca="false">$D73*H73</f>
        <v>0</v>
      </c>
      <c r="AH73" s="121" t="n">
        <f aca="false">$D73*I73</f>
        <v>0</v>
      </c>
      <c r="AI73" s="121" t="n">
        <f aca="false">$D73*J73</f>
        <v>0</v>
      </c>
      <c r="AJ73" s="121" t="n">
        <f aca="false">$D73*K73</f>
        <v>0</v>
      </c>
      <c r="AK73" s="121" t="n">
        <f aca="false">$D73*L73</f>
        <v>0</v>
      </c>
      <c r="AL73" s="121" t="n">
        <f aca="false">$D73*M73</f>
        <v>0</v>
      </c>
      <c r="AM73" s="139"/>
      <c r="AO73" s="75" t="e">
        <f aca="false">EURO(N73,O73,Z73,Z73,R73,U73,0,0)</f>
        <v>#NAME?</v>
      </c>
      <c r="AP73" s="138" t="e">
        <f aca="false">AO73*C73</f>
        <v>#NAME?</v>
      </c>
      <c r="AQ73" s="60" t="e">
        <f aca="false">-EURO(N73,O73,Z73,Z73,R73,U73,0,1)</f>
        <v>#NAME?</v>
      </c>
    </row>
    <row r="74" customFormat="false" ht="12.75" hidden="false" customHeight="false" outlineLevel="0" collapsed="false">
      <c r="A74" s="127" t="n">
        <f aca="false">EDATE(A73,1)</f>
        <v>42125</v>
      </c>
      <c r="B74" s="128" t="n">
        <f aca="false">B73</f>
        <v>205479</v>
      </c>
      <c r="C74" s="116" t="n">
        <f aca="false">IF(AB74=0,0,IF(AND(AB74=1,$H$3=1),B74*W74,IF($H$3=2,B74,"N/A")))</f>
        <v>6369849</v>
      </c>
      <c r="D74" s="116" t="n">
        <f aca="false">C74*AA74</f>
        <v>2627593.73110417</v>
      </c>
      <c r="E74" s="129" t="n">
        <f aca="false">VLOOKUP($A74,[1]!CurveTable,MATCH($E$4,[1]!CurveType,0))</f>
        <v>4.84</v>
      </c>
      <c r="F74" s="130"/>
      <c r="G74" s="131" t="n">
        <f aca="false">E74</f>
        <v>4.84</v>
      </c>
      <c r="H74" s="129" t="n">
        <f aca="false">VLOOKUP($A74,[1]!CurveTable,MATCH($H$4,[1]!CurveType,0))</f>
        <v>0</v>
      </c>
      <c r="I74" s="131"/>
      <c r="J74" s="131" t="n">
        <f aca="false">H74</f>
        <v>0</v>
      </c>
      <c r="K74" s="129"/>
      <c r="L74" s="131"/>
      <c r="M74" s="131"/>
      <c r="N74" s="131" t="n">
        <f aca="false">G74+J74+M74+$N$7</f>
        <v>4.55</v>
      </c>
      <c r="O74" s="131" t="n">
        <f aca="false">O73</f>
        <v>3</v>
      </c>
      <c r="P74" s="131"/>
      <c r="Q74" s="129" t="n">
        <f aca="false">VLOOKUP($A74,[1]!CurveTable,MATCH($Q$4,[1]!CurveType,0))</f>
        <v>0.17</v>
      </c>
      <c r="R74" s="129" t="n">
        <f aca="false">Q74+Summary!C$25</f>
        <v>0.17</v>
      </c>
      <c r="S74" s="129"/>
      <c r="T74" s="132" t="n">
        <f aca="false">X74</f>
        <v>42125</v>
      </c>
      <c r="U74" s="133" t="n">
        <f aca="false">T74-$C$3</f>
        <v>5120</v>
      </c>
      <c r="W74" s="61" t="n">
        <f aca="false">A75-A74</f>
        <v>31</v>
      </c>
      <c r="X74" s="135" t="n">
        <f aca="false">CHOOSE(F$3,A75+24,A74)</f>
        <v>42125</v>
      </c>
      <c r="Y74" s="61" t="n">
        <f aca="false">X74-C$3</f>
        <v>5120</v>
      </c>
      <c r="Z74" s="136" t="n">
        <f aca="false">VLOOKUP($A74,[1]!CurveTable,MATCH($Z$4,[1]!CurveType,0))</f>
        <v>0.064178426607751</v>
      </c>
      <c r="AA74" s="137" t="n">
        <f aca="false">1/(1+CHOOSE(F$3,(Z75+($K$3/10000))/2,(Z74+($K$3/10000))/2))^(2*Y74/365.25)</f>
        <v>0.412504869598035</v>
      </c>
      <c r="AB74" s="61" t="n">
        <f aca="false">IF(AND(mthbeg&lt;=A74,mthend&gt;=A74),1,0)</f>
        <v>1</v>
      </c>
      <c r="AC74" s="61" t="n">
        <f aca="false">W74*AB74</f>
        <v>31</v>
      </c>
      <c r="AD74" s="121" t="n">
        <f aca="false">$D74*E74</f>
        <v>12717553.6585442</v>
      </c>
      <c r="AE74" s="121" t="n">
        <f aca="false">$D74*F74</f>
        <v>0</v>
      </c>
      <c r="AF74" s="121" t="n">
        <f aca="false">$D74*G74</f>
        <v>12717553.6585442</v>
      </c>
      <c r="AG74" s="121" t="n">
        <f aca="false">$D74*H74</f>
        <v>0</v>
      </c>
      <c r="AH74" s="121" t="n">
        <f aca="false">$D74*I74</f>
        <v>0</v>
      </c>
      <c r="AI74" s="121" t="n">
        <f aca="false">$D74*J74</f>
        <v>0</v>
      </c>
      <c r="AJ74" s="121" t="n">
        <f aca="false">$D74*K74</f>
        <v>0</v>
      </c>
      <c r="AK74" s="121" t="n">
        <f aca="false">$D74*L74</f>
        <v>0</v>
      </c>
      <c r="AL74" s="121" t="n">
        <f aca="false">$D74*M74</f>
        <v>0</v>
      </c>
      <c r="AM74" s="139"/>
      <c r="AO74" s="75" t="e">
        <f aca="false">EURO(N74,O74,Z74,Z74,R74,U74,0,0)</f>
        <v>#NAME?</v>
      </c>
      <c r="AP74" s="138" t="e">
        <f aca="false">AO74*C74</f>
        <v>#NAME?</v>
      </c>
      <c r="AQ74" s="60" t="e">
        <f aca="false">-EURO(N74,O74,Z74,Z74,R74,U74,0,1)</f>
        <v>#NAME?</v>
      </c>
    </row>
    <row r="75" customFormat="false" ht="12.75" hidden="false" customHeight="false" outlineLevel="0" collapsed="false">
      <c r="A75" s="127" t="n">
        <f aca="false">EDATE(A74,1)</f>
        <v>42156</v>
      </c>
      <c r="B75" s="128" t="n">
        <f aca="false">B74</f>
        <v>205479</v>
      </c>
      <c r="C75" s="116" t="n">
        <f aca="false">IF(AB75=0,0,IF(AND(AB75=1,$H$3=1),B75*W75,IF($H$3=2,B75,"N/A")))</f>
        <v>6164370</v>
      </c>
      <c r="D75" s="116" t="n">
        <f aca="false">C75*AA75</f>
        <v>2527766.83611015</v>
      </c>
      <c r="E75" s="129" t="n">
        <f aca="false">VLOOKUP($A75,[1]!CurveTable,MATCH($E$4,[1]!CurveType,0))</f>
        <v>4.88</v>
      </c>
      <c r="F75" s="130"/>
      <c r="G75" s="131" t="n">
        <f aca="false">E75</f>
        <v>4.88</v>
      </c>
      <c r="H75" s="129" t="n">
        <f aca="false">VLOOKUP($A75,[1]!CurveTable,MATCH($H$4,[1]!CurveType,0))</f>
        <v>0</v>
      </c>
      <c r="I75" s="131"/>
      <c r="J75" s="131" t="n">
        <f aca="false">H75</f>
        <v>0</v>
      </c>
      <c r="K75" s="129"/>
      <c r="L75" s="131"/>
      <c r="M75" s="131"/>
      <c r="N75" s="131" t="n">
        <f aca="false">G75+J75+M75+$N$7</f>
        <v>4.59</v>
      </c>
      <c r="O75" s="131" t="n">
        <f aca="false">O74</f>
        <v>3</v>
      </c>
      <c r="P75" s="131"/>
      <c r="Q75" s="129" t="n">
        <f aca="false">VLOOKUP($A75,[1]!CurveTable,MATCH($Q$4,[1]!CurveType,0))</f>
        <v>0.17</v>
      </c>
      <c r="R75" s="129" t="n">
        <f aca="false">Q75+Summary!C$25</f>
        <v>0.17</v>
      </c>
      <c r="S75" s="129"/>
      <c r="T75" s="132" t="n">
        <f aca="false">X75</f>
        <v>42156</v>
      </c>
      <c r="U75" s="133" t="n">
        <f aca="false">T75-$C$3</f>
        <v>5151</v>
      </c>
      <c r="W75" s="61" t="n">
        <f aca="false">A76-A75</f>
        <v>30</v>
      </c>
      <c r="X75" s="135" t="n">
        <f aca="false">CHOOSE(F$3,A76+24,A75)</f>
        <v>42156</v>
      </c>
      <c r="Y75" s="61" t="n">
        <f aca="false">X75-C$3</f>
        <v>5151</v>
      </c>
      <c r="Z75" s="136" t="n">
        <f aca="false">VLOOKUP($A75,[1]!CurveTable,MATCH($Z$4,[1]!CurveType,0))</f>
        <v>0.0642209443039383</v>
      </c>
      <c r="AA75" s="137" t="n">
        <f aca="false">1/(1+CHOOSE(F$3,(Z76+($K$3/10000))/2,(Z75+($K$3/10000))/2))^(2*Y75/365.25)</f>
        <v>0.410060855547306</v>
      </c>
      <c r="AB75" s="61" t="n">
        <f aca="false">IF(AND(mthbeg&lt;=A75,mthend&gt;=A75),1,0)</f>
        <v>1</v>
      </c>
      <c r="AC75" s="61" t="n">
        <f aca="false">W75*AB75</f>
        <v>30</v>
      </c>
      <c r="AD75" s="121" t="n">
        <f aca="false">$D75*E75</f>
        <v>12335502.1602175</v>
      </c>
      <c r="AE75" s="121" t="n">
        <f aca="false">$D75*F75</f>
        <v>0</v>
      </c>
      <c r="AF75" s="121" t="n">
        <f aca="false">$D75*G75</f>
        <v>12335502.1602175</v>
      </c>
      <c r="AG75" s="121" t="n">
        <f aca="false">$D75*H75</f>
        <v>0</v>
      </c>
      <c r="AH75" s="121" t="n">
        <f aca="false">$D75*I75</f>
        <v>0</v>
      </c>
      <c r="AI75" s="121" t="n">
        <f aca="false">$D75*J75</f>
        <v>0</v>
      </c>
      <c r="AJ75" s="121" t="n">
        <f aca="false">$D75*K75</f>
        <v>0</v>
      </c>
      <c r="AK75" s="121" t="n">
        <f aca="false">$D75*L75</f>
        <v>0</v>
      </c>
      <c r="AL75" s="121" t="n">
        <f aca="false">$D75*M75</f>
        <v>0</v>
      </c>
      <c r="AM75" s="139"/>
      <c r="AO75" s="75" t="e">
        <f aca="false">EURO(N75,O75,Z75,Z75,R75,U75,0,0)</f>
        <v>#NAME?</v>
      </c>
      <c r="AP75" s="138" t="e">
        <f aca="false">AO75*C75</f>
        <v>#NAME?</v>
      </c>
      <c r="AQ75" s="60" t="e">
        <f aca="false">-EURO(N75,O75,Z75,Z75,R75,U75,0,1)</f>
        <v>#NAME?</v>
      </c>
    </row>
    <row r="76" customFormat="false" ht="12.75" hidden="false" customHeight="false" outlineLevel="0" collapsed="false">
      <c r="A76" s="127" t="n">
        <f aca="false">EDATE(A75,1)</f>
        <v>42186</v>
      </c>
      <c r="B76" s="128" t="n">
        <f aca="false">B75</f>
        <v>205479</v>
      </c>
      <c r="C76" s="116" t="n">
        <f aca="false">IF(AB76=0,0,IF(AND(AB76=1,$H$3=1),B76*W76,IF($H$3=2,B76,"N/A")))</f>
        <v>6369849</v>
      </c>
      <c r="D76" s="116" t="n">
        <f aca="false">C76*AA76</f>
        <v>2597030.4902481</v>
      </c>
      <c r="E76" s="129" t="n">
        <f aca="false">VLOOKUP($A76,[1]!CurveTable,MATCH($E$4,[1]!CurveType,0))</f>
        <v>4.925</v>
      </c>
      <c r="F76" s="130"/>
      <c r="G76" s="131" t="n">
        <f aca="false">E76</f>
        <v>4.925</v>
      </c>
      <c r="H76" s="129" t="n">
        <f aca="false">VLOOKUP($A76,[1]!CurveTable,MATCH($H$4,[1]!CurveType,0))</f>
        <v>0</v>
      </c>
      <c r="I76" s="131"/>
      <c r="J76" s="131" t="n">
        <f aca="false">H76</f>
        <v>0</v>
      </c>
      <c r="K76" s="129"/>
      <c r="L76" s="131"/>
      <c r="M76" s="131"/>
      <c r="N76" s="131" t="n">
        <f aca="false">G76+J76+M76+$N$7</f>
        <v>4.635</v>
      </c>
      <c r="O76" s="131" t="n">
        <f aca="false">O75</f>
        <v>3</v>
      </c>
      <c r="P76" s="131"/>
      <c r="Q76" s="129" t="n">
        <f aca="false">VLOOKUP($A76,[1]!CurveTable,MATCH($Q$4,[1]!CurveType,0))</f>
        <v>0.17</v>
      </c>
      <c r="R76" s="129" t="n">
        <f aca="false">Q76+Summary!C$25</f>
        <v>0.17</v>
      </c>
      <c r="S76" s="129"/>
      <c r="T76" s="132" t="n">
        <f aca="false">X76</f>
        <v>42186</v>
      </c>
      <c r="U76" s="133" t="n">
        <f aca="false">T76-$C$3</f>
        <v>5181</v>
      </c>
      <c r="W76" s="61" t="n">
        <f aca="false">A77-A76</f>
        <v>31</v>
      </c>
      <c r="X76" s="135" t="n">
        <f aca="false">CHOOSE(F$3,A77+24,A76)</f>
        <v>42186</v>
      </c>
      <c r="Y76" s="61" t="n">
        <f aca="false">X76-C$3</f>
        <v>5181</v>
      </c>
      <c r="Z76" s="136" t="n">
        <f aca="false">VLOOKUP($A76,[1]!CurveTable,MATCH($Z$4,[1]!CurveType,0))</f>
        <v>0.0642620904621092</v>
      </c>
      <c r="AA76" s="137" t="n">
        <f aca="false">1/(1+CHOOSE(F$3,(Z77+($K$3/10000))/2,(Z76+($K$3/10000))/2))^(2*Y76/365.25)</f>
        <v>0.407706758864786</v>
      </c>
      <c r="AB76" s="61" t="n">
        <f aca="false">IF(AND(mthbeg&lt;=A76,mthend&gt;=A76),1,0)</f>
        <v>1</v>
      </c>
      <c r="AC76" s="61" t="n">
        <f aca="false">W76*AB76</f>
        <v>31</v>
      </c>
      <c r="AD76" s="121" t="n">
        <f aca="false">$D76*E76</f>
        <v>12790375.1644719</v>
      </c>
      <c r="AE76" s="121" t="n">
        <f aca="false">$D76*F76</f>
        <v>0</v>
      </c>
      <c r="AF76" s="121" t="n">
        <f aca="false">$D76*G76</f>
        <v>12790375.1644719</v>
      </c>
      <c r="AG76" s="121" t="n">
        <f aca="false">$D76*H76</f>
        <v>0</v>
      </c>
      <c r="AH76" s="121" t="n">
        <f aca="false">$D76*I76</f>
        <v>0</v>
      </c>
      <c r="AI76" s="121" t="n">
        <f aca="false">$D76*J76</f>
        <v>0</v>
      </c>
      <c r="AJ76" s="121" t="n">
        <f aca="false">$D76*K76</f>
        <v>0</v>
      </c>
      <c r="AK76" s="121" t="n">
        <f aca="false">$D76*L76</f>
        <v>0</v>
      </c>
      <c r="AL76" s="121" t="n">
        <f aca="false">$D76*M76</f>
        <v>0</v>
      </c>
      <c r="AM76" s="139"/>
      <c r="AO76" s="75" t="e">
        <f aca="false">EURO(N76,O76,Z76,Z76,R76,U76,0,0)</f>
        <v>#NAME?</v>
      </c>
      <c r="AP76" s="138" t="e">
        <f aca="false">AO76*C76</f>
        <v>#NAME?</v>
      </c>
      <c r="AQ76" s="60" t="e">
        <f aca="false">-EURO(N76,O76,Z76,Z76,R76,U76,0,1)</f>
        <v>#NAME?</v>
      </c>
    </row>
    <row r="77" customFormat="false" ht="12.75" hidden="false" customHeight="false" outlineLevel="0" collapsed="false">
      <c r="A77" s="127" t="n">
        <f aca="false">EDATE(A76,1)</f>
        <v>42217</v>
      </c>
      <c r="B77" s="128" t="n">
        <f aca="false">B76</f>
        <v>205479</v>
      </c>
      <c r="C77" s="116" t="n">
        <f aca="false">IF(AB77=0,0,IF(AND(AB77=1,$H$3=1),B77*W77,IF($H$3=2,B77,"N/A")))</f>
        <v>6369849</v>
      </c>
      <c r="D77" s="116" t="n">
        <f aca="false">C77*AA77</f>
        <v>2581608.10980259</v>
      </c>
      <c r="E77" s="129" t="n">
        <f aca="false">VLOOKUP($A77,[1]!CurveTable,MATCH($E$4,[1]!CurveType,0))</f>
        <v>4.96</v>
      </c>
      <c r="F77" s="130"/>
      <c r="G77" s="131" t="n">
        <f aca="false">E77</f>
        <v>4.96</v>
      </c>
      <c r="H77" s="129" t="n">
        <f aca="false">VLOOKUP($A77,[1]!CurveTable,MATCH($H$4,[1]!CurveType,0))</f>
        <v>0</v>
      </c>
      <c r="I77" s="131"/>
      <c r="J77" s="131" t="n">
        <f aca="false">H77</f>
        <v>0</v>
      </c>
      <c r="K77" s="129"/>
      <c r="L77" s="131"/>
      <c r="M77" s="131"/>
      <c r="N77" s="131" t="n">
        <f aca="false">G77+J77+M77+$N$7</f>
        <v>4.67</v>
      </c>
      <c r="O77" s="131" t="n">
        <f aca="false">O76</f>
        <v>3</v>
      </c>
      <c r="P77" s="131"/>
      <c r="Q77" s="129" t="n">
        <f aca="false">VLOOKUP($A77,[1]!CurveTable,MATCH($Q$4,[1]!CurveType,0))</f>
        <v>0.17</v>
      </c>
      <c r="R77" s="129" t="n">
        <f aca="false">Q77+Summary!C$25</f>
        <v>0.17</v>
      </c>
      <c r="S77" s="129"/>
      <c r="T77" s="132" t="n">
        <f aca="false">X77</f>
        <v>42217</v>
      </c>
      <c r="U77" s="133" t="n">
        <f aca="false">T77-$C$3</f>
        <v>5212</v>
      </c>
      <c r="W77" s="61" t="n">
        <f aca="false">A78-A77</f>
        <v>31</v>
      </c>
      <c r="X77" s="135" t="n">
        <f aca="false">CHOOSE(F$3,A78+24,A77)</f>
        <v>42217</v>
      </c>
      <c r="Y77" s="61" t="n">
        <f aca="false">X77-C$3</f>
        <v>5212</v>
      </c>
      <c r="Z77" s="136" t="n">
        <f aca="false">VLOOKUP($A77,[1]!CurveTable,MATCH($Z$4,[1]!CurveType,0))</f>
        <v>0.064304608159476</v>
      </c>
      <c r="AA77" s="137" t="n">
        <f aca="false">1/(1+CHOOSE(F$3,(Z78+($K$3/10000))/2,(Z77+($K$3/10000))/2))^(2*Y77/365.25)</f>
        <v>0.405285605640352</v>
      </c>
      <c r="AB77" s="61" t="n">
        <f aca="false">IF(AND(mthbeg&lt;=A77,mthend&gt;=A77),1,0)</f>
        <v>1</v>
      </c>
      <c r="AC77" s="61" t="n">
        <f aca="false">W77*AB77</f>
        <v>31</v>
      </c>
      <c r="AD77" s="121" t="n">
        <f aca="false">$D77*E77</f>
        <v>12804776.2246208</v>
      </c>
      <c r="AE77" s="121" t="n">
        <f aca="false">$D77*F77</f>
        <v>0</v>
      </c>
      <c r="AF77" s="121" t="n">
        <f aca="false">$D77*G77</f>
        <v>12804776.2246208</v>
      </c>
      <c r="AG77" s="121" t="n">
        <f aca="false">$D77*H77</f>
        <v>0</v>
      </c>
      <c r="AH77" s="121" t="n">
        <f aca="false">$D77*I77</f>
        <v>0</v>
      </c>
      <c r="AI77" s="121" t="n">
        <f aca="false">$D77*J77</f>
        <v>0</v>
      </c>
      <c r="AJ77" s="121" t="n">
        <f aca="false">$D77*K77</f>
        <v>0</v>
      </c>
      <c r="AK77" s="121" t="n">
        <f aca="false">$D77*L77</f>
        <v>0</v>
      </c>
      <c r="AL77" s="121" t="n">
        <f aca="false">$D77*M77</f>
        <v>0</v>
      </c>
      <c r="AM77" s="139"/>
      <c r="AO77" s="75" t="e">
        <f aca="false">EURO(N77,O77,Z77,Z77,R77,U77,0,0)</f>
        <v>#NAME?</v>
      </c>
      <c r="AP77" s="138" t="e">
        <f aca="false">AO77*C77</f>
        <v>#NAME?</v>
      </c>
      <c r="AQ77" s="60" t="e">
        <f aca="false">-EURO(N77,O77,Z77,Z77,R77,U77,0,1)</f>
        <v>#NAME?</v>
      </c>
    </row>
    <row r="78" customFormat="false" ht="12.75" hidden="false" customHeight="false" outlineLevel="0" collapsed="false">
      <c r="A78" s="127" t="n">
        <f aca="false">EDATE(A77,1)</f>
        <v>42248</v>
      </c>
      <c r="B78" s="128" t="n">
        <f aca="false">B77</f>
        <v>205479</v>
      </c>
      <c r="C78" s="116" t="n">
        <f aca="false">IF(AB78=0,0,IF(AND(AB78=1,$H$3=1),B78*W78,IF($H$3=2,B78,"N/A")))</f>
        <v>6164370</v>
      </c>
      <c r="D78" s="116" t="n">
        <f aca="false">C78*AA78</f>
        <v>2483476.83995211</v>
      </c>
      <c r="E78" s="129" t="n">
        <f aca="false">VLOOKUP($A78,[1]!CurveTable,MATCH($E$4,[1]!CurveType,0))</f>
        <v>4.965</v>
      </c>
      <c r="F78" s="130"/>
      <c r="G78" s="131" t="n">
        <f aca="false">E78</f>
        <v>4.965</v>
      </c>
      <c r="H78" s="129" t="n">
        <f aca="false">VLOOKUP($A78,[1]!CurveTable,MATCH($H$4,[1]!CurveType,0))</f>
        <v>0</v>
      </c>
      <c r="I78" s="131"/>
      <c r="J78" s="131" t="n">
        <f aca="false">H78</f>
        <v>0</v>
      </c>
      <c r="K78" s="129"/>
      <c r="L78" s="131"/>
      <c r="M78" s="131"/>
      <c r="N78" s="131" t="n">
        <f aca="false">G78+J78+M78+$N$7</f>
        <v>4.675</v>
      </c>
      <c r="O78" s="131" t="n">
        <f aca="false">O77</f>
        <v>3</v>
      </c>
      <c r="P78" s="131"/>
      <c r="Q78" s="129" t="n">
        <f aca="false">VLOOKUP($A78,[1]!CurveTable,MATCH($Q$4,[1]!CurveType,0))</f>
        <v>0.17</v>
      </c>
      <c r="R78" s="129" t="n">
        <f aca="false">Q78+Summary!C$25</f>
        <v>0.17</v>
      </c>
      <c r="S78" s="129"/>
      <c r="T78" s="132" t="n">
        <f aca="false">X78</f>
        <v>42248</v>
      </c>
      <c r="U78" s="133" t="n">
        <f aca="false">T78-$C$3</f>
        <v>5243</v>
      </c>
      <c r="W78" s="61" t="n">
        <f aca="false">A79-A78</f>
        <v>30</v>
      </c>
      <c r="X78" s="135" t="n">
        <f aca="false">CHOOSE(F$3,A79+24,A78)</f>
        <v>42248</v>
      </c>
      <c r="Y78" s="61" t="n">
        <f aca="false">X78-C$3</f>
        <v>5243</v>
      </c>
      <c r="Z78" s="136" t="n">
        <f aca="false">VLOOKUP($A78,[1]!CurveTable,MATCH($Z$4,[1]!CurveType,0))</f>
        <v>0.064347125857442</v>
      </c>
      <c r="AA78" s="137" t="n">
        <f aca="false">1/(1+CHOOSE(F$3,(Z79+($K$3/10000))/2,(Z78+($K$3/10000))/2))^(2*Y78/365.25)</f>
        <v>0.402876018141694</v>
      </c>
      <c r="AB78" s="61" t="n">
        <f aca="false">IF(AND(mthbeg&lt;=A78,mthend&gt;=A78),1,0)</f>
        <v>1</v>
      </c>
      <c r="AC78" s="61" t="n">
        <f aca="false">W78*AB78</f>
        <v>30</v>
      </c>
      <c r="AD78" s="121" t="n">
        <f aca="false">$D78*E78</f>
        <v>12330462.5103622</v>
      </c>
      <c r="AE78" s="121" t="n">
        <f aca="false">$D78*F78</f>
        <v>0</v>
      </c>
      <c r="AF78" s="121" t="n">
        <f aca="false">$D78*G78</f>
        <v>12330462.5103622</v>
      </c>
      <c r="AG78" s="121" t="n">
        <f aca="false">$D78*H78</f>
        <v>0</v>
      </c>
      <c r="AH78" s="121" t="n">
        <f aca="false">$D78*I78</f>
        <v>0</v>
      </c>
      <c r="AI78" s="121" t="n">
        <f aca="false">$D78*J78</f>
        <v>0</v>
      </c>
      <c r="AJ78" s="121" t="n">
        <f aca="false">$D78*K78</f>
        <v>0</v>
      </c>
      <c r="AK78" s="121" t="n">
        <f aca="false">$D78*L78</f>
        <v>0</v>
      </c>
      <c r="AL78" s="121" t="n">
        <f aca="false">$D78*M78</f>
        <v>0</v>
      </c>
      <c r="AM78" s="139"/>
      <c r="AO78" s="75" t="e">
        <f aca="false">EURO(N78,O78,Z78,Z78,R78,U78,0,0)</f>
        <v>#NAME?</v>
      </c>
      <c r="AP78" s="138" t="e">
        <f aca="false">AO78*C78</f>
        <v>#NAME?</v>
      </c>
      <c r="AQ78" s="60" t="e">
        <f aca="false">-EURO(N78,O78,Z78,Z78,R78,U78,0,1)</f>
        <v>#NAME?</v>
      </c>
    </row>
    <row r="79" customFormat="false" ht="12.75" hidden="false" customHeight="false" outlineLevel="0" collapsed="false">
      <c r="A79" s="127" t="n">
        <f aca="false">EDATE(A78,1)</f>
        <v>42278</v>
      </c>
      <c r="B79" s="128" t="n">
        <f aca="false">B78</f>
        <v>205479</v>
      </c>
      <c r="C79" s="116" t="n">
        <f aca="false">IF(AB79=0,0,IF(AND(AB79=1,$H$3=1),B79*W79,IF($H$3=2,B79,"N/A")))</f>
        <v>6369849</v>
      </c>
      <c r="D79" s="116" t="n">
        <f aca="false">C79*AA79</f>
        <v>2551475.74706831</v>
      </c>
      <c r="E79" s="129" t="n">
        <f aca="false">VLOOKUP($A79,[1]!CurveTable,MATCH($E$4,[1]!CurveType,0))</f>
        <v>4.995</v>
      </c>
      <c r="F79" s="130"/>
      <c r="G79" s="131" t="n">
        <f aca="false">E79</f>
        <v>4.995</v>
      </c>
      <c r="H79" s="129" t="n">
        <f aca="false">VLOOKUP($A79,[1]!CurveTable,MATCH($H$4,[1]!CurveType,0))</f>
        <v>0</v>
      </c>
      <c r="I79" s="131"/>
      <c r="J79" s="131" t="n">
        <f aca="false">H79</f>
        <v>0</v>
      </c>
      <c r="K79" s="129"/>
      <c r="L79" s="131"/>
      <c r="M79" s="131"/>
      <c r="N79" s="131" t="n">
        <f aca="false">G79+J79+M79+$N$7</f>
        <v>4.705</v>
      </c>
      <c r="O79" s="131" t="n">
        <f aca="false">O78</f>
        <v>3</v>
      </c>
      <c r="P79" s="131"/>
      <c r="Q79" s="129" t="n">
        <f aca="false">VLOOKUP($A79,[1]!CurveTable,MATCH($Q$4,[1]!CurveType,0))</f>
        <v>0.17</v>
      </c>
      <c r="R79" s="129" t="n">
        <f aca="false">Q79+Summary!C$25</f>
        <v>0.17</v>
      </c>
      <c r="S79" s="129"/>
      <c r="T79" s="132" t="n">
        <f aca="false">X79</f>
        <v>42278</v>
      </c>
      <c r="U79" s="133" t="n">
        <f aca="false">T79-$C$3</f>
        <v>5273</v>
      </c>
      <c r="W79" s="61" t="n">
        <f aca="false">A80-A79</f>
        <v>31</v>
      </c>
      <c r="X79" s="135" t="n">
        <f aca="false">CHOOSE(F$3,A80+24,A79)</f>
        <v>42278</v>
      </c>
      <c r="Y79" s="61" t="n">
        <f aca="false">X79-C$3</f>
        <v>5273</v>
      </c>
      <c r="Z79" s="136" t="n">
        <f aca="false">VLOOKUP($A79,[1]!CurveTable,MATCH($Z$4,[1]!CurveType,0))</f>
        <v>0.064388272017335</v>
      </c>
      <c r="AA79" s="137" t="n">
        <f aca="false">1/(1+CHOOSE(F$3,(Z80+($K$3/10000))/2,(Z79+($K$3/10000))/2))^(2*Y79/365.25)</f>
        <v>0.400555138287943</v>
      </c>
      <c r="AB79" s="61" t="n">
        <f aca="false">IF(AND(mthbeg&lt;=A79,mthend&gt;=A79),1,0)</f>
        <v>1</v>
      </c>
      <c r="AC79" s="61" t="n">
        <f aca="false">W79*AB79</f>
        <v>31</v>
      </c>
      <c r="AD79" s="121" t="n">
        <f aca="false">$D79*E79</f>
        <v>12744621.3566062</v>
      </c>
      <c r="AE79" s="121" t="n">
        <f aca="false">$D79*F79</f>
        <v>0</v>
      </c>
      <c r="AF79" s="121" t="n">
        <f aca="false">$D79*G79</f>
        <v>12744621.3566062</v>
      </c>
      <c r="AG79" s="121" t="n">
        <f aca="false">$D79*H79</f>
        <v>0</v>
      </c>
      <c r="AH79" s="121" t="n">
        <f aca="false">$D79*I79</f>
        <v>0</v>
      </c>
      <c r="AI79" s="121" t="n">
        <f aca="false">$D79*J79</f>
        <v>0</v>
      </c>
      <c r="AJ79" s="121" t="n">
        <f aca="false">$D79*K79</f>
        <v>0</v>
      </c>
      <c r="AK79" s="121" t="n">
        <f aca="false">$D79*L79</f>
        <v>0</v>
      </c>
      <c r="AL79" s="121" t="n">
        <f aca="false">$D79*M79</f>
        <v>0</v>
      </c>
      <c r="AM79" s="139"/>
      <c r="AO79" s="75" t="e">
        <f aca="false">EURO(N79,O79,Z79,Z79,R79,U79,0,0)</f>
        <v>#NAME?</v>
      </c>
      <c r="AP79" s="138" t="e">
        <f aca="false">AO79*C79</f>
        <v>#NAME?</v>
      </c>
      <c r="AQ79" s="60" t="e">
        <f aca="false">-EURO(N79,O79,Z79,Z79,R79,U79,0,1)</f>
        <v>#NAME?</v>
      </c>
    </row>
    <row r="80" customFormat="false" ht="12.75" hidden="false" customHeight="false" outlineLevel="0" collapsed="false">
      <c r="A80" s="127" t="n">
        <f aca="false">EDATE(A79,1)</f>
        <v>42309</v>
      </c>
      <c r="B80" s="128" t="n">
        <f aca="false">B79</f>
        <v>205479</v>
      </c>
      <c r="C80" s="116" t="n">
        <f aca="false">IF(AB80=0,0,IF(AND(AB80=1,$H$3=1),B80*W80,IF($H$3=2,B80,"N/A")))</f>
        <v>6164370</v>
      </c>
      <c r="D80" s="116" t="n">
        <f aca="false">C80*AA80</f>
        <v>2454456.14725469</v>
      </c>
      <c r="E80" s="129" t="n">
        <f aca="false">VLOOKUP($A80,[1]!CurveTable,MATCH($E$4,[1]!CurveType,0))</f>
        <v>5.105</v>
      </c>
      <c r="F80" s="130"/>
      <c r="G80" s="131" t="n">
        <f aca="false">E80</f>
        <v>5.105</v>
      </c>
      <c r="H80" s="129" t="n">
        <f aca="false">VLOOKUP($A80,[1]!CurveTable,MATCH($H$4,[1]!CurveType,0))</f>
        <v>0</v>
      </c>
      <c r="I80" s="131"/>
      <c r="J80" s="131" t="n">
        <f aca="false">H80</f>
        <v>0</v>
      </c>
      <c r="K80" s="129"/>
      <c r="L80" s="131"/>
      <c r="M80" s="131"/>
      <c r="N80" s="131" t="n">
        <f aca="false">G80+J80+M80+$N$7</f>
        <v>4.815</v>
      </c>
      <c r="O80" s="131" t="n">
        <f aca="false">O79</f>
        <v>3</v>
      </c>
      <c r="P80" s="131"/>
      <c r="Q80" s="129" t="n">
        <f aca="false">VLOOKUP($A80,[1]!CurveTable,MATCH($Q$4,[1]!CurveType,0))</f>
        <v>0.17</v>
      </c>
      <c r="R80" s="129" t="n">
        <f aca="false">Q80+Summary!C$25</f>
        <v>0.17</v>
      </c>
      <c r="S80" s="129"/>
      <c r="T80" s="132" t="n">
        <f aca="false">X80</f>
        <v>42309</v>
      </c>
      <c r="U80" s="133" t="n">
        <f aca="false">T80-$C$3</f>
        <v>5304</v>
      </c>
      <c r="W80" s="61" t="n">
        <f aca="false">A81-A80</f>
        <v>30</v>
      </c>
      <c r="X80" s="135" t="n">
        <f aca="false">CHOOSE(F$3,A81+24,A80)</f>
        <v>42309</v>
      </c>
      <c r="Y80" s="61" t="n">
        <f aca="false">X80-C$3</f>
        <v>5304</v>
      </c>
      <c r="Z80" s="136" t="n">
        <f aca="false">VLOOKUP($A80,[1]!CurveTable,MATCH($Z$4,[1]!CurveType,0))</f>
        <v>0.06443078971648</v>
      </c>
      <c r="AA80" s="137" t="n">
        <f aca="false">1/(1+CHOOSE(F$3,(Z81+($K$3/10000))/2,(Z80+($K$3/10000))/2))^(2*Y80/365.25)</f>
        <v>0.398168206524704</v>
      </c>
      <c r="AB80" s="61" t="n">
        <f aca="false">IF(AND(mthbeg&lt;=A80,mthend&gt;=A80),1,0)</f>
        <v>1</v>
      </c>
      <c r="AC80" s="61" t="n">
        <f aca="false">W80*AB80</f>
        <v>30</v>
      </c>
      <c r="AD80" s="121" t="n">
        <f aca="false">$D80*E80</f>
        <v>12529998.6317352</v>
      </c>
      <c r="AE80" s="121" t="n">
        <f aca="false">$D80*F80</f>
        <v>0</v>
      </c>
      <c r="AF80" s="121" t="n">
        <f aca="false">$D80*G80</f>
        <v>12529998.6317352</v>
      </c>
      <c r="AG80" s="121" t="n">
        <f aca="false">$D80*H80</f>
        <v>0</v>
      </c>
      <c r="AH80" s="121" t="n">
        <f aca="false">$D80*I80</f>
        <v>0</v>
      </c>
      <c r="AI80" s="121" t="n">
        <f aca="false">$D80*J80</f>
        <v>0</v>
      </c>
      <c r="AJ80" s="121" t="n">
        <f aca="false">$D80*K80</f>
        <v>0</v>
      </c>
      <c r="AK80" s="121" t="n">
        <f aca="false">$D80*L80</f>
        <v>0</v>
      </c>
      <c r="AL80" s="121" t="n">
        <f aca="false">$D80*M80</f>
        <v>0</v>
      </c>
      <c r="AM80" s="139"/>
      <c r="AO80" s="75" t="e">
        <f aca="false">EURO(N80,O80,Z80,Z80,R80,U80,0,0)</f>
        <v>#NAME?</v>
      </c>
      <c r="AP80" s="138" t="e">
        <f aca="false">AO80*C80</f>
        <v>#NAME?</v>
      </c>
      <c r="AQ80" s="60" t="e">
        <f aca="false">-EURO(N80,O80,Z80,Z80,R80,U80,0,1)</f>
        <v>#NAME?</v>
      </c>
    </row>
    <row r="81" customFormat="false" ht="12.75" hidden="false" customHeight="false" outlineLevel="0" collapsed="false">
      <c r="A81" s="127" t="n">
        <f aca="false">EDATE(A80,1)</f>
        <v>42339</v>
      </c>
      <c r="B81" s="128" t="n">
        <f aca="false">B80</f>
        <v>205479</v>
      </c>
      <c r="C81" s="116" t="n">
        <f aca="false">IF(AB81=0,0,IF(AND(AB81=1,$H$3=1),B81*W81,IF($H$3=2,B81,"N/A")))</f>
        <v>6369849</v>
      </c>
      <c r="D81" s="116" t="n">
        <f aca="false">C81*AA81</f>
        <v>2521626.93636672</v>
      </c>
      <c r="E81" s="129" t="n">
        <f aca="false">VLOOKUP($A81,[1]!CurveTable,MATCH($E$4,[1]!CurveType,0))</f>
        <v>5.225</v>
      </c>
      <c r="F81" s="130"/>
      <c r="G81" s="131" t="n">
        <f aca="false">E81</f>
        <v>5.225</v>
      </c>
      <c r="H81" s="129" t="n">
        <f aca="false">VLOOKUP($A81,[1]!CurveTable,MATCH($H$4,[1]!CurveType,0))</f>
        <v>0</v>
      </c>
      <c r="I81" s="131"/>
      <c r="J81" s="131" t="n">
        <f aca="false">H81</f>
        <v>0</v>
      </c>
      <c r="K81" s="129"/>
      <c r="L81" s="131"/>
      <c r="M81" s="131"/>
      <c r="N81" s="131" t="n">
        <f aca="false">G81+J81+M81+$N$7</f>
        <v>4.935</v>
      </c>
      <c r="O81" s="131" t="n">
        <f aca="false">O80</f>
        <v>3</v>
      </c>
      <c r="P81" s="131"/>
      <c r="Q81" s="129" t="n">
        <f aca="false">VLOOKUP($A81,[1]!CurveTable,MATCH($Q$4,[1]!CurveType,0))</f>
        <v>0.17</v>
      </c>
      <c r="R81" s="129" t="n">
        <f aca="false">Q81+Summary!C$25</f>
        <v>0.17</v>
      </c>
      <c r="S81" s="129"/>
      <c r="T81" s="132" t="n">
        <f aca="false">X81</f>
        <v>42339</v>
      </c>
      <c r="U81" s="133" t="n">
        <f aca="false">T81-$C$3</f>
        <v>5334</v>
      </c>
      <c r="W81" s="61" t="n">
        <f aca="false">A82-A81</f>
        <v>31</v>
      </c>
      <c r="X81" s="135" t="n">
        <f aca="false">CHOOSE(F$3,A82+24,A81)</f>
        <v>42339</v>
      </c>
      <c r="Y81" s="61" t="n">
        <f aca="false">X81-C$3</f>
        <v>5334</v>
      </c>
      <c r="Z81" s="136" t="n">
        <f aca="false">VLOOKUP($A81,[1]!CurveTable,MATCH($Z$4,[1]!CurveType,0))</f>
        <v>0.0644719358775143</v>
      </c>
      <c r="AA81" s="137" t="n">
        <f aca="false">1/(1+CHOOSE(F$3,(Z82+($K$3/10000))/2,(Z81+($K$3/10000))/2))^(2*Y81/365.25)</f>
        <v>0.39586918565365</v>
      </c>
      <c r="AB81" s="61" t="n">
        <f aca="false">IF(AND(mthbeg&lt;=A81,mthend&gt;=A81),1,0)</f>
        <v>1</v>
      </c>
      <c r="AC81" s="61" t="n">
        <f aca="false">W81*AB81</f>
        <v>31</v>
      </c>
      <c r="AD81" s="121" t="n">
        <f aca="false">$D81*E81</f>
        <v>13175500.7425161</v>
      </c>
      <c r="AE81" s="121" t="n">
        <f aca="false">$D81*F81</f>
        <v>0</v>
      </c>
      <c r="AF81" s="121" t="n">
        <f aca="false">$D81*G81</f>
        <v>13175500.7425161</v>
      </c>
      <c r="AG81" s="121" t="n">
        <f aca="false">$D81*H81</f>
        <v>0</v>
      </c>
      <c r="AH81" s="121" t="n">
        <f aca="false">$D81*I81</f>
        <v>0</v>
      </c>
      <c r="AI81" s="121" t="n">
        <f aca="false">$D81*J81</f>
        <v>0</v>
      </c>
      <c r="AJ81" s="121" t="n">
        <f aca="false">$D81*K81</f>
        <v>0</v>
      </c>
      <c r="AK81" s="121" t="n">
        <f aca="false">$D81*L81</f>
        <v>0</v>
      </c>
      <c r="AL81" s="121" t="n">
        <f aca="false">$D81*M81</f>
        <v>0</v>
      </c>
      <c r="AM81" s="139"/>
      <c r="AO81" s="75" t="e">
        <f aca="false">EURO(N81,O81,Z81,Z81,R81,U81,0,0)</f>
        <v>#NAME?</v>
      </c>
      <c r="AP81" s="138" t="e">
        <f aca="false">AO81*C81</f>
        <v>#NAME?</v>
      </c>
      <c r="AQ81" s="60" t="e">
        <f aca="false">-EURO(N81,O81,Z81,Z81,R81,U81,0,1)</f>
        <v>#NAME?</v>
      </c>
    </row>
    <row r="82" customFormat="false" ht="12.75" hidden="false" customHeight="false" outlineLevel="0" collapsed="false">
      <c r="A82" s="127" t="n">
        <f aca="false">EDATE(A81,1)</f>
        <v>42370</v>
      </c>
      <c r="B82" s="128" t="n">
        <f aca="false">B81</f>
        <v>205479</v>
      </c>
      <c r="C82" s="116" t="n">
        <f aca="false">IF(AB82=0,0,IF(AND(AB82=1,$H$3=1),B82*W82,IF($H$3=2,B82,"N/A")))</f>
        <v>6369849</v>
      </c>
      <c r="D82" s="116" t="n">
        <f aca="false">C82*AA82</f>
        <v>2506565.98686294</v>
      </c>
      <c r="E82" s="129" t="n">
        <f aca="false">VLOOKUP($A82,[1]!CurveTable,MATCH($E$4,[1]!CurveType,0))</f>
        <v>5.31</v>
      </c>
      <c r="F82" s="130"/>
      <c r="G82" s="131" t="n">
        <f aca="false">E82</f>
        <v>5.31</v>
      </c>
      <c r="H82" s="129" t="n">
        <f aca="false">VLOOKUP($A82,[1]!CurveTable,MATCH($H$4,[1]!CurveType,0))</f>
        <v>0</v>
      </c>
      <c r="I82" s="131"/>
      <c r="J82" s="131" t="n">
        <f aca="false">H82</f>
        <v>0</v>
      </c>
      <c r="K82" s="129"/>
      <c r="L82" s="131"/>
      <c r="M82" s="131"/>
      <c r="N82" s="131" t="n">
        <f aca="false">G82+J82+M82+$N$7</f>
        <v>5.02</v>
      </c>
      <c r="O82" s="131" t="n">
        <f aca="false">O81</f>
        <v>3</v>
      </c>
      <c r="P82" s="131"/>
      <c r="Q82" s="129" t="n">
        <f aca="false">VLOOKUP($A82,[1]!CurveTable,MATCH($Q$4,[1]!CurveType,0))</f>
        <v>0.17</v>
      </c>
      <c r="R82" s="129" t="n">
        <f aca="false">Q82+Summary!C$25</f>
        <v>0.17</v>
      </c>
      <c r="S82" s="129"/>
      <c r="T82" s="132" t="n">
        <f aca="false">X82</f>
        <v>42370</v>
      </c>
      <c r="U82" s="133" t="n">
        <f aca="false">T82-$C$3</f>
        <v>5365</v>
      </c>
      <c r="W82" s="61" t="n">
        <f aca="false">A83-A82</f>
        <v>31</v>
      </c>
      <c r="X82" s="135" t="n">
        <f aca="false">CHOOSE(F$3,A83+24,A82)</f>
        <v>42370</v>
      </c>
      <c r="Y82" s="61" t="n">
        <f aca="false">X82-C$3</f>
        <v>5365</v>
      </c>
      <c r="Z82" s="136" t="n">
        <f aca="false">VLOOKUP($A82,[1]!CurveTable,MATCH($Z$4,[1]!CurveType,0))</f>
        <v>0.0645144535778392</v>
      </c>
      <c r="AA82" s="137" t="n">
        <f aca="false">1/(1+CHOOSE(F$3,(Z83+($K$3/10000))/2,(Z82+($K$3/10000))/2))^(2*Y82/365.25)</f>
        <v>0.393504773325544</v>
      </c>
      <c r="AB82" s="61" t="n">
        <f aca="false">IF(AND(mthbeg&lt;=A82,mthend&gt;=A82),1,0)</f>
        <v>1</v>
      </c>
      <c r="AC82" s="61" t="n">
        <f aca="false">W82*AB82</f>
        <v>31</v>
      </c>
      <c r="AD82" s="121" t="n">
        <f aca="false">$D82*E82</f>
        <v>13309865.3902422</v>
      </c>
      <c r="AE82" s="121" t="n">
        <f aca="false">$D82*F82</f>
        <v>0</v>
      </c>
      <c r="AF82" s="121" t="n">
        <f aca="false">$D82*G82</f>
        <v>13309865.3902422</v>
      </c>
      <c r="AG82" s="121" t="n">
        <f aca="false">$D82*H82</f>
        <v>0</v>
      </c>
      <c r="AH82" s="121" t="n">
        <f aca="false">$D82*I82</f>
        <v>0</v>
      </c>
      <c r="AI82" s="121" t="n">
        <f aca="false">$D82*J82</f>
        <v>0</v>
      </c>
      <c r="AJ82" s="121" t="n">
        <f aca="false">$D82*K82</f>
        <v>0</v>
      </c>
      <c r="AK82" s="121" t="n">
        <f aca="false">$D82*L82</f>
        <v>0</v>
      </c>
      <c r="AL82" s="121" t="n">
        <f aca="false">$D82*M82</f>
        <v>0</v>
      </c>
      <c r="AM82" s="139"/>
      <c r="AO82" s="75" t="e">
        <f aca="false">EURO(N82,O82,Z82,Z82,R82,U82,0,0)</f>
        <v>#NAME?</v>
      </c>
      <c r="AP82" s="138" t="e">
        <f aca="false">AO82*C82</f>
        <v>#NAME?</v>
      </c>
      <c r="AQ82" s="60" t="e">
        <f aca="false">-EURO(N82,O82,Z82,Z82,R82,U82,0,1)</f>
        <v>#NAME?</v>
      </c>
    </row>
    <row r="83" customFormat="false" ht="12.75" hidden="false" customHeight="false" outlineLevel="0" collapsed="false">
      <c r="A83" s="127" t="n">
        <f aca="false">EDATE(A82,1)</f>
        <v>42401</v>
      </c>
      <c r="B83" s="128" t="n">
        <f aca="false">B82</f>
        <v>205479</v>
      </c>
      <c r="C83" s="116" t="n">
        <f aca="false">IF(AB83=0,0,IF(AND(AB83=1,$H$3=1),B83*W83,IF($H$3=2,B83,"N/A")))</f>
        <v>5958891</v>
      </c>
      <c r="D83" s="116" t="n">
        <f aca="false">C83*AA83</f>
        <v>2330830.66053438</v>
      </c>
      <c r="E83" s="129" t="n">
        <f aca="false">VLOOKUP($A83,[1]!CurveTable,MATCH($E$4,[1]!CurveType,0))</f>
        <v>5.19</v>
      </c>
      <c r="F83" s="130"/>
      <c r="G83" s="131" t="n">
        <f aca="false">E83</f>
        <v>5.19</v>
      </c>
      <c r="H83" s="129" t="n">
        <f aca="false">VLOOKUP($A83,[1]!CurveTable,MATCH($H$4,[1]!CurveType,0))</f>
        <v>0</v>
      </c>
      <c r="I83" s="131"/>
      <c r="J83" s="131" t="n">
        <f aca="false">H83</f>
        <v>0</v>
      </c>
      <c r="K83" s="129"/>
      <c r="L83" s="131"/>
      <c r="M83" s="131"/>
      <c r="N83" s="131" t="n">
        <f aca="false">G83+J83+M83+$N$7</f>
        <v>4.9</v>
      </c>
      <c r="O83" s="131" t="n">
        <f aca="false">O82</f>
        <v>3</v>
      </c>
      <c r="P83" s="131"/>
      <c r="Q83" s="129" t="n">
        <f aca="false">VLOOKUP($A83,[1]!CurveTable,MATCH($Q$4,[1]!CurveType,0))</f>
        <v>0.17</v>
      </c>
      <c r="R83" s="129" t="n">
        <f aca="false">Q83+Summary!C$25</f>
        <v>0.17</v>
      </c>
      <c r="S83" s="129"/>
      <c r="T83" s="132" t="n">
        <f aca="false">X83</f>
        <v>42401</v>
      </c>
      <c r="U83" s="133" t="n">
        <f aca="false">T83-$C$3</f>
        <v>5396</v>
      </c>
      <c r="W83" s="61" t="n">
        <f aca="false">A84-A83</f>
        <v>29</v>
      </c>
      <c r="X83" s="135" t="n">
        <f aca="false">CHOOSE(F$3,A84+24,A83)</f>
        <v>42401</v>
      </c>
      <c r="Y83" s="61" t="n">
        <f aca="false">X83-C$3</f>
        <v>5396</v>
      </c>
      <c r="Z83" s="136" t="n">
        <f aca="false">VLOOKUP($A83,[1]!CurveTable,MATCH($Z$4,[1]!CurveType,0))</f>
        <v>0.0645569712787637</v>
      </c>
      <c r="AA83" s="137" t="n">
        <f aca="false">1/(1+CHOOSE(F$3,(Z84+($K$3/10000))/2,(Z83+($K$3/10000))/2))^(2*Y83/365.25)</f>
        <v>0.391151752991351</v>
      </c>
      <c r="AB83" s="61" t="n">
        <f aca="false">IF(AND(mthbeg&lt;=A83,mthend&gt;=A83),1,0)</f>
        <v>1</v>
      </c>
      <c r="AC83" s="61" t="n">
        <f aca="false">W83*AB83</f>
        <v>29</v>
      </c>
      <c r="AD83" s="121" t="n">
        <f aca="false">$D83*E83</f>
        <v>12097011.1281735</v>
      </c>
      <c r="AE83" s="121" t="n">
        <f aca="false">$D83*F83</f>
        <v>0</v>
      </c>
      <c r="AF83" s="121" t="n">
        <f aca="false">$D83*G83</f>
        <v>12097011.1281735</v>
      </c>
      <c r="AG83" s="121" t="n">
        <f aca="false">$D83*H83</f>
        <v>0</v>
      </c>
      <c r="AH83" s="121" t="n">
        <f aca="false">$D83*I83</f>
        <v>0</v>
      </c>
      <c r="AI83" s="121" t="n">
        <f aca="false">$D83*J83</f>
        <v>0</v>
      </c>
      <c r="AJ83" s="121" t="n">
        <f aca="false">$D83*K83</f>
        <v>0</v>
      </c>
      <c r="AK83" s="121" t="n">
        <f aca="false">$D83*L83</f>
        <v>0</v>
      </c>
      <c r="AL83" s="121" t="n">
        <f aca="false">$D83*M83</f>
        <v>0</v>
      </c>
      <c r="AM83" s="139"/>
      <c r="AO83" s="75" t="e">
        <f aca="false">EURO(N83,O83,Z83,Z83,R83,U83,0,0)</f>
        <v>#NAME?</v>
      </c>
      <c r="AP83" s="138" t="e">
        <f aca="false">AO83*C83</f>
        <v>#NAME?</v>
      </c>
      <c r="AQ83" s="60" t="e">
        <f aca="false">-EURO(N83,O83,Z83,Z83,R83,U83,0,1)</f>
        <v>#NAME?</v>
      </c>
    </row>
    <row r="84" customFormat="false" ht="12.75" hidden="false" customHeight="false" outlineLevel="0" collapsed="false">
      <c r="A84" s="127" t="n">
        <f aca="false">EDATE(A83,1)</f>
        <v>42430</v>
      </c>
      <c r="B84" s="128" t="n">
        <f aca="false">B83</f>
        <v>205479</v>
      </c>
      <c r="C84" s="116" t="n">
        <f aca="false">IF(AB84=0,0,IF(AND(AB84=1,$H$3=1),B84*W84,IF($H$3=2,B84,"N/A")))</f>
        <v>6369849</v>
      </c>
      <c r="D84" s="116" t="n">
        <f aca="false">C84*AA84</f>
        <v>2477621.70567579</v>
      </c>
      <c r="E84" s="129" t="n">
        <f aca="false">VLOOKUP($A84,[1]!CurveTable,MATCH($E$4,[1]!CurveType,0))</f>
        <v>5.051</v>
      </c>
      <c r="F84" s="130"/>
      <c r="G84" s="131" t="n">
        <f aca="false">E84</f>
        <v>5.051</v>
      </c>
      <c r="H84" s="129" t="n">
        <f aca="false">VLOOKUP($A84,[1]!CurveTable,MATCH($H$4,[1]!CurveType,0))</f>
        <v>0</v>
      </c>
      <c r="I84" s="131"/>
      <c r="J84" s="131" t="n">
        <f aca="false">H84</f>
        <v>0</v>
      </c>
      <c r="K84" s="129"/>
      <c r="L84" s="131"/>
      <c r="M84" s="131"/>
      <c r="N84" s="131" t="n">
        <f aca="false">G84+J84+M84+$N$7</f>
        <v>4.761</v>
      </c>
      <c r="O84" s="131" t="n">
        <f aca="false">O83</f>
        <v>3</v>
      </c>
      <c r="P84" s="131"/>
      <c r="Q84" s="129" t="n">
        <f aca="false">VLOOKUP($A84,[1]!CurveTable,MATCH($Q$4,[1]!CurveType,0))</f>
        <v>0.17</v>
      </c>
      <c r="R84" s="129" t="n">
        <f aca="false">Q84+Summary!C$25</f>
        <v>0.17</v>
      </c>
      <c r="S84" s="129"/>
      <c r="T84" s="132" t="n">
        <f aca="false">X84</f>
        <v>42430</v>
      </c>
      <c r="U84" s="133" t="n">
        <f aca="false">T84-$C$3</f>
        <v>5425</v>
      </c>
      <c r="W84" s="61" t="n">
        <f aca="false">A85-A84</f>
        <v>31</v>
      </c>
      <c r="X84" s="135" t="n">
        <f aca="false">CHOOSE(F$3,A85+24,A84)</f>
        <v>42430</v>
      </c>
      <c r="Y84" s="61" t="n">
        <f aca="false">X84-C$3</f>
        <v>5425</v>
      </c>
      <c r="Z84" s="136" t="n">
        <f aca="false">VLOOKUP($A84,[1]!CurveTable,MATCH($Z$4,[1]!CurveType,0))</f>
        <v>0.064596745902751</v>
      </c>
      <c r="AA84" s="137" t="n">
        <f aca="false">1/(1+CHOOSE(F$3,(Z85+($K$3/10000))/2,(Z84+($K$3/10000))/2))^(2*Y84/365.25)</f>
        <v>0.3889608224113</v>
      </c>
      <c r="AB84" s="61" t="n">
        <f aca="false">IF(AND(mthbeg&lt;=A84,mthend&gt;=A84),1,0)</f>
        <v>1</v>
      </c>
      <c r="AC84" s="61" t="n">
        <f aca="false">W84*AB84</f>
        <v>31</v>
      </c>
      <c r="AD84" s="121" t="n">
        <f aca="false">$D84*E84</f>
        <v>12514467.2353684</v>
      </c>
      <c r="AE84" s="121" t="n">
        <f aca="false">$D84*F84</f>
        <v>0</v>
      </c>
      <c r="AF84" s="121" t="n">
        <f aca="false">$D84*G84</f>
        <v>12514467.2353684</v>
      </c>
      <c r="AG84" s="121" t="n">
        <f aca="false">$D84*H84</f>
        <v>0</v>
      </c>
      <c r="AH84" s="121" t="n">
        <f aca="false">$D84*I84</f>
        <v>0</v>
      </c>
      <c r="AI84" s="121" t="n">
        <f aca="false">$D84*J84</f>
        <v>0</v>
      </c>
      <c r="AJ84" s="121" t="n">
        <f aca="false">$D84*K84</f>
        <v>0</v>
      </c>
      <c r="AK84" s="121" t="n">
        <f aca="false">$D84*L84</f>
        <v>0</v>
      </c>
      <c r="AL84" s="121" t="n">
        <f aca="false">$D84*M84</f>
        <v>0</v>
      </c>
      <c r="AM84" s="139"/>
      <c r="AO84" s="75" t="e">
        <f aca="false">EURO(N84,O84,Z84,Z84,R84,U84,0,0)</f>
        <v>#NAME?</v>
      </c>
      <c r="AP84" s="138" t="e">
        <f aca="false">AO84*C84</f>
        <v>#NAME?</v>
      </c>
      <c r="AQ84" s="60" t="e">
        <f aca="false">-EURO(N84,O84,Z84,Z84,R84,U84,0,1)</f>
        <v>#NAME?</v>
      </c>
    </row>
    <row r="85" customFormat="false" ht="12.75" hidden="false" customHeight="false" outlineLevel="0" collapsed="false">
      <c r="A85" s="127" t="n">
        <f aca="false">EDATE(A84,1)</f>
        <v>42461</v>
      </c>
      <c r="B85" s="128" t="n">
        <f aca="false">B84</f>
        <v>205479</v>
      </c>
      <c r="C85" s="116" t="n">
        <f aca="false">IF(AB85=0,0,IF(AND(AB85=1,$H$3=1),B85*W85,IF($H$3=2,B85,"N/A")))</f>
        <v>6164370</v>
      </c>
      <c r="D85" s="116" t="n">
        <f aca="false">C85*AA85</f>
        <v>2383328.83707222</v>
      </c>
      <c r="E85" s="129" t="n">
        <f aca="false">VLOOKUP($A85,[1]!CurveTable,MATCH($E$4,[1]!CurveType,0))</f>
        <v>4.881</v>
      </c>
      <c r="F85" s="130"/>
      <c r="G85" s="131" t="n">
        <f aca="false">E85</f>
        <v>4.881</v>
      </c>
      <c r="H85" s="129" t="n">
        <f aca="false">VLOOKUP($A85,[1]!CurveTable,MATCH($H$4,[1]!CurveType,0))</f>
        <v>0</v>
      </c>
      <c r="I85" s="131"/>
      <c r="J85" s="131" t="n">
        <f aca="false">H85</f>
        <v>0</v>
      </c>
      <c r="K85" s="129"/>
      <c r="L85" s="131"/>
      <c r="M85" s="131"/>
      <c r="N85" s="131" t="n">
        <f aca="false">G85+J85+M85+$N$7</f>
        <v>4.591</v>
      </c>
      <c r="O85" s="131" t="n">
        <f aca="false">O84</f>
        <v>3</v>
      </c>
      <c r="P85" s="131"/>
      <c r="Q85" s="129" t="n">
        <f aca="false">VLOOKUP($A85,[1]!CurveTable,MATCH($Q$4,[1]!CurveType,0))</f>
        <v>0.17</v>
      </c>
      <c r="R85" s="129" t="n">
        <f aca="false">Q85+Summary!C$25</f>
        <v>0.17</v>
      </c>
      <c r="S85" s="129"/>
      <c r="T85" s="132" t="n">
        <f aca="false">X85</f>
        <v>42461</v>
      </c>
      <c r="U85" s="133" t="n">
        <f aca="false">T85-$C$3</f>
        <v>5456</v>
      </c>
      <c r="W85" s="61" t="n">
        <f aca="false">A86-A85</f>
        <v>30</v>
      </c>
      <c r="X85" s="135" t="n">
        <f aca="false">CHOOSE(F$3,A86+24,A85)</f>
        <v>42461</v>
      </c>
      <c r="Y85" s="61" t="n">
        <f aca="false">X85-C$3</f>
        <v>5456</v>
      </c>
      <c r="Z85" s="136" t="n">
        <f aca="false">VLOOKUP($A85,[1]!CurveTable,MATCH($Z$4,[1]!CurveType,0))</f>
        <v>0.0646392636048354</v>
      </c>
      <c r="AA85" s="137" t="n">
        <f aca="false">1/(1+CHOOSE(F$3,(Z86+($K$3/10000))/2,(Z85+($K$3/10000))/2))^(2*Y85/365.25)</f>
        <v>0.386629750821612</v>
      </c>
      <c r="AB85" s="61" t="n">
        <f aca="false">IF(AND(mthbeg&lt;=A85,mthend&gt;=A85),1,0)</f>
        <v>1</v>
      </c>
      <c r="AC85" s="61" t="n">
        <f aca="false">W85*AB85</f>
        <v>30</v>
      </c>
      <c r="AD85" s="121" t="n">
        <f aca="false">$D85*E85</f>
        <v>11633028.0537495</v>
      </c>
      <c r="AE85" s="121" t="n">
        <f aca="false">$D85*F85</f>
        <v>0</v>
      </c>
      <c r="AF85" s="121" t="n">
        <f aca="false">$D85*G85</f>
        <v>11633028.0537495</v>
      </c>
      <c r="AG85" s="121" t="n">
        <f aca="false">$D85*H85</f>
        <v>0</v>
      </c>
      <c r="AH85" s="121" t="n">
        <f aca="false">$D85*I85</f>
        <v>0</v>
      </c>
      <c r="AI85" s="121" t="n">
        <f aca="false">$D85*J85</f>
        <v>0</v>
      </c>
      <c r="AJ85" s="121" t="n">
        <f aca="false">$D85*K85</f>
        <v>0</v>
      </c>
      <c r="AK85" s="121" t="n">
        <f aca="false">$D85*L85</f>
        <v>0</v>
      </c>
      <c r="AL85" s="121" t="n">
        <f aca="false">$D85*M85</f>
        <v>0</v>
      </c>
      <c r="AM85" s="139"/>
      <c r="AO85" s="75" t="e">
        <f aca="false">EURO(N85,O85,Z85,Z85,R85,U85,0,0)</f>
        <v>#NAME?</v>
      </c>
      <c r="AP85" s="138" t="e">
        <f aca="false">AO85*C85</f>
        <v>#NAME?</v>
      </c>
      <c r="AQ85" s="60" t="e">
        <f aca="false">-EURO(N85,O85,Z85,Z85,R85,U85,0,1)</f>
        <v>#NAME?</v>
      </c>
    </row>
    <row r="86" customFormat="false" ht="12.75" hidden="false" customHeight="false" outlineLevel="0" collapsed="false">
      <c r="A86" s="127" t="n">
        <f aca="false">EDATE(A85,1)</f>
        <v>42491</v>
      </c>
      <c r="B86" s="128" t="n">
        <f aca="false">B85</f>
        <v>205479</v>
      </c>
      <c r="C86" s="116" t="n">
        <f aca="false">IF(AB86=0,0,IF(AND(AB86=1,$H$3=1),B86*W86,IF($H$3=2,B86,"N/A")))</f>
        <v>6369849</v>
      </c>
      <c r="D86" s="116" t="n">
        <f aca="false">C86*AA86</f>
        <v>2448472.00923034</v>
      </c>
      <c r="E86" s="129" t="n">
        <f aca="false">VLOOKUP($A86,[1]!CurveTable,MATCH($E$4,[1]!CurveType,0))</f>
        <v>4.94</v>
      </c>
      <c r="F86" s="130"/>
      <c r="G86" s="131" t="n">
        <f aca="false">E86</f>
        <v>4.94</v>
      </c>
      <c r="H86" s="129" t="n">
        <f aca="false">VLOOKUP($A86,[1]!CurveTable,MATCH($H$4,[1]!CurveType,0))</f>
        <v>0</v>
      </c>
      <c r="I86" s="131"/>
      <c r="J86" s="131" t="n">
        <f aca="false">H86</f>
        <v>0</v>
      </c>
      <c r="K86" s="129"/>
      <c r="L86" s="131"/>
      <c r="M86" s="131"/>
      <c r="N86" s="131" t="n">
        <f aca="false">G86+J86+M86+$N$7</f>
        <v>4.65</v>
      </c>
      <c r="O86" s="131" t="n">
        <f aca="false">O85</f>
        <v>3</v>
      </c>
      <c r="P86" s="131"/>
      <c r="Q86" s="129" t="n">
        <f aca="false">VLOOKUP($A86,[1]!CurveTable,MATCH($Q$4,[1]!CurveType,0))</f>
        <v>0.17</v>
      </c>
      <c r="R86" s="129" t="n">
        <f aca="false">Q86+Summary!C$25</f>
        <v>0.17</v>
      </c>
      <c r="S86" s="129"/>
      <c r="T86" s="132" t="n">
        <f aca="false">X86</f>
        <v>42491</v>
      </c>
      <c r="U86" s="133" t="n">
        <f aca="false">T86-$C$3</f>
        <v>5486</v>
      </c>
      <c r="W86" s="61" t="n">
        <f aca="false">A87-A86</f>
        <v>31</v>
      </c>
      <c r="X86" s="135" t="n">
        <f aca="false">CHOOSE(F$3,A87+24,A86)</f>
        <v>42491</v>
      </c>
      <c r="Y86" s="61" t="n">
        <f aca="false">X86-C$3</f>
        <v>5486</v>
      </c>
      <c r="Z86" s="136" t="n">
        <f aca="false">VLOOKUP($A86,[1]!CurveTable,MATCH($Z$4,[1]!CurveType,0))</f>
        <v>0.0646804097687132</v>
      </c>
      <c r="AA86" s="137" t="n">
        <f aca="false">1/(1+CHOOSE(F$3,(Z87+($K$3/10000))/2,(Z86+($K$3/10000))/2))^(2*Y86/365.25)</f>
        <v>0.384384623439321</v>
      </c>
      <c r="AB86" s="61" t="n">
        <f aca="false">IF(AND(mthbeg&lt;=A86,mthend&gt;=A86),1,0)</f>
        <v>1</v>
      </c>
      <c r="AC86" s="61" t="n">
        <f aca="false">W86*AB86</f>
        <v>31</v>
      </c>
      <c r="AD86" s="121" t="n">
        <f aca="false">$D86*E86</f>
        <v>12095451.7255979</v>
      </c>
      <c r="AE86" s="121" t="n">
        <f aca="false">$D86*F86</f>
        <v>0</v>
      </c>
      <c r="AF86" s="121" t="n">
        <f aca="false">$D86*G86</f>
        <v>12095451.7255979</v>
      </c>
      <c r="AG86" s="121" t="n">
        <f aca="false">$D86*H86</f>
        <v>0</v>
      </c>
      <c r="AH86" s="121" t="n">
        <f aca="false">$D86*I86</f>
        <v>0</v>
      </c>
      <c r="AI86" s="121" t="n">
        <f aca="false">$D86*J86</f>
        <v>0</v>
      </c>
      <c r="AJ86" s="121" t="n">
        <f aca="false">$D86*K86</f>
        <v>0</v>
      </c>
      <c r="AK86" s="121" t="n">
        <f aca="false">$D86*L86</f>
        <v>0</v>
      </c>
      <c r="AL86" s="121" t="n">
        <f aca="false">$D86*M86</f>
        <v>0</v>
      </c>
      <c r="AM86" s="139"/>
      <c r="AO86" s="75" t="e">
        <f aca="false">EURO(N86,O86,Z86,Z86,R86,U86,0,0)</f>
        <v>#NAME?</v>
      </c>
      <c r="AP86" s="138" t="e">
        <f aca="false">AO86*C86</f>
        <v>#NAME?</v>
      </c>
      <c r="AQ86" s="60" t="e">
        <f aca="false">-EURO(N86,O86,Z86,Z86,R86,U86,0,1)</f>
        <v>#NAME?</v>
      </c>
    </row>
    <row r="87" customFormat="false" ht="12.75" hidden="false" customHeight="false" outlineLevel="0" collapsed="false">
      <c r="A87" s="127" t="n">
        <f aca="false">EDATE(A86,1)</f>
        <v>42522</v>
      </c>
      <c r="B87" s="128" t="n">
        <f aca="false">B86</f>
        <v>205479</v>
      </c>
      <c r="C87" s="116" t="n">
        <f aca="false">IF(AB87=0,0,IF(AND(AB87=1,$H$3=1),B87*W87,IF($H$3=2,B87,"N/A")))</f>
        <v>6164370</v>
      </c>
      <c r="D87" s="116" t="n">
        <f aca="false">C87*AA87</f>
        <v>2355256.17195219</v>
      </c>
      <c r="E87" s="129" t="n">
        <f aca="false">VLOOKUP($A87,[1]!CurveTable,MATCH($E$4,[1]!CurveType,0))</f>
        <v>4.98</v>
      </c>
      <c r="F87" s="130"/>
      <c r="G87" s="131" t="n">
        <f aca="false">E87</f>
        <v>4.98</v>
      </c>
      <c r="H87" s="129" t="n">
        <f aca="false">VLOOKUP($A87,[1]!CurveTable,MATCH($H$4,[1]!CurveType,0))</f>
        <v>0</v>
      </c>
      <c r="I87" s="131"/>
      <c r="J87" s="131" t="n">
        <f aca="false">H87</f>
        <v>0</v>
      </c>
      <c r="K87" s="129"/>
      <c r="L87" s="131"/>
      <c r="M87" s="131"/>
      <c r="N87" s="131" t="n">
        <f aca="false">G87+J87+M87+$N$7</f>
        <v>4.69</v>
      </c>
      <c r="O87" s="131" t="n">
        <f aca="false">O86</f>
        <v>3</v>
      </c>
      <c r="P87" s="131"/>
      <c r="Q87" s="129" t="n">
        <f aca="false">VLOOKUP($A87,[1]!CurveTable,MATCH($Q$4,[1]!CurveType,0))</f>
        <v>0.17</v>
      </c>
      <c r="R87" s="129" t="n">
        <f aca="false">Q87+Summary!C$25</f>
        <v>0.17</v>
      </c>
      <c r="S87" s="129"/>
      <c r="T87" s="132" t="n">
        <f aca="false">X87</f>
        <v>42522</v>
      </c>
      <c r="U87" s="133" t="n">
        <f aca="false">T87-$C$3</f>
        <v>5517</v>
      </c>
      <c r="W87" s="61" t="n">
        <f aca="false">A88-A87</f>
        <v>30</v>
      </c>
      <c r="X87" s="135" t="n">
        <f aca="false">CHOOSE(F$3,A88+24,A87)</f>
        <v>42522</v>
      </c>
      <c r="Y87" s="61" t="n">
        <f aca="false">X87-C$3</f>
        <v>5517</v>
      </c>
      <c r="Z87" s="136" t="n">
        <f aca="false">VLOOKUP($A87,[1]!CurveTable,MATCH($Z$4,[1]!CurveType,0))</f>
        <v>0.0647229274719767</v>
      </c>
      <c r="AA87" s="137" t="n">
        <f aca="false">1/(1+CHOOSE(F$3,(Z88+($K$3/10000))/2,(Z87+($K$3/10000))/2))^(2*Y87/365.25)</f>
        <v>0.382075730683297</v>
      </c>
      <c r="AB87" s="61" t="n">
        <f aca="false">IF(AND(mthbeg&lt;=A87,mthend&gt;=A87),1,0)</f>
        <v>1</v>
      </c>
      <c r="AC87" s="61" t="n">
        <f aca="false">W87*AB87</f>
        <v>30</v>
      </c>
      <c r="AD87" s="121" t="n">
        <f aca="false">$D87*E87</f>
        <v>11729175.7363219</v>
      </c>
      <c r="AE87" s="121" t="n">
        <f aca="false">$D87*F87</f>
        <v>0</v>
      </c>
      <c r="AF87" s="121" t="n">
        <f aca="false">$D87*G87</f>
        <v>11729175.7363219</v>
      </c>
      <c r="AG87" s="121" t="n">
        <f aca="false">$D87*H87</f>
        <v>0</v>
      </c>
      <c r="AH87" s="121" t="n">
        <f aca="false">$D87*I87</f>
        <v>0</v>
      </c>
      <c r="AI87" s="121" t="n">
        <f aca="false">$D87*J87</f>
        <v>0</v>
      </c>
      <c r="AJ87" s="121" t="n">
        <f aca="false">$D87*K87</f>
        <v>0</v>
      </c>
      <c r="AK87" s="121" t="n">
        <f aca="false">$D87*L87</f>
        <v>0</v>
      </c>
      <c r="AL87" s="121" t="n">
        <f aca="false">$D87*M87</f>
        <v>0</v>
      </c>
      <c r="AM87" s="139"/>
      <c r="AO87" s="75" t="e">
        <f aca="false">EURO(N87,O87,Z87,Z87,R87,U87,0,0)</f>
        <v>#NAME?</v>
      </c>
      <c r="AP87" s="138" t="e">
        <f aca="false">AO87*C87</f>
        <v>#NAME?</v>
      </c>
      <c r="AQ87" s="60" t="e">
        <f aca="false">-EURO(N87,O87,Z87,Z87,R87,U87,0,1)</f>
        <v>#NAME?</v>
      </c>
    </row>
    <row r="88" customFormat="false" ht="12.75" hidden="false" customHeight="false" outlineLevel="0" collapsed="false">
      <c r="A88" s="127" t="n">
        <f aca="false">EDATE(A87,1)</f>
        <v>42552</v>
      </c>
      <c r="B88" s="128" t="n">
        <f aca="false">B87</f>
        <v>205479</v>
      </c>
      <c r="C88" s="116" t="n">
        <f aca="false">IF(AB88=0,0,IF(AND(AB88=1,$H$3=1),B88*W88,IF($H$3=2,B88,"N/A")))</f>
        <v>6369849</v>
      </c>
      <c r="D88" s="116" t="n">
        <f aca="false">C88*AA88</f>
        <v>2419599.88492534</v>
      </c>
      <c r="E88" s="129" t="n">
        <f aca="false">VLOOKUP($A88,[1]!CurveTable,MATCH($E$4,[1]!CurveType,0))</f>
        <v>5.025</v>
      </c>
      <c r="F88" s="130"/>
      <c r="G88" s="131" t="n">
        <f aca="false">E88</f>
        <v>5.025</v>
      </c>
      <c r="H88" s="129" t="n">
        <f aca="false">VLOOKUP($A88,[1]!CurveTable,MATCH($H$4,[1]!CurveType,0))</f>
        <v>0</v>
      </c>
      <c r="I88" s="131"/>
      <c r="J88" s="131" t="n">
        <f aca="false">H88</f>
        <v>0</v>
      </c>
      <c r="K88" s="129"/>
      <c r="L88" s="131"/>
      <c r="M88" s="131"/>
      <c r="N88" s="131" t="n">
        <f aca="false">G88+J88+M88+$N$7</f>
        <v>4.735</v>
      </c>
      <c r="O88" s="131" t="n">
        <f aca="false">O87</f>
        <v>3</v>
      </c>
      <c r="P88" s="131"/>
      <c r="Q88" s="129" t="n">
        <f aca="false">VLOOKUP($A88,[1]!CurveTable,MATCH($Q$4,[1]!CurveType,0))</f>
        <v>0.17</v>
      </c>
      <c r="R88" s="129" t="n">
        <f aca="false">Q88+Summary!C$25</f>
        <v>0.17</v>
      </c>
      <c r="S88" s="129"/>
      <c r="T88" s="132" t="n">
        <f aca="false">X88</f>
        <v>42552</v>
      </c>
      <c r="U88" s="133" t="n">
        <f aca="false">T88-$C$3</f>
        <v>5547</v>
      </c>
      <c r="W88" s="61" t="n">
        <f aca="false">A89-A88</f>
        <v>31</v>
      </c>
      <c r="X88" s="135" t="n">
        <f aca="false">CHOOSE(F$3,A89+24,A88)</f>
        <v>42552</v>
      </c>
      <c r="Y88" s="61" t="n">
        <f aca="false">X88-C$3</f>
        <v>5547</v>
      </c>
      <c r="Z88" s="136" t="n">
        <f aca="false">VLOOKUP($A88,[1]!CurveTable,MATCH($Z$4,[1]!CurveType,0))</f>
        <v>0.0647640736369959</v>
      </c>
      <c r="AA88" s="137" t="n">
        <f aca="false">1/(1+CHOOSE(F$3,(Z89+($K$3/10000))/2,(Z88+($K$3/10000))/2))^(2*Y88/365.25)</f>
        <v>0.379852000404616</v>
      </c>
      <c r="AB88" s="61" t="n">
        <f aca="false">IF(AND(mthbeg&lt;=A88,mthend&gt;=A88),1,0)</f>
        <v>1</v>
      </c>
      <c r="AC88" s="61" t="n">
        <f aca="false">W88*AB88</f>
        <v>31</v>
      </c>
      <c r="AD88" s="121" t="n">
        <f aca="false">$D88*E88</f>
        <v>12158489.4217498</v>
      </c>
      <c r="AE88" s="121" t="n">
        <f aca="false">$D88*F88</f>
        <v>0</v>
      </c>
      <c r="AF88" s="121" t="n">
        <f aca="false">$D88*G88</f>
        <v>12158489.4217498</v>
      </c>
      <c r="AG88" s="121" t="n">
        <f aca="false">$D88*H88</f>
        <v>0</v>
      </c>
      <c r="AH88" s="121" t="n">
        <f aca="false">$D88*I88</f>
        <v>0</v>
      </c>
      <c r="AI88" s="121" t="n">
        <f aca="false">$D88*J88</f>
        <v>0</v>
      </c>
      <c r="AJ88" s="121" t="n">
        <f aca="false">$D88*K88</f>
        <v>0</v>
      </c>
      <c r="AK88" s="121" t="n">
        <f aca="false">$D88*L88</f>
        <v>0</v>
      </c>
      <c r="AL88" s="121" t="n">
        <f aca="false">$D88*M88</f>
        <v>0</v>
      </c>
      <c r="AM88" s="139"/>
      <c r="AO88" s="75" t="e">
        <f aca="false">EURO(N88,O88,Z88,Z88,R88,U88,0,0)</f>
        <v>#NAME?</v>
      </c>
      <c r="AP88" s="138" t="e">
        <f aca="false">AO88*C88</f>
        <v>#NAME?</v>
      </c>
      <c r="AQ88" s="60" t="e">
        <f aca="false">-EURO(N88,O88,Z88,Z88,R88,U88,0,1)</f>
        <v>#NAME?</v>
      </c>
    </row>
    <row r="89" customFormat="false" ht="12.75" hidden="false" customHeight="false" outlineLevel="0" collapsed="false">
      <c r="A89" s="127" t="n">
        <f aca="false">EDATE(A88,1)</f>
        <v>42583</v>
      </c>
      <c r="B89" s="128" t="n">
        <f aca="false">B88</f>
        <v>205479</v>
      </c>
      <c r="C89" s="116" t="n">
        <f aca="false">IF(AB89=0,0,IF(AND(AB89=1,$H$3=1),B89*W89,IF($H$3=2,B89,"N/A")))</f>
        <v>6369849</v>
      </c>
      <c r="D89" s="116" t="n">
        <f aca="false">C89*AA89</f>
        <v>2405032.9896634</v>
      </c>
      <c r="E89" s="129" t="n">
        <f aca="false">VLOOKUP($A89,[1]!CurveTable,MATCH($E$4,[1]!CurveType,0))</f>
        <v>5.06</v>
      </c>
      <c r="F89" s="130"/>
      <c r="G89" s="131" t="n">
        <f aca="false">E89</f>
        <v>5.06</v>
      </c>
      <c r="H89" s="129" t="n">
        <f aca="false">VLOOKUP($A89,[1]!CurveTable,MATCH($H$4,[1]!CurveType,0))</f>
        <v>0</v>
      </c>
      <c r="I89" s="131"/>
      <c r="J89" s="131" t="n">
        <f aca="false">H89</f>
        <v>0</v>
      </c>
      <c r="K89" s="129"/>
      <c r="L89" s="131"/>
      <c r="M89" s="131"/>
      <c r="N89" s="131" t="n">
        <f aca="false">G89+J89+M89+$N$7</f>
        <v>4.77</v>
      </c>
      <c r="O89" s="131" t="n">
        <f aca="false">O88</f>
        <v>3</v>
      </c>
      <c r="P89" s="131"/>
      <c r="Q89" s="129" t="n">
        <f aca="false">VLOOKUP($A89,[1]!CurveTable,MATCH($Q$4,[1]!CurveType,0))</f>
        <v>0.17</v>
      </c>
      <c r="R89" s="129" t="n">
        <f aca="false">Q89+Summary!C$25</f>
        <v>0.17</v>
      </c>
      <c r="S89" s="129"/>
      <c r="T89" s="132" t="n">
        <f aca="false">X89</f>
        <v>42583</v>
      </c>
      <c r="U89" s="133" t="n">
        <f aca="false">T89-$C$3</f>
        <v>5578</v>
      </c>
      <c r="W89" s="61" t="n">
        <f aca="false">A90-A89</f>
        <v>31</v>
      </c>
      <c r="X89" s="135" t="n">
        <f aca="false">CHOOSE(F$3,A90+24,A89)</f>
        <v>42583</v>
      </c>
      <c r="Y89" s="61" t="n">
        <f aca="false">X89-C$3</f>
        <v>5578</v>
      </c>
      <c r="Z89" s="136" t="n">
        <f aca="false">VLOOKUP($A89,[1]!CurveTable,MATCH($Z$4,[1]!CurveType,0))</f>
        <v>0.0648065913414388</v>
      </c>
      <c r="AA89" s="137" t="n">
        <f aca="false">1/(1+CHOOSE(F$3,(Z90+($K$3/10000))/2,(Z89+($K$3/10000))/2))^(2*Y89/365.25)</f>
        <v>0.377565149450701</v>
      </c>
      <c r="AB89" s="61" t="n">
        <f aca="false">IF(AND(mthbeg&lt;=A89,mthend&gt;=A89),1,0)</f>
        <v>1</v>
      </c>
      <c r="AC89" s="61" t="n">
        <f aca="false">W89*AB89</f>
        <v>31</v>
      </c>
      <c r="AD89" s="121" t="n">
        <f aca="false">$D89*E89</f>
        <v>12169466.9276968</v>
      </c>
      <c r="AE89" s="121" t="n">
        <f aca="false">$D89*F89</f>
        <v>0</v>
      </c>
      <c r="AF89" s="121" t="n">
        <f aca="false">$D89*G89</f>
        <v>12169466.9276968</v>
      </c>
      <c r="AG89" s="121" t="n">
        <f aca="false">$D89*H89</f>
        <v>0</v>
      </c>
      <c r="AH89" s="121" t="n">
        <f aca="false">$D89*I89</f>
        <v>0</v>
      </c>
      <c r="AI89" s="121" t="n">
        <f aca="false">$D89*J89</f>
        <v>0</v>
      </c>
      <c r="AJ89" s="121" t="n">
        <f aca="false">$D89*K89</f>
        <v>0</v>
      </c>
      <c r="AK89" s="121" t="n">
        <f aca="false">$D89*L89</f>
        <v>0</v>
      </c>
      <c r="AL89" s="121" t="n">
        <f aca="false">$D89*M89</f>
        <v>0</v>
      </c>
      <c r="AM89" s="139"/>
      <c r="AO89" s="75" t="e">
        <f aca="false">EURO(N89,O89,Z89,Z89,R89,U89,0,0)</f>
        <v>#NAME?</v>
      </c>
      <c r="AP89" s="138" t="e">
        <f aca="false">AO89*C89</f>
        <v>#NAME?</v>
      </c>
      <c r="AQ89" s="60" t="e">
        <f aca="false">-EURO(N89,O89,Z89,Z89,R89,U89,0,1)</f>
        <v>#NAME?</v>
      </c>
    </row>
    <row r="90" customFormat="false" ht="12.75" hidden="false" customHeight="false" outlineLevel="0" collapsed="false">
      <c r="A90" s="127" t="n">
        <f aca="false">EDATE(A89,1)</f>
        <v>42614</v>
      </c>
      <c r="B90" s="128" t="n">
        <f aca="false">B89</f>
        <v>205479</v>
      </c>
      <c r="C90" s="116" t="n">
        <f aca="false">IF(AB90=0,0,IF(AND(AB90=1,$H$3=1),B90*W90,IF($H$3=2,B90,"N/A")))</f>
        <v>6164370</v>
      </c>
      <c r="D90" s="116" t="n">
        <f aca="false">C90*AA90</f>
        <v>2313423.01147565</v>
      </c>
      <c r="E90" s="129" t="n">
        <f aca="false">VLOOKUP($A90,[1]!CurveTable,MATCH($E$4,[1]!CurveType,0))</f>
        <v>5.065</v>
      </c>
      <c r="F90" s="130"/>
      <c r="G90" s="131" t="n">
        <f aca="false">E90</f>
        <v>5.065</v>
      </c>
      <c r="H90" s="129" t="n">
        <f aca="false">VLOOKUP($A90,[1]!CurveTable,MATCH($H$4,[1]!CurveType,0))</f>
        <v>0</v>
      </c>
      <c r="I90" s="131"/>
      <c r="J90" s="131" t="n">
        <f aca="false">H90</f>
        <v>0</v>
      </c>
      <c r="K90" s="129"/>
      <c r="L90" s="131"/>
      <c r="M90" s="131"/>
      <c r="N90" s="131" t="n">
        <f aca="false">G90+J90+M90+$N$7</f>
        <v>4.775</v>
      </c>
      <c r="O90" s="131" t="n">
        <f aca="false">O89</f>
        <v>3</v>
      </c>
      <c r="P90" s="131"/>
      <c r="Q90" s="129" t="n">
        <f aca="false">VLOOKUP($A90,[1]!CurveTable,MATCH($Q$4,[1]!CurveType,0))</f>
        <v>0.17</v>
      </c>
      <c r="R90" s="129" t="n">
        <f aca="false">Q90+Summary!C$25</f>
        <v>0.17</v>
      </c>
      <c r="S90" s="129"/>
      <c r="T90" s="132" t="n">
        <f aca="false">X90</f>
        <v>42614</v>
      </c>
      <c r="U90" s="133" t="n">
        <f aca="false">T90-$C$3</f>
        <v>5609</v>
      </c>
      <c r="W90" s="61" t="n">
        <f aca="false">A91-A90</f>
        <v>30</v>
      </c>
      <c r="X90" s="135" t="n">
        <f aca="false">CHOOSE(F$3,A91+24,A90)</f>
        <v>42614</v>
      </c>
      <c r="Y90" s="61" t="n">
        <f aca="false">X90-C$3</f>
        <v>5609</v>
      </c>
      <c r="Z90" s="136" t="n">
        <f aca="false">VLOOKUP($A90,[1]!CurveTable,MATCH($Z$4,[1]!CurveType,0))</f>
        <v>0.0648491090464804</v>
      </c>
      <c r="AA90" s="137" t="n">
        <f aca="false">1/(1+CHOOSE(F$3,(Z91+($K$3/10000))/2,(Z90+($K$3/10000))/2))^(2*Y90/365.25)</f>
        <v>0.37528944749839</v>
      </c>
      <c r="AB90" s="61" t="n">
        <f aca="false">IF(AND(mthbeg&lt;=A90,mthend&gt;=A90),1,0)</f>
        <v>1</v>
      </c>
      <c r="AC90" s="61" t="n">
        <f aca="false">W90*AB90</f>
        <v>30</v>
      </c>
      <c r="AD90" s="121" t="n">
        <f aca="false">$D90*E90</f>
        <v>11717487.5531242</v>
      </c>
      <c r="AE90" s="121" t="n">
        <f aca="false">$D90*F90</f>
        <v>0</v>
      </c>
      <c r="AF90" s="121" t="n">
        <f aca="false">$D90*G90</f>
        <v>11717487.5531242</v>
      </c>
      <c r="AG90" s="121" t="n">
        <f aca="false">$D90*H90</f>
        <v>0</v>
      </c>
      <c r="AH90" s="121" t="n">
        <f aca="false">$D90*I90</f>
        <v>0</v>
      </c>
      <c r="AI90" s="121" t="n">
        <f aca="false">$D90*J90</f>
        <v>0</v>
      </c>
      <c r="AJ90" s="121" t="n">
        <f aca="false">$D90*K90</f>
        <v>0</v>
      </c>
      <c r="AK90" s="121" t="n">
        <f aca="false">$D90*L90</f>
        <v>0</v>
      </c>
      <c r="AL90" s="121" t="n">
        <f aca="false">$D90*M90</f>
        <v>0</v>
      </c>
      <c r="AM90" s="139"/>
      <c r="AO90" s="75" t="e">
        <f aca="false">EURO(N90,O90,Z90,Z90,R90,U90,0,0)</f>
        <v>#NAME?</v>
      </c>
      <c r="AP90" s="138" t="e">
        <f aca="false">AO90*C90</f>
        <v>#NAME?</v>
      </c>
      <c r="AQ90" s="60" t="e">
        <f aca="false">-EURO(N90,O90,Z90,Z90,R90,U90,0,1)</f>
        <v>#NAME?</v>
      </c>
    </row>
    <row r="91" customFormat="false" ht="12.75" hidden="false" customHeight="false" outlineLevel="0" collapsed="false">
      <c r="A91" s="127" t="n">
        <f aca="false">EDATE(A90,1)</f>
        <v>42644</v>
      </c>
      <c r="B91" s="128" t="n">
        <f aca="false">B90</f>
        <v>205479</v>
      </c>
      <c r="C91" s="116" t="n">
        <f aca="false">IF(AB91=0,0,IF(AND(AB91=1,$H$3=1),B91*W91,IF($H$3=2,B91,"N/A")))</f>
        <v>6369849</v>
      </c>
      <c r="D91" s="116" t="n">
        <f aca="false">C91*AA91</f>
        <v>2376576.24837087</v>
      </c>
      <c r="E91" s="129" t="n">
        <f aca="false">VLOOKUP($A91,[1]!CurveTable,MATCH($E$4,[1]!CurveType,0))</f>
        <v>5.095</v>
      </c>
      <c r="F91" s="130"/>
      <c r="G91" s="131" t="n">
        <f aca="false">E91</f>
        <v>5.095</v>
      </c>
      <c r="H91" s="129" t="n">
        <f aca="false">VLOOKUP($A91,[1]!CurveTable,MATCH($H$4,[1]!CurveType,0))</f>
        <v>0</v>
      </c>
      <c r="I91" s="131"/>
      <c r="J91" s="131" t="n">
        <f aca="false">H91</f>
        <v>0</v>
      </c>
      <c r="K91" s="129"/>
      <c r="L91" s="131"/>
      <c r="M91" s="131"/>
      <c r="N91" s="131" t="n">
        <f aca="false">G91+J91+M91+$N$7</f>
        <v>4.805</v>
      </c>
      <c r="O91" s="131" t="n">
        <f aca="false">O90</f>
        <v>3</v>
      </c>
      <c r="P91" s="131"/>
      <c r="Q91" s="129" t="n">
        <f aca="false">VLOOKUP($A91,[1]!CurveTable,MATCH($Q$4,[1]!CurveType,0))</f>
        <v>0.17</v>
      </c>
      <c r="R91" s="129" t="n">
        <f aca="false">Q91+Summary!C$25</f>
        <v>0.17</v>
      </c>
      <c r="S91" s="129"/>
      <c r="T91" s="132" t="n">
        <f aca="false">X91</f>
        <v>42644</v>
      </c>
      <c r="U91" s="133" t="n">
        <f aca="false">T91-$C$3</f>
        <v>5639</v>
      </c>
      <c r="W91" s="61" t="n">
        <f aca="false">A92-A91</f>
        <v>31</v>
      </c>
      <c r="X91" s="135" t="n">
        <f aca="false">CHOOSE(F$3,A92+24,A91)</f>
        <v>42644</v>
      </c>
      <c r="Y91" s="61" t="n">
        <f aca="false">X91-C$3</f>
        <v>5639</v>
      </c>
      <c r="Z91" s="136" t="n">
        <f aca="false">VLOOKUP($A91,[1]!CurveTable,MATCH($Z$4,[1]!CurveType,0))</f>
        <v>0.0648902552132204</v>
      </c>
      <c r="AA91" s="137" t="n">
        <f aca="false">1/(1+CHOOSE(F$3,(Z92+($K$3/10000))/2,(Z91+($K$3/10000))/2))^(2*Y91/365.25)</f>
        <v>0.373097737225933</v>
      </c>
      <c r="AB91" s="61" t="n">
        <f aca="false">IF(AND(mthbeg&lt;=A91,mthend&gt;=A91),1,0)</f>
        <v>1</v>
      </c>
      <c r="AC91" s="61" t="n">
        <f aca="false">W91*AB91</f>
        <v>31</v>
      </c>
      <c r="AD91" s="121" t="n">
        <f aca="false">$D91*E91</f>
        <v>12108655.9854496</v>
      </c>
      <c r="AE91" s="121" t="n">
        <f aca="false">$D91*F91</f>
        <v>0</v>
      </c>
      <c r="AF91" s="121" t="n">
        <f aca="false">$D91*G91</f>
        <v>12108655.9854496</v>
      </c>
      <c r="AG91" s="121" t="n">
        <f aca="false">$D91*H91</f>
        <v>0</v>
      </c>
      <c r="AH91" s="121" t="n">
        <f aca="false">$D91*I91</f>
        <v>0</v>
      </c>
      <c r="AI91" s="121" t="n">
        <f aca="false">$D91*J91</f>
        <v>0</v>
      </c>
      <c r="AJ91" s="121" t="n">
        <f aca="false">$D91*K91</f>
        <v>0</v>
      </c>
      <c r="AK91" s="121" t="n">
        <f aca="false">$D91*L91</f>
        <v>0</v>
      </c>
      <c r="AL91" s="121" t="n">
        <f aca="false">$D91*M91</f>
        <v>0</v>
      </c>
      <c r="AM91" s="139"/>
      <c r="AO91" s="75" t="e">
        <f aca="false">EURO(N91,O91,Z91,Z91,R91,U91,0,0)</f>
        <v>#NAME?</v>
      </c>
      <c r="AP91" s="138" t="e">
        <f aca="false">AO91*C91</f>
        <v>#NAME?</v>
      </c>
      <c r="AQ91" s="60" t="e">
        <f aca="false">-EURO(N91,O91,Z91,Z91,R91,U91,0,1)</f>
        <v>#NAME?</v>
      </c>
    </row>
    <row r="92" customFormat="false" ht="12.75" hidden="false" customHeight="false" outlineLevel="0" collapsed="false">
      <c r="A92" s="127" t="n">
        <f aca="false">EDATE(A91,1)</f>
        <v>42675</v>
      </c>
      <c r="B92" s="128" t="n">
        <f aca="false">B91</f>
        <v>205479</v>
      </c>
      <c r="C92" s="116" t="n">
        <f aca="false">IF(AB92=0,0,IF(AND(AB92=1,$H$3=1),B92*W92,IF($H$3=2,B92,"N/A")))</f>
        <v>6164370</v>
      </c>
      <c r="D92" s="116" t="n">
        <f aca="false">C92*AA92</f>
        <v>2286018.82745456</v>
      </c>
      <c r="E92" s="129" t="n">
        <f aca="false">VLOOKUP($A92,[1]!CurveTable,MATCH($E$4,[1]!CurveType,0))</f>
        <v>5.205</v>
      </c>
      <c r="F92" s="130"/>
      <c r="G92" s="131" t="n">
        <f aca="false">E92</f>
        <v>5.205</v>
      </c>
      <c r="H92" s="129" t="n">
        <f aca="false">VLOOKUP($A92,[1]!CurveTable,MATCH($H$4,[1]!CurveType,0))</f>
        <v>0</v>
      </c>
      <c r="I92" s="131"/>
      <c r="J92" s="131" t="n">
        <f aca="false">H92</f>
        <v>0</v>
      </c>
      <c r="K92" s="129"/>
      <c r="L92" s="131"/>
      <c r="M92" s="131"/>
      <c r="N92" s="131" t="n">
        <f aca="false">G92+J92+M92+$N$7</f>
        <v>4.915</v>
      </c>
      <c r="O92" s="131" t="n">
        <f aca="false">O91</f>
        <v>3</v>
      </c>
      <c r="P92" s="131"/>
      <c r="Q92" s="129" t="n">
        <f aca="false">VLOOKUP($A92,[1]!CurveTable,MATCH($Q$4,[1]!CurveType,0))</f>
        <v>0.17</v>
      </c>
      <c r="R92" s="129" t="n">
        <f aca="false">Q92+Summary!C$25</f>
        <v>0.17</v>
      </c>
      <c r="S92" s="129"/>
      <c r="T92" s="132" t="n">
        <f aca="false">X92</f>
        <v>42675</v>
      </c>
      <c r="U92" s="133" t="n">
        <f aca="false">T92-$C$3</f>
        <v>5670</v>
      </c>
      <c r="W92" s="61" t="n">
        <f aca="false">A93-A92</f>
        <v>30</v>
      </c>
      <c r="X92" s="135" t="n">
        <f aca="false">CHOOSE(F$3,A93+24,A92)</f>
        <v>42675</v>
      </c>
      <c r="Y92" s="61" t="n">
        <f aca="false">X92-C$3</f>
        <v>5670</v>
      </c>
      <c r="Z92" s="136" t="n">
        <f aca="false">VLOOKUP($A92,[1]!CurveTable,MATCH($Z$4,[1]!CurveType,0))</f>
        <v>0.0649327729194416</v>
      </c>
      <c r="AA92" s="137" t="n">
        <f aca="false">1/(1+CHOOSE(F$3,(Z93+($K$3/10000))/2,(Z92+($K$3/10000))/2))^(2*Y92/365.25)</f>
        <v>0.370843870088031</v>
      </c>
      <c r="AB92" s="61" t="n">
        <f aca="false">IF(AND(mthbeg&lt;=A92,mthend&gt;=A92),1,0)</f>
        <v>1</v>
      </c>
      <c r="AC92" s="61" t="n">
        <f aca="false">W92*AB92</f>
        <v>30</v>
      </c>
      <c r="AD92" s="121" t="n">
        <f aca="false">$D92*E92</f>
        <v>11898727.996901</v>
      </c>
      <c r="AE92" s="121" t="n">
        <f aca="false">$D92*F92</f>
        <v>0</v>
      </c>
      <c r="AF92" s="121" t="n">
        <f aca="false">$D92*G92</f>
        <v>11898727.996901</v>
      </c>
      <c r="AG92" s="121" t="n">
        <f aca="false">$D92*H92</f>
        <v>0</v>
      </c>
      <c r="AH92" s="121" t="n">
        <f aca="false">$D92*I92</f>
        <v>0</v>
      </c>
      <c r="AI92" s="121" t="n">
        <f aca="false">$D92*J92</f>
        <v>0</v>
      </c>
      <c r="AJ92" s="121" t="n">
        <f aca="false">$D92*K92</f>
        <v>0</v>
      </c>
      <c r="AK92" s="121" t="n">
        <f aca="false">$D92*L92</f>
        <v>0</v>
      </c>
      <c r="AL92" s="121" t="n">
        <f aca="false">$D92*M92</f>
        <v>0</v>
      </c>
      <c r="AM92" s="139"/>
      <c r="AO92" s="75" t="e">
        <f aca="false">EURO(N92,O92,Z92,Z92,R92,U92,0,0)</f>
        <v>#NAME?</v>
      </c>
      <c r="AP92" s="138" t="e">
        <f aca="false">AO92*C92</f>
        <v>#NAME?</v>
      </c>
      <c r="AQ92" s="60" t="e">
        <f aca="false">-EURO(N92,O92,Z92,Z92,R92,U92,0,1)</f>
        <v>#NAME?</v>
      </c>
    </row>
    <row r="93" customFormat="false" ht="12.75" hidden="false" customHeight="false" outlineLevel="0" collapsed="false">
      <c r="A93" s="127" t="n">
        <f aca="false">EDATE(A92,1)</f>
        <v>42705</v>
      </c>
      <c r="B93" s="128" t="n">
        <f aca="false">B92</f>
        <v>205479</v>
      </c>
      <c r="C93" s="116" t="n">
        <f aca="false">IF(AB93=0,0,IF(AND(AB93=1,$H$3=1),B93*W93,IF($H$3=2,B93,"N/A")))</f>
        <v>6369849</v>
      </c>
      <c r="D93" s="116" t="n">
        <f aca="false">C93*AA93</f>
        <v>2348392.76595346</v>
      </c>
      <c r="E93" s="129" t="n">
        <f aca="false">VLOOKUP($A93,[1]!CurveTable,MATCH($E$4,[1]!CurveType,0))</f>
        <v>5.325</v>
      </c>
      <c r="F93" s="130"/>
      <c r="G93" s="131" t="n">
        <f aca="false">E93</f>
        <v>5.325</v>
      </c>
      <c r="H93" s="129" t="n">
        <f aca="false">VLOOKUP($A93,[1]!CurveTable,MATCH($H$4,[1]!CurveType,0))</f>
        <v>0</v>
      </c>
      <c r="I93" s="131"/>
      <c r="J93" s="131" t="n">
        <f aca="false">H93</f>
        <v>0</v>
      </c>
      <c r="K93" s="129"/>
      <c r="L93" s="131"/>
      <c r="M93" s="131"/>
      <c r="N93" s="131" t="n">
        <f aca="false">G93+J93+M93+$N$7</f>
        <v>5.035</v>
      </c>
      <c r="O93" s="131" t="n">
        <f aca="false">O92</f>
        <v>3</v>
      </c>
      <c r="P93" s="131"/>
      <c r="Q93" s="129" t="n">
        <f aca="false">VLOOKUP($A93,[1]!CurveTable,MATCH($Q$4,[1]!CurveType,0))</f>
        <v>0.17</v>
      </c>
      <c r="R93" s="129" t="n">
        <f aca="false">Q93+Summary!C$25</f>
        <v>0.17</v>
      </c>
      <c r="S93" s="129"/>
      <c r="T93" s="132" t="n">
        <f aca="false">X93</f>
        <v>42705</v>
      </c>
      <c r="U93" s="133" t="n">
        <f aca="false">T93-$C$3</f>
        <v>5700</v>
      </c>
      <c r="W93" s="61" t="n">
        <f aca="false">A94-A93</f>
        <v>31</v>
      </c>
      <c r="X93" s="135" t="n">
        <f aca="false">CHOOSE(F$3,A94+24,A93)</f>
        <v>42705</v>
      </c>
      <c r="Y93" s="61" t="n">
        <f aca="false">X93-C$3</f>
        <v>5700</v>
      </c>
      <c r="Z93" s="136" t="n">
        <f aca="false">VLOOKUP($A93,[1]!CurveTable,MATCH($Z$4,[1]!CurveType,0))</f>
        <v>0.0649739190873224</v>
      </c>
      <c r="AA93" s="137" t="n">
        <f aca="false">1/(1+CHOOSE(F$3,(Z94+($K$3/10000))/2,(Z93+($K$3/10000))/2))^(2*Y93/365.25)</f>
        <v>0.368673223800668</v>
      </c>
      <c r="AB93" s="61" t="n">
        <f aca="false">IF(AND(mthbeg&lt;=A93,mthend&gt;=A93),1,0)</f>
        <v>1</v>
      </c>
      <c r="AC93" s="61" t="n">
        <f aca="false">W93*AB93</f>
        <v>31</v>
      </c>
      <c r="AD93" s="121" t="n">
        <f aca="false">$D93*E93</f>
        <v>12505191.4787022</v>
      </c>
      <c r="AE93" s="121" t="n">
        <f aca="false">$D93*F93</f>
        <v>0</v>
      </c>
      <c r="AF93" s="121" t="n">
        <f aca="false">$D93*G93</f>
        <v>12505191.4787022</v>
      </c>
      <c r="AG93" s="121" t="n">
        <f aca="false">$D93*H93</f>
        <v>0</v>
      </c>
      <c r="AH93" s="121" t="n">
        <f aca="false">$D93*I93</f>
        <v>0</v>
      </c>
      <c r="AI93" s="121" t="n">
        <f aca="false">$D93*J93</f>
        <v>0</v>
      </c>
      <c r="AJ93" s="121" t="n">
        <f aca="false">$D93*K93</f>
        <v>0</v>
      </c>
      <c r="AK93" s="121" t="n">
        <f aca="false">$D93*L93</f>
        <v>0</v>
      </c>
      <c r="AL93" s="121" t="n">
        <f aca="false">$D93*M93</f>
        <v>0</v>
      </c>
      <c r="AM93" s="139"/>
      <c r="AO93" s="75" t="e">
        <f aca="false">EURO(N93,O93,Z93,Z93,R93,U93,0,0)</f>
        <v>#NAME?</v>
      </c>
      <c r="AP93" s="138" t="e">
        <f aca="false">AO93*C93</f>
        <v>#NAME?</v>
      </c>
      <c r="AQ93" s="60" t="e">
        <f aca="false">-EURO(N93,O93,Z93,Z93,R93,U93,0,1)</f>
        <v>#NAME?</v>
      </c>
    </row>
    <row r="94" customFormat="false" ht="12.75" hidden="false" customHeight="false" outlineLevel="0" collapsed="false">
      <c r="A94" s="127" t="n">
        <f aca="false">EDATE(A93,1)</f>
        <v>42736</v>
      </c>
      <c r="B94" s="128" t="n">
        <f aca="false">B93</f>
        <v>205479</v>
      </c>
      <c r="C94" s="116" t="n">
        <f aca="false">IF(AB94=0,0,IF(AND(AB94=1,$H$3=1),B94*W94,IF($H$3=2,B94,"N/A")))</f>
        <v>6369849</v>
      </c>
      <c r="D94" s="116" t="n">
        <f aca="false">C94*AA94</f>
        <v>2334174.18169845</v>
      </c>
      <c r="E94" s="129" t="n">
        <f aca="false">VLOOKUP($A94,[1]!CurveTable,MATCH($E$4,[1]!CurveType,0))</f>
        <v>5.4125</v>
      </c>
      <c r="F94" s="130"/>
      <c r="G94" s="131" t="n">
        <f aca="false">E94</f>
        <v>5.4125</v>
      </c>
      <c r="H94" s="129" t="n">
        <f aca="false">VLOOKUP($A94,[1]!CurveTable,MATCH($H$4,[1]!CurveType,0))</f>
        <v>0</v>
      </c>
      <c r="I94" s="131"/>
      <c r="J94" s="131" t="n">
        <f aca="false">H94</f>
        <v>0</v>
      </c>
      <c r="K94" s="129"/>
      <c r="L94" s="131"/>
      <c r="M94" s="131"/>
      <c r="N94" s="131" t="n">
        <f aca="false">G94+J94+M94+$N$7</f>
        <v>5.1225</v>
      </c>
      <c r="O94" s="131" t="n">
        <f aca="false">O93</f>
        <v>3</v>
      </c>
      <c r="P94" s="131"/>
      <c r="Q94" s="129" t="n">
        <f aca="false">VLOOKUP($A94,[1]!CurveTable,MATCH($Q$4,[1]!CurveType,0))</f>
        <v>0.17</v>
      </c>
      <c r="R94" s="129" t="n">
        <f aca="false">Q94+Summary!C$25</f>
        <v>0.17</v>
      </c>
      <c r="S94" s="129"/>
      <c r="T94" s="132" t="n">
        <f aca="false">X94</f>
        <v>42736</v>
      </c>
      <c r="U94" s="133" t="n">
        <f aca="false">T94-$C$3</f>
        <v>5731</v>
      </c>
      <c r="W94" s="61" t="n">
        <f aca="false">A95-A94</f>
        <v>31</v>
      </c>
      <c r="X94" s="135" t="n">
        <f aca="false">CHOOSE(F$3,A95+24,A94)</f>
        <v>42736</v>
      </c>
      <c r="Y94" s="61" t="n">
        <f aca="false">X94-C$3</f>
        <v>5731</v>
      </c>
      <c r="Z94" s="136" t="n">
        <f aca="false">VLOOKUP($A94,[1]!CurveTable,MATCH($Z$4,[1]!CurveType,0))</f>
        <v>0.065016436794723</v>
      </c>
      <c r="AA94" s="137" t="n">
        <f aca="false">1/(1+CHOOSE(F$3,(Z95+($K$3/10000))/2,(Z94+($K$3/10000))/2))^(2*Y94/365.25)</f>
        <v>0.366441054049861</v>
      </c>
      <c r="AB94" s="61" t="n">
        <f aca="false">IF(AND(mthbeg&lt;=A94,mthend&gt;=A94),1,0)</f>
        <v>1</v>
      </c>
      <c r="AC94" s="61" t="n">
        <f aca="false">W94*AB94</f>
        <v>31</v>
      </c>
      <c r="AD94" s="121" t="n">
        <f aca="false">$D94*E94</f>
        <v>12633717.7584429</v>
      </c>
      <c r="AE94" s="121" t="n">
        <f aca="false">$D94*F94</f>
        <v>0</v>
      </c>
      <c r="AF94" s="121" t="n">
        <f aca="false">$D94*G94</f>
        <v>12633717.7584429</v>
      </c>
      <c r="AG94" s="121" t="n">
        <f aca="false">$D94*H94</f>
        <v>0</v>
      </c>
      <c r="AH94" s="121" t="n">
        <f aca="false">$D94*I94</f>
        <v>0</v>
      </c>
      <c r="AI94" s="121" t="n">
        <f aca="false">$D94*J94</f>
        <v>0</v>
      </c>
      <c r="AJ94" s="121" t="n">
        <f aca="false">$D94*K94</f>
        <v>0</v>
      </c>
      <c r="AK94" s="121" t="n">
        <f aca="false">$D94*L94</f>
        <v>0</v>
      </c>
      <c r="AL94" s="121" t="n">
        <f aca="false">$D94*M94</f>
        <v>0</v>
      </c>
      <c r="AM94" s="139"/>
      <c r="AO94" s="75" t="e">
        <f aca="false">EURO(N94,O94,Z94,Z94,R94,U94,0,0)</f>
        <v>#NAME?</v>
      </c>
      <c r="AP94" s="138" t="e">
        <f aca="false">AO94*C94</f>
        <v>#NAME?</v>
      </c>
      <c r="AQ94" s="60" t="e">
        <f aca="false">-EURO(N94,O94,Z94,Z94,R94,U94,0,1)</f>
        <v>#NAME?</v>
      </c>
    </row>
    <row r="95" customFormat="false" ht="12.75" hidden="false" customHeight="false" outlineLevel="0" collapsed="false">
      <c r="A95" s="127" t="n">
        <f aca="false">EDATE(A94,1)</f>
        <v>42767</v>
      </c>
      <c r="B95" s="128" t="n">
        <f aca="false">B94</f>
        <v>205479</v>
      </c>
      <c r="C95" s="116" t="n">
        <f aca="false">IF(AB95=0,0,IF(AND(AB95=1,$H$3=1),B95*W95,IF($H$3=2,B95,"N/A")))</f>
        <v>5753412</v>
      </c>
      <c r="D95" s="116" t="n">
        <f aca="false">C95*AA95</f>
        <v>2095506.90241469</v>
      </c>
      <c r="E95" s="129" t="n">
        <f aca="false">VLOOKUP($A95,[1]!CurveTable,MATCH($E$4,[1]!CurveType,0))</f>
        <v>5.2925</v>
      </c>
      <c r="F95" s="130"/>
      <c r="G95" s="131" t="n">
        <f aca="false">E95</f>
        <v>5.2925</v>
      </c>
      <c r="H95" s="129" t="n">
        <f aca="false">VLOOKUP($A95,[1]!CurveTable,MATCH($H$4,[1]!CurveType,0))</f>
        <v>0</v>
      </c>
      <c r="I95" s="131"/>
      <c r="J95" s="131" t="n">
        <f aca="false">H95</f>
        <v>0</v>
      </c>
      <c r="K95" s="129"/>
      <c r="L95" s="131"/>
      <c r="M95" s="131"/>
      <c r="N95" s="131" t="n">
        <f aca="false">G95+J95+M95+$N$7</f>
        <v>5.0025</v>
      </c>
      <c r="O95" s="131" t="n">
        <f aca="false">O94</f>
        <v>3</v>
      </c>
      <c r="P95" s="131"/>
      <c r="Q95" s="129" t="n">
        <f aca="false">VLOOKUP($A95,[1]!CurveTable,MATCH($Q$4,[1]!CurveType,0))</f>
        <v>0.17</v>
      </c>
      <c r="R95" s="129" t="n">
        <f aca="false">Q95+Summary!C$25</f>
        <v>0.17</v>
      </c>
      <c r="S95" s="129"/>
      <c r="T95" s="132" t="n">
        <f aca="false">X95</f>
        <v>42767</v>
      </c>
      <c r="U95" s="133" t="n">
        <f aca="false">T95-$C$3</f>
        <v>5762</v>
      </c>
      <c r="W95" s="61" t="n">
        <f aca="false">A96-A95</f>
        <v>28</v>
      </c>
      <c r="X95" s="135" t="n">
        <f aca="false">CHOOSE(F$3,A96+24,A95)</f>
        <v>42767</v>
      </c>
      <c r="Y95" s="61" t="n">
        <f aca="false">X95-C$3</f>
        <v>5762</v>
      </c>
      <c r="Z95" s="136" t="n">
        <f aca="false">VLOOKUP($A95,[1]!CurveTable,MATCH($Z$4,[1]!CurveType,0))</f>
        <v>0.0650589545027218</v>
      </c>
      <c r="AA95" s="137" t="n">
        <f aca="false">1/(1+CHOOSE(F$3,(Z96+($K$3/10000))/2,(Z95+($K$3/10000))/2))^(2*Y95/365.25)</f>
        <v>0.364219858131956</v>
      </c>
      <c r="AB95" s="61" t="n">
        <f aca="false">IF(AND(mthbeg&lt;=A95,mthend&gt;=A95),1,0)</f>
        <v>1</v>
      </c>
      <c r="AC95" s="61" t="n">
        <f aca="false">W95*AB95</f>
        <v>28</v>
      </c>
      <c r="AD95" s="121" t="n">
        <f aca="false">$D95*E95</f>
        <v>11090470.2810298</v>
      </c>
      <c r="AE95" s="121" t="n">
        <f aca="false">$D95*F95</f>
        <v>0</v>
      </c>
      <c r="AF95" s="121" t="n">
        <f aca="false">$D95*G95</f>
        <v>11090470.2810298</v>
      </c>
      <c r="AG95" s="121" t="n">
        <f aca="false">$D95*H95</f>
        <v>0</v>
      </c>
      <c r="AH95" s="121" t="n">
        <f aca="false">$D95*I95</f>
        <v>0</v>
      </c>
      <c r="AI95" s="121" t="n">
        <f aca="false">$D95*J95</f>
        <v>0</v>
      </c>
      <c r="AJ95" s="121" t="n">
        <f aca="false">$D95*K95</f>
        <v>0</v>
      </c>
      <c r="AK95" s="121" t="n">
        <f aca="false">$D95*L95</f>
        <v>0</v>
      </c>
      <c r="AL95" s="121" t="n">
        <f aca="false">$D95*M95</f>
        <v>0</v>
      </c>
      <c r="AM95" s="139"/>
      <c r="AO95" s="75" t="e">
        <f aca="false">EURO(N95,O95,Z95,Z95,R95,U95,0,0)</f>
        <v>#NAME?</v>
      </c>
      <c r="AP95" s="138" t="e">
        <f aca="false">AO95*C95</f>
        <v>#NAME?</v>
      </c>
      <c r="AQ95" s="60" t="e">
        <f aca="false">-EURO(N95,O95,Z95,Z95,R95,U95,0,1)</f>
        <v>#NAME?</v>
      </c>
    </row>
    <row r="96" customFormat="false" ht="12.75" hidden="false" customHeight="false" outlineLevel="0" collapsed="false">
      <c r="A96" s="127" t="n">
        <f aca="false">EDATE(A95,1)</f>
        <v>42795</v>
      </c>
      <c r="B96" s="128" t="n">
        <f aca="false">B95</f>
        <v>205479</v>
      </c>
      <c r="C96" s="116" t="n">
        <f aca="false">IF(AB96=0,0,IF(AND(AB96=1,$H$3=1),B96*W96,IF($H$3=2,B96,"N/A")))</f>
        <v>6369849</v>
      </c>
      <c r="D96" s="116" t="n">
        <f aca="false">C96*AA96</f>
        <v>2307305.93751058</v>
      </c>
      <c r="E96" s="129" t="n">
        <f aca="false">VLOOKUP($A96,[1]!CurveTable,MATCH($E$4,[1]!CurveType,0))</f>
        <v>5.1535</v>
      </c>
      <c r="F96" s="130"/>
      <c r="G96" s="131" t="n">
        <f aca="false">E96</f>
        <v>5.1535</v>
      </c>
      <c r="H96" s="129" t="n">
        <f aca="false">VLOOKUP($A96,[1]!CurveTable,MATCH($H$4,[1]!CurveType,0))</f>
        <v>0</v>
      </c>
      <c r="I96" s="131"/>
      <c r="J96" s="131" t="n">
        <f aca="false">H96</f>
        <v>0</v>
      </c>
      <c r="K96" s="129"/>
      <c r="L96" s="131"/>
      <c r="M96" s="131"/>
      <c r="N96" s="131" t="n">
        <f aca="false">G96+J96+M96+$N$7</f>
        <v>4.8635</v>
      </c>
      <c r="O96" s="131" t="n">
        <f aca="false">O95</f>
        <v>3</v>
      </c>
      <c r="P96" s="131"/>
      <c r="Q96" s="129" t="n">
        <f aca="false">VLOOKUP($A96,[1]!CurveTable,MATCH($Q$4,[1]!CurveType,0))</f>
        <v>0.17</v>
      </c>
      <c r="R96" s="129" t="n">
        <f aca="false">Q96+Summary!C$25</f>
        <v>0.17</v>
      </c>
      <c r="S96" s="129"/>
      <c r="T96" s="132" t="n">
        <f aca="false">X96</f>
        <v>42795</v>
      </c>
      <c r="U96" s="133" t="n">
        <f aca="false">T96-$C$3</f>
        <v>5790</v>
      </c>
      <c r="W96" s="61" t="n">
        <f aca="false">A97-A96</f>
        <v>31</v>
      </c>
      <c r="X96" s="135" t="n">
        <f aca="false">CHOOSE(F$3,A97+24,A96)</f>
        <v>42795</v>
      </c>
      <c r="Y96" s="61" t="n">
        <f aca="false">X96-C$3</f>
        <v>5790</v>
      </c>
      <c r="Z96" s="136" t="n">
        <f aca="false">VLOOKUP($A96,[1]!CurveTable,MATCH($Z$4,[1]!CurveType,0))</f>
        <v>0.0650973575943334</v>
      </c>
      <c r="AA96" s="137" t="n">
        <f aca="false">1/(1+CHOOSE(F$3,(Z97+($K$3/10000))/2,(Z96+($K$3/10000))/2))^(2*Y96/365.25)</f>
        <v>0.36222301933854</v>
      </c>
      <c r="AB96" s="61" t="n">
        <f aca="false">IF(AND(mthbeg&lt;=A96,mthend&gt;=A96),1,0)</f>
        <v>1</v>
      </c>
      <c r="AC96" s="61" t="n">
        <f aca="false">W96*AB96</f>
        <v>31</v>
      </c>
      <c r="AD96" s="121" t="n">
        <f aca="false">$D96*E96</f>
        <v>11890701.1489608</v>
      </c>
      <c r="AE96" s="121" t="n">
        <f aca="false">$D96*F96</f>
        <v>0</v>
      </c>
      <c r="AF96" s="121" t="n">
        <f aca="false">$D96*G96</f>
        <v>11890701.1489608</v>
      </c>
      <c r="AG96" s="121" t="n">
        <f aca="false">$D96*H96</f>
        <v>0</v>
      </c>
      <c r="AH96" s="121" t="n">
        <f aca="false">$D96*I96</f>
        <v>0</v>
      </c>
      <c r="AI96" s="121" t="n">
        <f aca="false">$D96*J96</f>
        <v>0</v>
      </c>
      <c r="AJ96" s="121" t="n">
        <f aca="false">$D96*K96</f>
        <v>0</v>
      </c>
      <c r="AK96" s="121" t="n">
        <f aca="false">$D96*L96</f>
        <v>0</v>
      </c>
      <c r="AL96" s="121" t="n">
        <f aca="false">$D96*M96</f>
        <v>0</v>
      </c>
      <c r="AM96" s="139"/>
      <c r="AO96" s="75" t="e">
        <f aca="false">EURO(N96,O96,Z96,Z96,R96,U96,0,0)</f>
        <v>#NAME?</v>
      </c>
      <c r="AP96" s="138" t="e">
        <f aca="false">AO96*C96</f>
        <v>#NAME?</v>
      </c>
      <c r="AQ96" s="60" t="e">
        <f aca="false">-EURO(N96,O96,Z96,Z96,R96,U96,0,1)</f>
        <v>#NAME?</v>
      </c>
    </row>
    <row r="97" customFormat="false" ht="12.75" hidden="false" customHeight="false" outlineLevel="0" collapsed="false">
      <c r="A97" s="127" t="n">
        <f aca="false">EDATE(A96,1)</f>
        <v>42826</v>
      </c>
      <c r="B97" s="128" t="n">
        <f aca="false">B96</f>
        <v>205479</v>
      </c>
      <c r="C97" s="116" t="n">
        <f aca="false">IF(AB97=0,0,IF(AND(AB97=1,$H$3=1),B97*W97,IF($H$3=2,B97,"N/A")))</f>
        <v>6164370</v>
      </c>
      <c r="D97" s="116" t="n">
        <f aca="false">C97*AA97</f>
        <v>2219312.58195166</v>
      </c>
      <c r="E97" s="129" t="n">
        <f aca="false">VLOOKUP($A97,[1]!CurveTable,MATCH($E$4,[1]!CurveType,0))</f>
        <v>4.9835</v>
      </c>
      <c r="F97" s="130"/>
      <c r="G97" s="131" t="n">
        <f aca="false">E97</f>
        <v>4.9835</v>
      </c>
      <c r="H97" s="129" t="n">
        <f aca="false">VLOOKUP($A97,[1]!CurveTable,MATCH($H$4,[1]!CurveType,0))</f>
        <v>0</v>
      </c>
      <c r="I97" s="131"/>
      <c r="J97" s="131" t="n">
        <f aca="false">H97</f>
        <v>0</v>
      </c>
      <c r="K97" s="129"/>
      <c r="L97" s="131"/>
      <c r="M97" s="131"/>
      <c r="N97" s="131" t="n">
        <f aca="false">G97+J97+M97+$N$7</f>
        <v>4.6935</v>
      </c>
      <c r="O97" s="131" t="n">
        <f aca="false">O96</f>
        <v>3</v>
      </c>
      <c r="P97" s="131"/>
      <c r="Q97" s="129" t="n">
        <f aca="false">VLOOKUP($A97,[1]!CurveTable,MATCH($Q$4,[1]!CurveType,0))</f>
        <v>0.17</v>
      </c>
      <c r="R97" s="129" t="n">
        <f aca="false">Q97+Summary!C$25</f>
        <v>0.17</v>
      </c>
      <c r="S97" s="129"/>
      <c r="T97" s="132" t="n">
        <f aca="false">X97</f>
        <v>42826</v>
      </c>
      <c r="U97" s="133" t="n">
        <f aca="false">T97-$C$3</f>
        <v>5821</v>
      </c>
      <c r="W97" s="61" t="n">
        <f aca="false">A98-A97</f>
        <v>30</v>
      </c>
      <c r="X97" s="135" t="n">
        <f aca="false">CHOOSE(F$3,A98+24,A97)</f>
        <v>42826</v>
      </c>
      <c r="Y97" s="61" t="n">
        <f aca="false">X97-C$3</f>
        <v>5821</v>
      </c>
      <c r="Z97" s="136" t="n">
        <f aca="false">VLOOKUP($A97,[1]!CurveTable,MATCH($Z$4,[1]!CurveType,0))</f>
        <v>0.0651398753034726</v>
      </c>
      <c r="AA97" s="137" t="n">
        <f aca="false">1/(1+CHOOSE(F$3,(Z98+($K$3/10000))/2,(Z97+($K$3/10000))/2))^(2*Y97/365.25)</f>
        <v>0.360022610899681</v>
      </c>
      <c r="AB97" s="61" t="n">
        <f aca="false">IF(AND(mthbeg&lt;=A97,mthend&gt;=A97),1,0)</f>
        <v>1</v>
      </c>
      <c r="AC97" s="61" t="n">
        <f aca="false">W97*AB97</f>
        <v>30</v>
      </c>
      <c r="AD97" s="121" t="n">
        <f aca="false">$D97*E97</f>
        <v>11059944.2521561</v>
      </c>
      <c r="AE97" s="121" t="n">
        <f aca="false">$D97*F97</f>
        <v>0</v>
      </c>
      <c r="AF97" s="121" t="n">
        <f aca="false">$D97*G97</f>
        <v>11059944.2521561</v>
      </c>
      <c r="AG97" s="121" t="n">
        <f aca="false">$D97*H97</f>
        <v>0</v>
      </c>
      <c r="AH97" s="121" t="n">
        <f aca="false">$D97*I97</f>
        <v>0</v>
      </c>
      <c r="AI97" s="121" t="n">
        <f aca="false">$D97*J97</f>
        <v>0</v>
      </c>
      <c r="AJ97" s="121" t="n">
        <f aca="false">$D97*K97</f>
        <v>0</v>
      </c>
      <c r="AK97" s="121" t="n">
        <f aca="false">$D97*L97</f>
        <v>0</v>
      </c>
      <c r="AL97" s="121" t="n">
        <f aca="false">$D97*M97</f>
        <v>0</v>
      </c>
      <c r="AM97" s="139"/>
      <c r="AO97" s="75" t="e">
        <f aca="false">EURO(N97,O97,Z97,Z97,R97,U97,0,0)</f>
        <v>#NAME?</v>
      </c>
      <c r="AP97" s="138" t="e">
        <f aca="false">AO97*C97</f>
        <v>#NAME?</v>
      </c>
      <c r="AQ97" s="60" t="e">
        <f aca="false">-EURO(N97,O97,Z97,Z97,R97,U97,0,1)</f>
        <v>#NAME?</v>
      </c>
    </row>
    <row r="98" customFormat="false" ht="12.75" hidden="false" customHeight="false" outlineLevel="0" collapsed="false">
      <c r="A98" s="127" t="n">
        <f aca="false">EDATE(A97,1)</f>
        <v>42856</v>
      </c>
      <c r="B98" s="128" t="n">
        <f aca="false">B97</f>
        <v>205479</v>
      </c>
      <c r="C98" s="116" t="n">
        <f aca="false">IF(AB98=0,0,IF(AND(AB98=1,$H$3=1),B98*W98,IF($H$3=2,B98,"N/A")))</f>
        <v>6369849</v>
      </c>
      <c r="D98" s="116" t="n">
        <f aca="false">C98*AA98</f>
        <v>2279791.46822217</v>
      </c>
      <c r="E98" s="129" t="n">
        <f aca="false">VLOOKUP($A98,[1]!CurveTable,MATCH($E$4,[1]!CurveType,0))</f>
        <v>5.0425</v>
      </c>
      <c r="F98" s="130"/>
      <c r="G98" s="131" t="n">
        <f aca="false">E98</f>
        <v>5.0425</v>
      </c>
      <c r="H98" s="129" t="n">
        <f aca="false">VLOOKUP($A98,[1]!CurveTable,MATCH($H$4,[1]!CurveType,0))</f>
        <v>0</v>
      </c>
      <c r="I98" s="131"/>
      <c r="J98" s="131" t="n">
        <f aca="false">H98</f>
        <v>0</v>
      </c>
      <c r="K98" s="129"/>
      <c r="L98" s="131"/>
      <c r="M98" s="131"/>
      <c r="N98" s="131" t="n">
        <f aca="false">G98+J98+M98+$N$7</f>
        <v>4.7525</v>
      </c>
      <c r="O98" s="131" t="n">
        <f aca="false">O97</f>
        <v>3</v>
      </c>
      <c r="P98" s="131"/>
      <c r="Q98" s="129" t="n">
        <f aca="false">VLOOKUP($A98,[1]!CurveTable,MATCH($Q$4,[1]!CurveType,0))</f>
        <v>0.17</v>
      </c>
      <c r="R98" s="129" t="n">
        <f aca="false">Q98+Summary!C$25</f>
        <v>0.17</v>
      </c>
      <c r="S98" s="129"/>
      <c r="T98" s="132" t="n">
        <f aca="false">X98</f>
        <v>42856</v>
      </c>
      <c r="U98" s="133" t="n">
        <f aca="false">T98-$C$3</f>
        <v>5851</v>
      </c>
      <c r="W98" s="61" t="n">
        <f aca="false">A99-A98</f>
        <v>31</v>
      </c>
      <c r="X98" s="135" t="n">
        <f aca="false">CHOOSE(F$3,A99+24,A98)</f>
        <v>42856</v>
      </c>
      <c r="Y98" s="61" t="n">
        <f aca="false">X98-C$3</f>
        <v>5851</v>
      </c>
      <c r="Z98" s="136" t="n">
        <f aca="false">VLOOKUP($A98,[1]!CurveTable,MATCH($Z$4,[1]!CurveType,0))</f>
        <v>0.0651810214741788</v>
      </c>
      <c r="AA98" s="137" t="n">
        <f aca="false">1/(1+CHOOSE(F$3,(Z99+($K$3/10000))/2,(Z98+($K$3/10000))/2))^(2*Y98/365.25)</f>
        <v>0.3579035340119</v>
      </c>
      <c r="AB98" s="61" t="n">
        <f aca="false">IF(AND(mthbeg&lt;=A98,mthend&gt;=A98),1,0)</f>
        <v>1</v>
      </c>
      <c r="AC98" s="61" t="n">
        <f aca="false">W98*AB98</f>
        <v>31</v>
      </c>
      <c r="AD98" s="121" t="n">
        <f aca="false">$D98*E98</f>
        <v>11495848.4785103</v>
      </c>
      <c r="AE98" s="121" t="n">
        <f aca="false">$D98*F98</f>
        <v>0</v>
      </c>
      <c r="AF98" s="121" t="n">
        <f aca="false">$D98*G98</f>
        <v>11495848.4785103</v>
      </c>
      <c r="AG98" s="121" t="n">
        <f aca="false">$D98*H98</f>
        <v>0</v>
      </c>
      <c r="AH98" s="121" t="n">
        <f aca="false">$D98*I98</f>
        <v>0</v>
      </c>
      <c r="AI98" s="121" t="n">
        <f aca="false">$D98*J98</f>
        <v>0</v>
      </c>
      <c r="AJ98" s="121" t="n">
        <f aca="false">$D98*K98</f>
        <v>0</v>
      </c>
      <c r="AK98" s="121" t="n">
        <f aca="false">$D98*L98</f>
        <v>0</v>
      </c>
      <c r="AL98" s="121" t="n">
        <f aca="false">$D98*M98</f>
        <v>0</v>
      </c>
      <c r="AM98" s="139"/>
      <c r="AO98" s="75" t="e">
        <f aca="false">EURO(N98,O98,Z98,Z98,R98,U98,0,0)</f>
        <v>#NAME?</v>
      </c>
      <c r="AP98" s="138" t="e">
        <f aca="false">AO98*C98</f>
        <v>#NAME?</v>
      </c>
      <c r="AQ98" s="60" t="e">
        <f aca="false">-EURO(N98,O98,Z98,Z98,R98,U98,0,1)</f>
        <v>#NAME?</v>
      </c>
    </row>
    <row r="99" customFormat="false" ht="12.75" hidden="false" customHeight="false" outlineLevel="0" collapsed="false">
      <c r="A99" s="127" t="n">
        <f aca="false">EDATE(A98,1)</f>
        <v>42887</v>
      </c>
      <c r="B99" s="128" t="n">
        <f aca="false">B98</f>
        <v>205479</v>
      </c>
      <c r="C99" s="116" t="n">
        <f aca="false">IF(AB99=0,0,IF(AND(AB99=1,$H$3=1),B99*W99,IF($H$3=2,B99,"N/A")))</f>
        <v>6164370</v>
      </c>
      <c r="D99" s="116" t="n">
        <f aca="false">C99*AA99</f>
        <v>2192817.32667227</v>
      </c>
      <c r="E99" s="129" t="n">
        <f aca="false">VLOOKUP($A99,[1]!CurveTable,MATCH($E$4,[1]!CurveType,0))</f>
        <v>5.0825</v>
      </c>
      <c r="F99" s="130"/>
      <c r="G99" s="131" t="n">
        <f aca="false">E99</f>
        <v>5.0825</v>
      </c>
      <c r="H99" s="129" t="n">
        <f aca="false">VLOOKUP($A99,[1]!CurveTable,MATCH($H$4,[1]!CurveType,0))</f>
        <v>0</v>
      </c>
      <c r="I99" s="131"/>
      <c r="J99" s="131" t="n">
        <f aca="false">H99</f>
        <v>0</v>
      </c>
      <c r="K99" s="129"/>
      <c r="L99" s="131"/>
      <c r="M99" s="131"/>
      <c r="N99" s="131" t="n">
        <f aca="false">G99+J99+M99+$N$7</f>
        <v>4.7925</v>
      </c>
      <c r="O99" s="131" t="n">
        <f aca="false">O98</f>
        <v>3</v>
      </c>
      <c r="P99" s="131"/>
      <c r="Q99" s="129" t="n">
        <f aca="false">VLOOKUP($A99,[1]!CurveTable,MATCH($Q$4,[1]!CurveType,0))</f>
        <v>0.17</v>
      </c>
      <c r="R99" s="129" t="n">
        <f aca="false">Q99+Summary!C$25</f>
        <v>0.17</v>
      </c>
      <c r="S99" s="129"/>
      <c r="T99" s="132" t="n">
        <f aca="false">X99</f>
        <v>42887</v>
      </c>
      <c r="U99" s="133" t="n">
        <f aca="false">T99-$C$3</f>
        <v>5882</v>
      </c>
      <c r="W99" s="61" t="n">
        <f aca="false">A100-A99</f>
        <v>30</v>
      </c>
      <c r="X99" s="135" t="n">
        <f aca="false">CHOOSE(F$3,A100+24,A99)</f>
        <v>42887</v>
      </c>
      <c r="Y99" s="61" t="n">
        <f aca="false">X99-C$3</f>
        <v>5882</v>
      </c>
      <c r="Z99" s="136" t="n">
        <f aca="false">VLOOKUP($A99,[1]!CurveTable,MATCH($Z$4,[1]!CurveType,0))</f>
        <v>0.0652235391844971</v>
      </c>
      <c r="AA99" s="137" t="n">
        <f aca="false">1/(1+CHOOSE(F$3,(Z100+($K$3/10000))/2,(Z99+($K$3/10000))/2))^(2*Y99/365.25)</f>
        <v>0.35572448225403</v>
      </c>
      <c r="AB99" s="61" t="n">
        <f aca="false">IF(AND(mthbeg&lt;=A99,mthend&gt;=A99),1,0)</f>
        <v>1</v>
      </c>
      <c r="AC99" s="61" t="n">
        <f aca="false">W99*AB99</f>
        <v>30</v>
      </c>
      <c r="AD99" s="121" t="n">
        <f aca="false">$D99*E99</f>
        <v>11144994.0628118</v>
      </c>
      <c r="AE99" s="121" t="n">
        <f aca="false">$D99*F99</f>
        <v>0</v>
      </c>
      <c r="AF99" s="121" t="n">
        <f aca="false">$D99*G99</f>
        <v>11144994.0628118</v>
      </c>
      <c r="AG99" s="121" t="n">
        <f aca="false">$D99*H99</f>
        <v>0</v>
      </c>
      <c r="AH99" s="121" t="n">
        <f aca="false">$D99*I99</f>
        <v>0</v>
      </c>
      <c r="AI99" s="121" t="n">
        <f aca="false">$D99*J99</f>
        <v>0</v>
      </c>
      <c r="AJ99" s="121" t="n">
        <f aca="false">$D99*K99</f>
        <v>0</v>
      </c>
      <c r="AK99" s="121" t="n">
        <f aca="false">$D99*L99</f>
        <v>0</v>
      </c>
      <c r="AL99" s="121" t="n">
        <f aca="false">$D99*M99</f>
        <v>0</v>
      </c>
      <c r="AM99" s="139"/>
      <c r="AO99" s="75" t="e">
        <f aca="false">EURO(N99,O99,Z99,Z99,R99,U99,0,0)</f>
        <v>#NAME?</v>
      </c>
      <c r="AP99" s="138" t="e">
        <f aca="false">AO99*C99</f>
        <v>#NAME?</v>
      </c>
      <c r="AQ99" s="60" t="e">
        <f aca="false">-EURO(N99,O99,Z99,Z99,R99,U99,0,1)</f>
        <v>#NAME?</v>
      </c>
    </row>
    <row r="100" customFormat="false" ht="12.75" hidden="false" customHeight="false" outlineLevel="0" collapsed="false">
      <c r="A100" s="127" t="n">
        <f aca="false">EDATE(A99,1)</f>
        <v>42917</v>
      </c>
      <c r="B100" s="128" t="n">
        <f aca="false">B99</f>
        <v>205479</v>
      </c>
      <c r="C100" s="116" t="n">
        <f aca="false">IF(AB100=0,0,IF(AND(AB100=1,$H$3=1),B100*W100,IF($H$3=2,B100,"N/A")))</f>
        <v>6369849</v>
      </c>
      <c r="D100" s="116" t="n">
        <f aca="false">C100*AA100</f>
        <v>2252544.26357872</v>
      </c>
      <c r="E100" s="129" t="n">
        <f aca="false">VLOOKUP($A100,[1]!CurveTable,MATCH($E$4,[1]!CurveType,0))</f>
        <v>5.1275</v>
      </c>
      <c r="F100" s="130"/>
      <c r="G100" s="131" t="n">
        <f aca="false">E100</f>
        <v>5.1275</v>
      </c>
      <c r="H100" s="129" t="n">
        <f aca="false">VLOOKUP($A100,[1]!CurveTable,MATCH($H$4,[1]!CurveType,0))</f>
        <v>0</v>
      </c>
      <c r="I100" s="131"/>
      <c r="J100" s="131" t="n">
        <f aca="false">H100</f>
        <v>0</v>
      </c>
      <c r="K100" s="129"/>
      <c r="L100" s="131"/>
      <c r="M100" s="131"/>
      <c r="N100" s="131" t="n">
        <f aca="false">G100+J100+M100+$N$7</f>
        <v>4.8375</v>
      </c>
      <c r="O100" s="131" t="n">
        <f aca="false">O99</f>
        <v>3</v>
      </c>
      <c r="P100" s="131"/>
      <c r="Q100" s="129" t="n">
        <f aca="false">VLOOKUP($A100,[1]!CurveTable,MATCH($Q$4,[1]!CurveType,0))</f>
        <v>0.17</v>
      </c>
      <c r="R100" s="129" t="n">
        <f aca="false">Q100+Summary!C$25</f>
        <v>0.17</v>
      </c>
      <c r="S100" s="129"/>
      <c r="T100" s="132" t="n">
        <f aca="false">X100</f>
        <v>42917</v>
      </c>
      <c r="U100" s="133" t="n">
        <f aca="false">T100-$C$3</f>
        <v>5912</v>
      </c>
      <c r="W100" s="61" t="n">
        <f aca="false">A101-A100</f>
        <v>31</v>
      </c>
      <c r="X100" s="135" t="n">
        <f aca="false">CHOOSE(F$3,A101+24,A100)</f>
        <v>42917</v>
      </c>
      <c r="Y100" s="61" t="n">
        <f aca="false">X100-C$3</f>
        <v>5912</v>
      </c>
      <c r="Z100" s="136" t="n">
        <f aca="false">VLOOKUP($A100,[1]!CurveTable,MATCH($Z$4,[1]!CurveType,0))</f>
        <v>0.0652646853563441</v>
      </c>
      <c r="AA100" s="137" t="n">
        <f aca="false">1/(1+CHOOSE(F$3,(Z101+($K$3/10000))/2,(Z100+($K$3/10000))/2))^(2*Y100/365.25)</f>
        <v>0.353626006453013</v>
      </c>
      <c r="AB100" s="61" t="n">
        <f aca="false">IF(AND(mthbeg&lt;=A100,mthend&gt;=A100),1,0)</f>
        <v>1</v>
      </c>
      <c r="AC100" s="61" t="n">
        <f aca="false">W100*AB100</f>
        <v>31</v>
      </c>
      <c r="AD100" s="121" t="n">
        <f aca="false">$D100*E100</f>
        <v>11549920.7114999</v>
      </c>
      <c r="AE100" s="121" t="n">
        <f aca="false">$D100*F100</f>
        <v>0</v>
      </c>
      <c r="AF100" s="121" t="n">
        <f aca="false">$D100*G100</f>
        <v>11549920.7114999</v>
      </c>
      <c r="AG100" s="121" t="n">
        <f aca="false">$D100*H100</f>
        <v>0</v>
      </c>
      <c r="AH100" s="121" t="n">
        <f aca="false">$D100*I100</f>
        <v>0</v>
      </c>
      <c r="AI100" s="121" t="n">
        <f aca="false">$D100*J100</f>
        <v>0</v>
      </c>
      <c r="AJ100" s="121" t="n">
        <f aca="false">$D100*K100</f>
        <v>0</v>
      </c>
      <c r="AK100" s="121" t="n">
        <f aca="false">$D100*L100</f>
        <v>0</v>
      </c>
      <c r="AL100" s="121" t="n">
        <f aca="false">$D100*M100</f>
        <v>0</v>
      </c>
      <c r="AM100" s="139"/>
      <c r="AO100" s="75" t="e">
        <f aca="false">EURO(N100,O100,Z100,Z100,R100,U100,0,0)</f>
        <v>#NAME?</v>
      </c>
      <c r="AP100" s="138" t="e">
        <f aca="false">AO100*C100</f>
        <v>#NAME?</v>
      </c>
      <c r="AQ100" s="60" t="e">
        <f aca="false">-EURO(N100,O100,Z100,Z100,R100,U100,0,1)</f>
        <v>#NAME?</v>
      </c>
    </row>
    <row r="101" customFormat="false" ht="12.75" hidden="false" customHeight="false" outlineLevel="0" collapsed="false">
      <c r="A101" s="127" t="n">
        <f aca="false">EDATE(A100,1)</f>
        <v>42948</v>
      </c>
      <c r="B101" s="128" t="n">
        <f aca="false">B100</f>
        <v>205479</v>
      </c>
      <c r="C101" s="116" t="n">
        <f aca="false">IF(AB101=0,0,IF(AND(AB101=1,$H$3=1),B101*W101,IF($H$3=2,B101,"N/A")))</f>
        <v>6369849</v>
      </c>
      <c r="D101" s="116" t="n">
        <f aca="false">C101*AA101</f>
        <v>2238799.19396847</v>
      </c>
      <c r="E101" s="129" t="n">
        <f aca="false">VLOOKUP($A101,[1]!CurveTable,MATCH($E$4,[1]!CurveType,0))</f>
        <v>5.1625</v>
      </c>
      <c r="F101" s="130"/>
      <c r="G101" s="131" t="n">
        <f aca="false">E101</f>
        <v>5.1625</v>
      </c>
      <c r="H101" s="129" t="n">
        <f aca="false">VLOOKUP($A101,[1]!CurveTable,MATCH($H$4,[1]!CurveType,0))</f>
        <v>0</v>
      </c>
      <c r="I101" s="131"/>
      <c r="J101" s="131" t="n">
        <f aca="false">H101</f>
        <v>0</v>
      </c>
      <c r="K101" s="129"/>
      <c r="L101" s="131"/>
      <c r="M101" s="131"/>
      <c r="N101" s="131" t="n">
        <f aca="false">G101+J101+M101+$N$7</f>
        <v>4.8725</v>
      </c>
      <c r="O101" s="131" t="n">
        <f aca="false">O100</f>
        <v>3</v>
      </c>
      <c r="P101" s="131"/>
      <c r="Q101" s="129" t="n">
        <f aca="false">VLOOKUP($A101,[1]!CurveTable,MATCH($Q$4,[1]!CurveType,0))</f>
        <v>0.17</v>
      </c>
      <c r="R101" s="129" t="n">
        <f aca="false">Q101+Summary!C$25</f>
        <v>0.17</v>
      </c>
      <c r="S101" s="129"/>
      <c r="T101" s="132" t="n">
        <f aca="false">X101</f>
        <v>42948</v>
      </c>
      <c r="U101" s="133" t="n">
        <f aca="false">T101-$C$3</f>
        <v>5943</v>
      </c>
      <c r="W101" s="61" t="n">
        <f aca="false">A102-A101</f>
        <v>31</v>
      </c>
      <c r="X101" s="135" t="n">
        <f aca="false">CHOOSE(F$3,A102+24,A101)</f>
        <v>42948</v>
      </c>
      <c r="Y101" s="61" t="n">
        <f aca="false">X101-C$3</f>
        <v>5943</v>
      </c>
      <c r="Z101" s="136" t="n">
        <f aca="false">VLOOKUP($A101,[1]!CurveTable,MATCH($Z$4,[1]!CurveType,0))</f>
        <v>0.0653072030678414</v>
      </c>
      <c r="AA101" s="137" t="n">
        <f aca="false">1/(1+CHOOSE(F$3,(Z102+($K$3/10000))/2,(Z101+($K$3/10000))/2))^(2*Y101/365.25)</f>
        <v>0.351468173573419</v>
      </c>
      <c r="AB101" s="61" t="n">
        <f aca="false">IF(AND(mthbeg&lt;=A101,mthend&gt;=A101),1,0)</f>
        <v>1</v>
      </c>
      <c r="AC101" s="61" t="n">
        <f aca="false">W101*AB101</f>
        <v>31</v>
      </c>
      <c r="AD101" s="121" t="n">
        <f aca="false">$D101*E101</f>
        <v>11557800.8388622</v>
      </c>
      <c r="AE101" s="121" t="n">
        <f aca="false">$D101*F101</f>
        <v>0</v>
      </c>
      <c r="AF101" s="121" t="n">
        <f aca="false">$D101*G101</f>
        <v>11557800.8388622</v>
      </c>
      <c r="AG101" s="121" t="n">
        <f aca="false">$D101*H101</f>
        <v>0</v>
      </c>
      <c r="AH101" s="121" t="n">
        <f aca="false">$D101*I101</f>
        <v>0</v>
      </c>
      <c r="AI101" s="121" t="n">
        <f aca="false">$D101*J101</f>
        <v>0</v>
      </c>
      <c r="AJ101" s="121" t="n">
        <f aca="false">$D101*K101</f>
        <v>0</v>
      </c>
      <c r="AK101" s="121" t="n">
        <f aca="false">$D101*L101</f>
        <v>0</v>
      </c>
      <c r="AL101" s="121" t="n">
        <f aca="false">$D101*M101</f>
        <v>0</v>
      </c>
      <c r="AM101" s="139"/>
      <c r="AO101" s="75" t="e">
        <f aca="false">EURO(N101,O101,Z101,Z101,R101,U101,0,0)</f>
        <v>#NAME?</v>
      </c>
      <c r="AP101" s="138" t="e">
        <f aca="false">AO101*C101</f>
        <v>#NAME?</v>
      </c>
      <c r="AQ101" s="60" t="e">
        <f aca="false">-EURO(N101,O101,Z101,Z101,R101,U101,0,1)</f>
        <v>#NAME?</v>
      </c>
    </row>
    <row r="102" customFormat="false" ht="12.75" hidden="false" customHeight="false" outlineLevel="0" collapsed="false">
      <c r="A102" s="127" t="n">
        <f aca="false">EDATE(A101,1)</f>
        <v>42979</v>
      </c>
      <c r="B102" s="128" t="n">
        <f aca="false">B101</f>
        <v>205479</v>
      </c>
      <c r="C102" s="116" t="n">
        <f aca="false">IF(AB102=0,0,IF(AND(AB102=1,$H$3=1),B102*W102,IF($H$3=2,B102,"N/A")))</f>
        <v>6164370</v>
      </c>
      <c r="D102" s="116" t="n">
        <f aca="false">C102*AA102</f>
        <v>2153344.33182357</v>
      </c>
      <c r="E102" s="129" t="n">
        <f aca="false">VLOOKUP($A102,[1]!CurveTable,MATCH($E$4,[1]!CurveType,0))</f>
        <v>5.1675</v>
      </c>
      <c r="F102" s="130"/>
      <c r="G102" s="131" t="n">
        <f aca="false">E102</f>
        <v>5.1675</v>
      </c>
      <c r="H102" s="129" t="n">
        <f aca="false">VLOOKUP($A102,[1]!CurveTable,MATCH($H$4,[1]!CurveType,0))</f>
        <v>0</v>
      </c>
      <c r="I102" s="131"/>
      <c r="J102" s="131" t="n">
        <f aca="false">H102</f>
        <v>0</v>
      </c>
      <c r="K102" s="129"/>
      <c r="L102" s="131"/>
      <c r="M102" s="131"/>
      <c r="N102" s="131" t="n">
        <f aca="false">G102+J102+M102+$N$7</f>
        <v>4.8775</v>
      </c>
      <c r="O102" s="131" t="n">
        <f aca="false">O101</f>
        <v>3</v>
      </c>
      <c r="P102" s="131"/>
      <c r="Q102" s="129" t="n">
        <f aca="false">VLOOKUP($A102,[1]!CurveTable,MATCH($Q$4,[1]!CurveType,0))</f>
        <v>0.17</v>
      </c>
      <c r="R102" s="129" t="n">
        <f aca="false">Q102+Summary!C$25</f>
        <v>0.17</v>
      </c>
      <c r="S102" s="129"/>
      <c r="T102" s="132" t="n">
        <f aca="false">X102</f>
        <v>42979</v>
      </c>
      <c r="U102" s="133" t="n">
        <f aca="false">T102-$C$3</f>
        <v>5974</v>
      </c>
      <c r="W102" s="61" t="n">
        <f aca="false">A103-A102</f>
        <v>30</v>
      </c>
      <c r="X102" s="135" t="n">
        <f aca="false">CHOOSE(F$3,A103+24,A102)</f>
        <v>42979</v>
      </c>
      <c r="Y102" s="61" t="n">
        <f aca="false">X102-C$3</f>
        <v>5974</v>
      </c>
      <c r="Z102" s="136" t="n">
        <f aca="false">VLOOKUP($A102,[1]!CurveTable,MATCH($Z$4,[1]!CurveType,0))</f>
        <v>0.0653497207799383</v>
      </c>
      <c r="AA102" s="137" t="n">
        <f aca="false">1/(1+CHOOSE(F$3,(Z103+($K$3/10000))/2,(Z102+($K$3/10000))/2))^(2*Y102/365.25)</f>
        <v>0.349321071224403</v>
      </c>
      <c r="AB102" s="61" t="n">
        <f aca="false">IF(AND(mthbeg&lt;=A102,mthend&gt;=A102),1,0)</f>
        <v>1</v>
      </c>
      <c r="AC102" s="61" t="n">
        <f aca="false">W102*AB102</f>
        <v>30</v>
      </c>
      <c r="AD102" s="121" t="n">
        <f aca="false">$D102*E102</f>
        <v>11127406.8346983</v>
      </c>
      <c r="AE102" s="121" t="n">
        <f aca="false">$D102*F102</f>
        <v>0</v>
      </c>
      <c r="AF102" s="121" t="n">
        <f aca="false">$D102*G102</f>
        <v>11127406.8346983</v>
      </c>
      <c r="AG102" s="121" t="n">
        <f aca="false">$D102*H102</f>
        <v>0</v>
      </c>
      <c r="AH102" s="121" t="n">
        <f aca="false">$D102*I102</f>
        <v>0</v>
      </c>
      <c r="AI102" s="121" t="n">
        <f aca="false">$D102*J102</f>
        <v>0</v>
      </c>
      <c r="AJ102" s="121" t="n">
        <f aca="false">$D102*K102</f>
        <v>0</v>
      </c>
      <c r="AK102" s="121" t="n">
        <f aca="false">$D102*L102</f>
        <v>0</v>
      </c>
      <c r="AL102" s="121" t="n">
        <f aca="false">$D102*M102</f>
        <v>0</v>
      </c>
      <c r="AM102" s="139"/>
      <c r="AO102" s="75" t="e">
        <f aca="false">EURO(N102,O102,Z102,Z102,R102,U102,0,0)</f>
        <v>#NAME?</v>
      </c>
      <c r="AP102" s="138" t="e">
        <f aca="false">AO102*C102</f>
        <v>#NAME?</v>
      </c>
      <c r="AQ102" s="60" t="e">
        <f aca="false">-EURO(N102,O102,Z102,Z102,R102,U102,0,1)</f>
        <v>#NAME?</v>
      </c>
    </row>
    <row r="103" customFormat="false" ht="12.75" hidden="false" customHeight="false" outlineLevel="0" collapsed="false">
      <c r="A103" s="127" t="n">
        <f aca="false">EDATE(A102,1)</f>
        <v>43009</v>
      </c>
      <c r="B103" s="128" t="n">
        <f aca="false">B102</f>
        <v>205479</v>
      </c>
      <c r="C103" s="116" t="n">
        <f aca="false">IF(AB103=0,0,IF(AND(AB103=1,$H$3=1),B103*W103,IF($H$3=2,B103,"N/A")))</f>
        <v>6369849</v>
      </c>
      <c r="D103" s="116" t="n">
        <f aca="false">C103*AA103</f>
        <v>2211951.80929822</v>
      </c>
      <c r="E103" s="129" t="n">
        <f aca="false">VLOOKUP($A103,[1]!CurveTable,MATCH($E$4,[1]!CurveType,0))</f>
        <v>5.1975</v>
      </c>
      <c r="F103" s="130"/>
      <c r="G103" s="131" t="n">
        <f aca="false">E103</f>
        <v>5.1975</v>
      </c>
      <c r="H103" s="129" t="n">
        <f aca="false">VLOOKUP($A103,[1]!CurveTable,MATCH($H$4,[1]!CurveType,0))</f>
        <v>0</v>
      </c>
      <c r="I103" s="131"/>
      <c r="J103" s="131" t="n">
        <f aca="false">H103</f>
        <v>0</v>
      </c>
      <c r="K103" s="129"/>
      <c r="L103" s="131"/>
      <c r="M103" s="131"/>
      <c r="N103" s="131" t="n">
        <f aca="false">G103+J103+M103+$N$7</f>
        <v>4.9075</v>
      </c>
      <c r="O103" s="131" t="n">
        <f aca="false">O102</f>
        <v>3</v>
      </c>
      <c r="P103" s="131"/>
      <c r="Q103" s="129" t="n">
        <f aca="false">VLOOKUP($A103,[1]!CurveTable,MATCH($Q$4,[1]!CurveType,0))</f>
        <v>0.17</v>
      </c>
      <c r="R103" s="129" t="n">
        <f aca="false">Q103+Summary!C$25</f>
        <v>0.17</v>
      </c>
      <c r="S103" s="129"/>
      <c r="T103" s="132" t="n">
        <f aca="false">X103</f>
        <v>43009</v>
      </c>
      <c r="U103" s="133" t="n">
        <f aca="false">T103-$C$3</f>
        <v>6004</v>
      </c>
      <c r="W103" s="61" t="n">
        <f aca="false">A104-A103</f>
        <v>31</v>
      </c>
      <c r="X103" s="135" t="n">
        <f aca="false">CHOOSE(F$3,A104+24,A103)</f>
        <v>43009</v>
      </c>
      <c r="Y103" s="61" t="n">
        <f aca="false">X103-C$3</f>
        <v>6004</v>
      </c>
      <c r="Z103" s="136" t="n">
        <f aca="false">VLOOKUP($A103,[1]!CurveTable,MATCH($Z$4,[1]!CurveType,0))</f>
        <v>0.0653908669535053</v>
      </c>
      <c r="AA103" s="137" t="n">
        <f aca="false">1/(1+CHOOSE(F$3,(Z104+($K$3/10000))/2,(Z103+($K$3/10000))/2))^(2*Y103/365.25)</f>
        <v>0.347253413589274</v>
      </c>
      <c r="AB103" s="61" t="n">
        <f aca="false">IF(AND(mthbeg&lt;=A103,mthend&gt;=A103),1,0)</f>
        <v>1</v>
      </c>
      <c r="AC103" s="61" t="n">
        <f aca="false">W103*AB103</f>
        <v>31</v>
      </c>
      <c r="AD103" s="121" t="n">
        <f aca="false">$D103*E103</f>
        <v>11496619.5288275</v>
      </c>
      <c r="AE103" s="121" t="n">
        <f aca="false">$D103*F103</f>
        <v>0</v>
      </c>
      <c r="AF103" s="121" t="n">
        <f aca="false">$D103*G103</f>
        <v>11496619.5288275</v>
      </c>
      <c r="AG103" s="121" t="n">
        <f aca="false">$D103*H103</f>
        <v>0</v>
      </c>
      <c r="AH103" s="121" t="n">
        <f aca="false">$D103*I103</f>
        <v>0</v>
      </c>
      <c r="AI103" s="121" t="n">
        <f aca="false">$D103*J103</f>
        <v>0</v>
      </c>
      <c r="AJ103" s="121" t="n">
        <f aca="false">$D103*K103</f>
        <v>0</v>
      </c>
      <c r="AK103" s="121" t="n">
        <f aca="false">$D103*L103</f>
        <v>0</v>
      </c>
      <c r="AL103" s="121" t="n">
        <f aca="false">$D103*M103</f>
        <v>0</v>
      </c>
      <c r="AM103" s="139"/>
      <c r="AO103" s="75" t="e">
        <f aca="false">EURO(N103,O103,Z103,Z103,R103,U103,0,0)</f>
        <v>#NAME?</v>
      </c>
      <c r="AP103" s="138" t="e">
        <f aca="false">AO103*C103</f>
        <v>#NAME?</v>
      </c>
      <c r="AQ103" s="60" t="e">
        <f aca="false">-EURO(N103,O103,Z103,Z103,R103,U103,0,1)</f>
        <v>#NAME?</v>
      </c>
    </row>
    <row r="104" customFormat="false" ht="12.75" hidden="false" customHeight="false" outlineLevel="0" collapsed="false">
      <c r="A104" s="127" t="n">
        <f aca="false">EDATE(A103,1)</f>
        <v>43040</v>
      </c>
      <c r="B104" s="128" t="n">
        <f aca="false">B103</f>
        <v>205479</v>
      </c>
      <c r="C104" s="116" t="n">
        <f aca="false">IF(AB104=0,0,IF(AND(AB104=1,$H$3=1),B104*W104,IF($H$3=2,B104,"N/A")))</f>
        <v>6164370</v>
      </c>
      <c r="D104" s="116" t="n">
        <f aca="false">C104*AA104</f>
        <v>2127492.51086849</v>
      </c>
      <c r="E104" s="129" t="n">
        <f aca="false">VLOOKUP($A104,[1]!CurveTable,MATCH($E$4,[1]!CurveType,0))</f>
        <v>5.3075</v>
      </c>
      <c r="F104" s="130"/>
      <c r="G104" s="131" t="n">
        <f aca="false">E104</f>
        <v>5.3075</v>
      </c>
      <c r="H104" s="129" t="n">
        <f aca="false">VLOOKUP($A104,[1]!CurveTable,MATCH($H$4,[1]!CurveType,0))</f>
        <v>0</v>
      </c>
      <c r="I104" s="131"/>
      <c r="J104" s="131" t="n">
        <f aca="false">H104</f>
        <v>0</v>
      </c>
      <c r="K104" s="129"/>
      <c r="L104" s="131"/>
      <c r="M104" s="131"/>
      <c r="N104" s="131" t="n">
        <f aca="false">G104+J104+M104+$N$7</f>
        <v>5.0175</v>
      </c>
      <c r="O104" s="131" t="n">
        <f aca="false">O103</f>
        <v>3</v>
      </c>
      <c r="P104" s="131"/>
      <c r="Q104" s="129" t="n">
        <f aca="false">VLOOKUP($A104,[1]!CurveTable,MATCH($Q$4,[1]!CurveType,0))</f>
        <v>0.17</v>
      </c>
      <c r="R104" s="129" t="n">
        <f aca="false">Q104+Summary!C$25</f>
        <v>0.17</v>
      </c>
      <c r="S104" s="129"/>
      <c r="T104" s="132" t="n">
        <f aca="false">X104</f>
        <v>43040</v>
      </c>
      <c r="U104" s="133" t="n">
        <f aca="false">T104-$C$3</f>
        <v>6035</v>
      </c>
      <c r="W104" s="61" t="n">
        <f aca="false">A105-A104</f>
        <v>30</v>
      </c>
      <c r="X104" s="135" t="n">
        <f aca="false">CHOOSE(F$3,A105+24,A104)</f>
        <v>43040</v>
      </c>
      <c r="Y104" s="61" t="n">
        <f aca="false">X104-C$3</f>
        <v>6035</v>
      </c>
      <c r="Z104" s="136" t="n">
        <f aca="false">VLOOKUP($A104,[1]!CurveTable,MATCH($Z$4,[1]!CurveType,0))</f>
        <v>0.0654333846667812</v>
      </c>
      <c r="AA104" s="137" t="n">
        <f aca="false">1/(1+CHOOSE(F$3,(Z105+($K$3/10000))/2,(Z104+($K$3/10000))/2))^(2*Y104/365.25)</f>
        <v>0.34512732215433</v>
      </c>
      <c r="AB104" s="61" t="n">
        <f aca="false">IF(AND(mthbeg&lt;=A104,mthend&gt;=A104),1,0)</f>
        <v>1</v>
      </c>
      <c r="AC104" s="61" t="n">
        <f aca="false">W104*AB104</f>
        <v>30</v>
      </c>
      <c r="AD104" s="121" t="n">
        <f aca="false">$D104*E104</f>
        <v>11291666.5014345</v>
      </c>
      <c r="AE104" s="121" t="n">
        <f aca="false">$D104*F104</f>
        <v>0</v>
      </c>
      <c r="AF104" s="121" t="n">
        <f aca="false">$D104*G104</f>
        <v>11291666.5014345</v>
      </c>
      <c r="AG104" s="121" t="n">
        <f aca="false">$D104*H104</f>
        <v>0</v>
      </c>
      <c r="AH104" s="121" t="n">
        <f aca="false">$D104*I104</f>
        <v>0</v>
      </c>
      <c r="AI104" s="121" t="n">
        <f aca="false">$D104*J104</f>
        <v>0</v>
      </c>
      <c r="AJ104" s="121" t="n">
        <f aca="false">$D104*K104</f>
        <v>0</v>
      </c>
      <c r="AK104" s="121" t="n">
        <f aca="false">$D104*L104</f>
        <v>0</v>
      </c>
      <c r="AL104" s="121" t="n">
        <f aca="false">$D104*M104</f>
        <v>0</v>
      </c>
      <c r="AM104" s="139"/>
      <c r="AO104" s="75" t="e">
        <f aca="false">EURO(N104,O104,Z104,Z104,R104,U104,0,0)</f>
        <v>#NAME?</v>
      </c>
      <c r="AP104" s="138" t="e">
        <f aca="false">AO104*C104</f>
        <v>#NAME?</v>
      </c>
      <c r="AQ104" s="60" t="e">
        <f aca="false">-EURO(N104,O104,Z104,Z104,R104,U104,0,1)</f>
        <v>#NAME?</v>
      </c>
    </row>
    <row r="105" customFormat="false" ht="12.75" hidden="false" customHeight="false" outlineLevel="0" collapsed="false">
      <c r="A105" s="127" t="n">
        <f aca="false">EDATE(A104,1)</f>
        <v>43070</v>
      </c>
      <c r="B105" s="128" t="n">
        <f aca="false">B104</f>
        <v>205479</v>
      </c>
      <c r="C105" s="116" t="n">
        <f aca="false">IF(AB105=0,0,IF(AND(AB105=1,$H$3=1),B105*W105,IF($H$3=2,B105,"N/A")))</f>
        <v>6369849</v>
      </c>
      <c r="D105" s="116" t="n">
        <f aca="false">C105*AA105</f>
        <v>2185367.35486165</v>
      </c>
      <c r="E105" s="129" t="n">
        <f aca="false">VLOOKUP($A105,[1]!CurveTable,MATCH($E$4,[1]!CurveType,0))</f>
        <v>5.4275</v>
      </c>
      <c r="F105" s="130"/>
      <c r="G105" s="131" t="n">
        <f aca="false">E105</f>
        <v>5.4275</v>
      </c>
      <c r="H105" s="129" t="n">
        <f aca="false">VLOOKUP($A105,[1]!CurveTable,MATCH($H$4,[1]!CurveType,0))</f>
        <v>0</v>
      </c>
      <c r="I105" s="131"/>
      <c r="J105" s="131" t="n">
        <f aca="false">H105</f>
        <v>0</v>
      </c>
      <c r="K105" s="129"/>
      <c r="L105" s="131"/>
      <c r="M105" s="131"/>
      <c r="N105" s="131" t="n">
        <f aca="false">G105+J105+M105+$N$7</f>
        <v>5.1375</v>
      </c>
      <c r="O105" s="131" t="n">
        <f aca="false">O104</f>
        <v>3</v>
      </c>
      <c r="P105" s="131"/>
      <c r="Q105" s="129" t="n">
        <f aca="false">VLOOKUP($A105,[1]!CurveTable,MATCH($Q$4,[1]!CurveType,0))</f>
        <v>0.17</v>
      </c>
      <c r="R105" s="129" t="n">
        <f aca="false">Q105+Summary!C$25</f>
        <v>0.17</v>
      </c>
      <c r="S105" s="129"/>
      <c r="T105" s="132" t="n">
        <f aca="false">X105</f>
        <v>43070</v>
      </c>
      <c r="U105" s="133" t="n">
        <f aca="false">T105-$C$3</f>
        <v>6065</v>
      </c>
      <c r="W105" s="61" t="n">
        <f aca="false">A106-A105</f>
        <v>31</v>
      </c>
      <c r="X105" s="135" t="n">
        <f aca="false">CHOOSE(F$3,A106+24,A105)</f>
        <v>43070</v>
      </c>
      <c r="Y105" s="61" t="n">
        <f aca="false">X105-C$3</f>
        <v>6065</v>
      </c>
      <c r="Z105" s="136" t="n">
        <f aca="false">VLOOKUP($A105,[1]!CurveTable,MATCH($Z$4,[1]!CurveType,0))</f>
        <v>0.065474530841489</v>
      </c>
      <c r="AA105" s="137" t="n">
        <f aca="false">1/(1+CHOOSE(F$3,(Z106+($K$3/10000))/2,(Z105+($K$3/10000))/2))^(2*Y105/365.25)</f>
        <v>0.343079930915419</v>
      </c>
      <c r="AB105" s="61" t="n">
        <f aca="false">IF(AND(mthbeg&lt;=A105,mthend&gt;=A105),1,0)</f>
        <v>1</v>
      </c>
      <c r="AC105" s="61" t="n">
        <f aca="false">W105*AB105</f>
        <v>31</v>
      </c>
      <c r="AD105" s="121" t="n">
        <f aca="false">$D105*E105</f>
        <v>11861081.3185116</v>
      </c>
      <c r="AE105" s="121" t="n">
        <f aca="false">$D105*F105</f>
        <v>0</v>
      </c>
      <c r="AF105" s="121" t="n">
        <f aca="false">$D105*G105</f>
        <v>11861081.3185116</v>
      </c>
      <c r="AG105" s="121" t="n">
        <f aca="false">$D105*H105</f>
        <v>0</v>
      </c>
      <c r="AH105" s="121" t="n">
        <f aca="false">$D105*I105</f>
        <v>0</v>
      </c>
      <c r="AI105" s="121" t="n">
        <f aca="false">$D105*J105</f>
        <v>0</v>
      </c>
      <c r="AJ105" s="121" t="n">
        <f aca="false">$D105*K105</f>
        <v>0</v>
      </c>
      <c r="AK105" s="121" t="n">
        <f aca="false">$D105*L105</f>
        <v>0</v>
      </c>
      <c r="AL105" s="121" t="n">
        <f aca="false">$D105*M105</f>
        <v>0</v>
      </c>
      <c r="AM105" s="139"/>
      <c r="AO105" s="75" t="e">
        <f aca="false">EURO(N105,O105,Z105,Z105,R105,U105,0,0)</f>
        <v>#NAME?</v>
      </c>
      <c r="AP105" s="138" t="e">
        <f aca="false">AO105*C105</f>
        <v>#NAME?</v>
      </c>
      <c r="AQ105" s="60" t="e">
        <f aca="false">-EURO(N105,O105,Z105,Z105,R105,U105,0,1)</f>
        <v>#NAME?</v>
      </c>
    </row>
    <row r="106" customFormat="false" ht="12.75" hidden="false" customHeight="false" outlineLevel="0" collapsed="false">
      <c r="A106" s="127" t="n">
        <f aca="false">EDATE(A105,1)</f>
        <v>43101</v>
      </c>
      <c r="B106" s="128" t="n">
        <f aca="false">B105</f>
        <v>205479</v>
      </c>
      <c r="C106" s="116" t="n">
        <f aca="false">IF(AB106=0,0,IF(AND(AB106=1,$H$3=1),B106*W106,IF($H$3=2,B106,"N/A")))</f>
        <v>6369849</v>
      </c>
      <c r="D106" s="116" t="n">
        <f aca="false">C106*AA106</f>
        <v>2171957.43107304</v>
      </c>
      <c r="E106" s="129" t="n">
        <f aca="false">VLOOKUP($A106,[1]!CurveTable,MATCH($E$4,[1]!CurveType,0))</f>
        <v>5.5175</v>
      </c>
      <c r="F106" s="130"/>
      <c r="G106" s="131" t="n">
        <f aca="false">E106</f>
        <v>5.5175</v>
      </c>
      <c r="H106" s="129" t="n">
        <f aca="false">VLOOKUP($A106,[1]!CurveTable,MATCH($H$4,[1]!CurveType,0))</f>
        <v>0</v>
      </c>
      <c r="I106" s="131"/>
      <c r="J106" s="131" t="n">
        <f aca="false">H106</f>
        <v>0</v>
      </c>
      <c r="K106" s="129"/>
      <c r="L106" s="131"/>
      <c r="M106" s="131"/>
      <c r="N106" s="131" t="n">
        <f aca="false">G106+J106+M106+$N$7</f>
        <v>5.2275</v>
      </c>
      <c r="O106" s="131" t="n">
        <f aca="false">O105</f>
        <v>3</v>
      </c>
      <c r="P106" s="131"/>
      <c r="Q106" s="129" t="n">
        <f aca="false">VLOOKUP($A106,[1]!CurveTable,MATCH($Q$4,[1]!CurveType,0))</f>
        <v>0.17</v>
      </c>
      <c r="R106" s="129" t="n">
        <f aca="false">Q106+Summary!C$25</f>
        <v>0.17</v>
      </c>
      <c r="S106" s="129"/>
      <c r="T106" s="132" t="n">
        <f aca="false">X106</f>
        <v>43101</v>
      </c>
      <c r="U106" s="133" t="n">
        <f aca="false">T106-$C$3</f>
        <v>6096</v>
      </c>
      <c r="W106" s="61" t="n">
        <f aca="false">A107-A106</f>
        <v>31</v>
      </c>
      <c r="X106" s="135" t="n">
        <f aca="false">CHOOSE(F$3,A107+24,A106)</f>
        <v>43101</v>
      </c>
      <c r="Y106" s="61" t="n">
        <f aca="false">X106-C$3</f>
        <v>6096</v>
      </c>
      <c r="Z106" s="136" t="n">
        <f aca="false">VLOOKUP($A106,[1]!CurveTable,MATCH($Z$4,[1]!CurveType,0))</f>
        <v>0.0655170485559431</v>
      </c>
      <c r="AA106" s="137" t="n">
        <f aca="false">1/(1+CHOOSE(F$3,(Z107+($K$3/10000))/2,(Z106+($K$3/10000))/2))^(2*Y106/365.25)</f>
        <v>0.340974712441855</v>
      </c>
      <c r="AB106" s="61" t="n">
        <f aca="false">IF(AND(mthbeg&lt;=A106,mthend&gt;=A106),1,0)</f>
        <v>1</v>
      </c>
      <c r="AC106" s="61" t="n">
        <f aca="false">W106*AB106</f>
        <v>31</v>
      </c>
      <c r="AD106" s="121" t="n">
        <f aca="false">$D106*E106</f>
        <v>11983775.1259455</v>
      </c>
      <c r="AE106" s="121" t="n">
        <f aca="false">$D106*F106</f>
        <v>0</v>
      </c>
      <c r="AF106" s="121" t="n">
        <f aca="false">$D106*G106</f>
        <v>11983775.1259455</v>
      </c>
      <c r="AG106" s="121" t="n">
        <f aca="false">$D106*H106</f>
        <v>0</v>
      </c>
      <c r="AH106" s="121" t="n">
        <f aca="false">$D106*I106</f>
        <v>0</v>
      </c>
      <c r="AI106" s="121" t="n">
        <f aca="false">$D106*J106</f>
        <v>0</v>
      </c>
      <c r="AJ106" s="121" t="n">
        <f aca="false">$D106*K106</f>
        <v>0</v>
      </c>
      <c r="AK106" s="121" t="n">
        <f aca="false">$D106*L106</f>
        <v>0</v>
      </c>
      <c r="AL106" s="121" t="n">
        <f aca="false">$D106*M106</f>
        <v>0</v>
      </c>
      <c r="AM106" s="139"/>
      <c r="AO106" s="75" t="e">
        <f aca="false">EURO(N106,O106,Z106,Z106,R106,U106,0,0)</f>
        <v>#NAME?</v>
      </c>
      <c r="AP106" s="138" t="e">
        <f aca="false">AO106*C106</f>
        <v>#NAME?</v>
      </c>
      <c r="AQ106" s="60" t="e">
        <f aca="false">-EURO(N106,O106,Z106,Z106,R106,U106,0,1)</f>
        <v>#NAME?</v>
      </c>
    </row>
    <row r="107" customFormat="false" ht="12.75" hidden="false" customHeight="false" outlineLevel="0" collapsed="false">
      <c r="A107" s="127" t="n">
        <f aca="false">EDATE(A106,1)</f>
        <v>43132</v>
      </c>
      <c r="B107" s="128" t="n">
        <f aca="false">B106</f>
        <v>205479</v>
      </c>
      <c r="C107" s="116" t="n">
        <f aca="false">IF(AB107=0,0,IF(AND(AB107=1,$H$3=1),B107*W107,IF($H$3=2,B107,"N/A")))</f>
        <v>5753412</v>
      </c>
      <c r="D107" s="116" t="n">
        <f aca="false">C107*AA107</f>
        <v>1949716.53852228</v>
      </c>
      <c r="E107" s="129" t="n">
        <f aca="false">VLOOKUP($A107,[1]!CurveTable,MATCH($E$4,[1]!CurveType,0))</f>
        <v>5.3975</v>
      </c>
      <c r="F107" s="130"/>
      <c r="G107" s="131" t="n">
        <f aca="false">E107</f>
        <v>5.3975</v>
      </c>
      <c r="H107" s="129" t="n">
        <f aca="false">VLOOKUP($A107,[1]!CurveTable,MATCH($H$4,[1]!CurveType,0))</f>
        <v>0</v>
      </c>
      <c r="I107" s="131"/>
      <c r="J107" s="131" t="n">
        <f aca="false">H107</f>
        <v>0</v>
      </c>
      <c r="K107" s="129"/>
      <c r="L107" s="131"/>
      <c r="M107" s="131"/>
      <c r="N107" s="131" t="n">
        <f aca="false">G107+J107+M107+$N$7</f>
        <v>5.1075</v>
      </c>
      <c r="O107" s="131" t="n">
        <f aca="false">O106</f>
        <v>3</v>
      </c>
      <c r="P107" s="131"/>
      <c r="Q107" s="129" t="n">
        <f aca="false">VLOOKUP($A107,[1]!CurveTable,MATCH($Q$4,[1]!CurveType,0))</f>
        <v>0.17</v>
      </c>
      <c r="R107" s="129" t="n">
        <f aca="false">Q107+Summary!C$25</f>
        <v>0.17</v>
      </c>
      <c r="S107" s="129"/>
      <c r="T107" s="132" t="n">
        <f aca="false">X107</f>
        <v>43132</v>
      </c>
      <c r="U107" s="133" t="n">
        <f aca="false">T107-$C$3</f>
        <v>6127</v>
      </c>
      <c r="W107" s="61" t="n">
        <f aca="false">A108-A107</f>
        <v>28</v>
      </c>
      <c r="X107" s="135" t="n">
        <f aca="false">CHOOSE(F$3,A108+24,A107)</f>
        <v>43132</v>
      </c>
      <c r="Y107" s="61" t="n">
        <f aca="false">X107-C$3</f>
        <v>6127</v>
      </c>
      <c r="Z107" s="136" t="n">
        <f aca="false">VLOOKUP($A107,[1]!CurveTable,MATCH($Z$4,[1]!CurveType,0))</f>
        <v>0.0655595662709967</v>
      </c>
      <c r="AA107" s="137" t="n">
        <f aca="false">1/(1+CHOOSE(F$3,(Z108+($K$3/10000))/2,(Z107+($K$3/10000))/2))^(2*Y107/365.25)</f>
        <v>0.338880048660218</v>
      </c>
      <c r="AB107" s="61" t="n">
        <f aca="false">IF(AND(mthbeg&lt;=A107,mthend&gt;=A107),1,0)</f>
        <v>1</v>
      </c>
      <c r="AC107" s="61" t="n">
        <f aca="false">W107*AB107</f>
        <v>28</v>
      </c>
      <c r="AD107" s="121" t="n">
        <f aca="false">$D107*E107</f>
        <v>10523595.016674</v>
      </c>
      <c r="AE107" s="121" t="n">
        <f aca="false">$D107*F107</f>
        <v>0</v>
      </c>
      <c r="AF107" s="121" t="n">
        <f aca="false">$D107*G107</f>
        <v>10523595.016674</v>
      </c>
      <c r="AG107" s="121" t="n">
        <f aca="false">$D107*H107</f>
        <v>0</v>
      </c>
      <c r="AH107" s="121" t="n">
        <f aca="false">$D107*I107</f>
        <v>0</v>
      </c>
      <c r="AI107" s="121" t="n">
        <f aca="false">$D107*J107</f>
        <v>0</v>
      </c>
      <c r="AJ107" s="121" t="n">
        <f aca="false">$D107*K107</f>
        <v>0</v>
      </c>
      <c r="AK107" s="121" t="n">
        <f aca="false">$D107*L107</f>
        <v>0</v>
      </c>
      <c r="AL107" s="121" t="n">
        <f aca="false">$D107*M107</f>
        <v>0</v>
      </c>
      <c r="AM107" s="139"/>
      <c r="AO107" s="75" t="e">
        <f aca="false">EURO(N107,O107,Z107,Z107,R107,U107,0,0)</f>
        <v>#NAME?</v>
      </c>
      <c r="AP107" s="138" t="e">
        <f aca="false">AO107*C107</f>
        <v>#NAME?</v>
      </c>
      <c r="AQ107" s="60" t="e">
        <f aca="false">-EURO(N107,O107,Z107,Z107,R107,U107,0,1)</f>
        <v>#NAME?</v>
      </c>
    </row>
    <row r="108" customFormat="false" ht="12.75" hidden="false" customHeight="false" outlineLevel="0" collapsed="false">
      <c r="A108" s="127" t="n">
        <f aca="false">EDATE(A107,1)</f>
        <v>43160</v>
      </c>
      <c r="B108" s="128" t="n">
        <f aca="false">B107</f>
        <v>205479</v>
      </c>
      <c r="C108" s="116" t="n">
        <f aca="false">IF(AB108=0,0,IF(AND(AB108=1,$H$3=1),B108*W108,IF($H$3=2,B108,"N/A")))</f>
        <v>6369849</v>
      </c>
      <c r="D108" s="116" t="n">
        <f aca="false">C108*AA108</f>
        <v>2146620.87366968</v>
      </c>
      <c r="E108" s="129" t="n">
        <f aca="false">VLOOKUP($A108,[1]!CurveTable,MATCH($E$4,[1]!CurveType,0))</f>
        <v>5.2585</v>
      </c>
      <c r="F108" s="130"/>
      <c r="G108" s="131" t="n">
        <f aca="false">E108</f>
        <v>5.2585</v>
      </c>
      <c r="H108" s="129" t="n">
        <f aca="false">VLOOKUP($A108,[1]!CurveTable,MATCH($H$4,[1]!CurveType,0))</f>
        <v>0</v>
      </c>
      <c r="I108" s="131"/>
      <c r="J108" s="131" t="n">
        <f aca="false">H108</f>
        <v>0</v>
      </c>
      <c r="K108" s="129"/>
      <c r="L108" s="131"/>
      <c r="M108" s="131"/>
      <c r="N108" s="131" t="n">
        <f aca="false">G108+J108+M108+$N$7</f>
        <v>4.9685</v>
      </c>
      <c r="O108" s="131" t="n">
        <f aca="false">O107</f>
        <v>3</v>
      </c>
      <c r="P108" s="131"/>
      <c r="Q108" s="129" t="n">
        <f aca="false">VLOOKUP($A108,[1]!CurveTable,MATCH($Q$4,[1]!CurveType,0))</f>
        <v>0.17</v>
      </c>
      <c r="R108" s="129" t="n">
        <f aca="false">Q108+Summary!C$25</f>
        <v>0.17</v>
      </c>
      <c r="S108" s="129"/>
      <c r="T108" s="132" t="n">
        <f aca="false">X108</f>
        <v>43160</v>
      </c>
      <c r="U108" s="133" t="n">
        <f aca="false">T108-$C$3</f>
        <v>6155</v>
      </c>
      <c r="W108" s="61" t="n">
        <f aca="false">A109-A108</f>
        <v>31</v>
      </c>
      <c r="X108" s="135" t="n">
        <f aca="false">CHOOSE(F$3,A109+24,A108)</f>
        <v>43160</v>
      </c>
      <c r="Y108" s="61" t="n">
        <f aca="false">X108-C$3</f>
        <v>6155</v>
      </c>
      <c r="Z108" s="136" t="n">
        <f aca="false">VLOOKUP($A108,[1]!CurveTable,MATCH($Z$4,[1]!CurveType,0))</f>
        <v>0.0655979693689788</v>
      </c>
      <c r="AA108" s="137" t="n">
        <f aca="false">1/(1+CHOOSE(F$3,(Z109+($K$3/10000))/2,(Z108+($K$3/10000))/2))^(2*Y108/365.25)</f>
        <v>0.336997136614963</v>
      </c>
      <c r="AB108" s="61" t="n">
        <f aca="false">IF(AND(mthbeg&lt;=A108,mthend&gt;=A108),1,0)</f>
        <v>1</v>
      </c>
      <c r="AC108" s="61" t="n">
        <f aca="false">W108*AB108</f>
        <v>31</v>
      </c>
      <c r="AD108" s="121" t="n">
        <f aca="false">$D108*E108</f>
        <v>11288005.864192</v>
      </c>
      <c r="AE108" s="121" t="n">
        <f aca="false">$D108*F108</f>
        <v>0</v>
      </c>
      <c r="AF108" s="121" t="n">
        <f aca="false">$D108*G108</f>
        <v>11288005.864192</v>
      </c>
      <c r="AG108" s="121" t="n">
        <f aca="false">$D108*H108</f>
        <v>0</v>
      </c>
      <c r="AH108" s="121" t="n">
        <f aca="false">$D108*I108</f>
        <v>0</v>
      </c>
      <c r="AI108" s="121" t="n">
        <f aca="false">$D108*J108</f>
        <v>0</v>
      </c>
      <c r="AJ108" s="121" t="n">
        <f aca="false">$D108*K108</f>
        <v>0</v>
      </c>
      <c r="AK108" s="121" t="n">
        <f aca="false">$D108*L108</f>
        <v>0</v>
      </c>
      <c r="AL108" s="121" t="n">
        <f aca="false">$D108*M108</f>
        <v>0</v>
      </c>
      <c r="AM108" s="139"/>
      <c r="AO108" s="75" t="e">
        <f aca="false">EURO(N108,O108,Z108,Z108,R108,U108,0,0)</f>
        <v>#NAME?</v>
      </c>
      <c r="AP108" s="138" t="e">
        <f aca="false">AO108*C108</f>
        <v>#NAME?</v>
      </c>
      <c r="AQ108" s="60" t="e">
        <f aca="false">-EURO(N108,O108,Z108,Z108,R108,U108,0,1)</f>
        <v>#NAME?</v>
      </c>
    </row>
    <row r="109" customFormat="false" ht="12.75" hidden="false" customHeight="false" outlineLevel="0" collapsed="false">
      <c r="A109" s="127" t="n">
        <f aca="false">EDATE(A108,1)</f>
        <v>43191</v>
      </c>
      <c r="B109" s="128" t="n">
        <f aca="false">B108</f>
        <v>205479</v>
      </c>
      <c r="C109" s="116" t="n">
        <f aca="false">IF(AB109=0,0,IF(AND(AB109=1,$H$3=1),B109*W109,IF($H$3=2,B109,"N/A")))</f>
        <v>6164370</v>
      </c>
      <c r="D109" s="116" t="n">
        <f aca="false">C109*AA109</f>
        <v>2064585.97911966</v>
      </c>
      <c r="E109" s="129" t="n">
        <f aca="false">VLOOKUP($A109,[1]!CurveTable,MATCH($E$4,[1]!CurveType,0))</f>
        <v>5.0885</v>
      </c>
      <c r="F109" s="130"/>
      <c r="G109" s="131" t="n">
        <f aca="false">E109</f>
        <v>5.0885</v>
      </c>
      <c r="H109" s="129" t="n">
        <f aca="false">VLOOKUP($A109,[1]!CurveTable,MATCH($H$4,[1]!CurveType,0))</f>
        <v>0</v>
      </c>
      <c r="I109" s="131"/>
      <c r="J109" s="131" t="n">
        <f aca="false">H109</f>
        <v>0</v>
      </c>
      <c r="K109" s="129"/>
      <c r="L109" s="131"/>
      <c r="M109" s="131"/>
      <c r="N109" s="131" t="n">
        <f aca="false">G109+J109+M109+$N$7</f>
        <v>4.7985</v>
      </c>
      <c r="O109" s="131" t="n">
        <f aca="false">O108</f>
        <v>3</v>
      </c>
      <c r="P109" s="131"/>
      <c r="Q109" s="129" t="n">
        <f aca="false">VLOOKUP($A109,[1]!CurveTable,MATCH($Q$4,[1]!CurveType,0))</f>
        <v>0.17</v>
      </c>
      <c r="R109" s="129" t="n">
        <f aca="false">Q109+Summary!C$25</f>
        <v>0.17</v>
      </c>
      <c r="S109" s="129"/>
      <c r="T109" s="132" t="n">
        <f aca="false">X109</f>
        <v>43191</v>
      </c>
      <c r="U109" s="133" t="n">
        <f aca="false">T109-$C$3</f>
        <v>6186</v>
      </c>
      <c r="W109" s="61" t="n">
        <f aca="false">A110-A109</f>
        <v>30</v>
      </c>
      <c r="X109" s="135" t="n">
        <f aca="false">CHOOSE(F$3,A110+24,A109)</f>
        <v>43191</v>
      </c>
      <c r="Y109" s="61" t="n">
        <f aca="false">X109-C$3</f>
        <v>6186</v>
      </c>
      <c r="Z109" s="136" t="n">
        <f aca="false">VLOOKUP($A109,[1]!CurveTable,MATCH($Z$4,[1]!CurveType,0))</f>
        <v>0.0656404870851728</v>
      </c>
      <c r="AA109" s="137" t="n">
        <f aca="false">1/(1+CHOOSE(F$3,(Z110+($K$3/10000))/2,(Z109+($K$3/10000))/2))^(2*Y109/365.25)</f>
        <v>0.33492246233105</v>
      </c>
      <c r="AB109" s="61" t="n">
        <f aca="false">IF(AND(mthbeg&lt;=A109,mthend&gt;=A109),1,0)</f>
        <v>1</v>
      </c>
      <c r="AC109" s="61" t="n">
        <f aca="false">W109*AB109</f>
        <v>30</v>
      </c>
      <c r="AD109" s="121" t="n">
        <f aca="false">$D109*E109</f>
        <v>10505645.7547504</v>
      </c>
      <c r="AE109" s="121" t="n">
        <f aca="false">$D109*F109</f>
        <v>0</v>
      </c>
      <c r="AF109" s="121" t="n">
        <f aca="false">$D109*G109</f>
        <v>10505645.7547504</v>
      </c>
      <c r="AG109" s="121" t="n">
        <f aca="false">$D109*H109</f>
        <v>0</v>
      </c>
      <c r="AH109" s="121" t="n">
        <f aca="false">$D109*I109</f>
        <v>0</v>
      </c>
      <c r="AI109" s="121" t="n">
        <f aca="false">$D109*J109</f>
        <v>0</v>
      </c>
      <c r="AJ109" s="121" t="n">
        <f aca="false">$D109*K109</f>
        <v>0</v>
      </c>
      <c r="AK109" s="121" t="n">
        <f aca="false">$D109*L109</f>
        <v>0</v>
      </c>
      <c r="AL109" s="121" t="n">
        <f aca="false">$D109*M109</f>
        <v>0</v>
      </c>
      <c r="AM109" s="139"/>
      <c r="AO109" s="75" t="e">
        <f aca="false">EURO(N109,O109,Z109,Z109,R109,U109,0,0)</f>
        <v>#NAME?</v>
      </c>
      <c r="AP109" s="138" t="e">
        <f aca="false">AO109*C109</f>
        <v>#NAME?</v>
      </c>
      <c r="AQ109" s="60" t="e">
        <f aca="false">-EURO(N109,O109,Z109,Z109,R109,U109,0,1)</f>
        <v>#NAME?</v>
      </c>
    </row>
    <row r="110" customFormat="false" ht="12.75" hidden="false" customHeight="false" outlineLevel="0" collapsed="false">
      <c r="A110" s="127" t="n">
        <f aca="false">EDATE(A109,1)</f>
        <v>43221</v>
      </c>
      <c r="B110" s="128" t="n">
        <f aca="false">B109</f>
        <v>205479</v>
      </c>
      <c r="C110" s="116" t="n">
        <f aca="false">IF(AB110=0,0,IF(AND(AB110=1,$H$3=1),B110*W110,IF($H$3=2,B110,"N/A")))</f>
        <v>6369849</v>
      </c>
      <c r="D110" s="116" t="n">
        <f aca="false">C110*AA110</f>
        <v>2120679.84022859</v>
      </c>
      <c r="E110" s="129" t="n">
        <f aca="false">VLOOKUP($A110,[1]!CurveTable,MATCH($E$4,[1]!CurveType,0))</f>
        <v>5.1475</v>
      </c>
      <c r="F110" s="130"/>
      <c r="G110" s="131" t="n">
        <f aca="false">E110</f>
        <v>5.1475</v>
      </c>
      <c r="H110" s="129" t="n">
        <f aca="false">VLOOKUP($A110,[1]!CurveTable,MATCH($H$4,[1]!CurveType,0))</f>
        <v>0</v>
      </c>
      <c r="I110" s="131"/>
      <c r="J110" s="131" t="n">
        <f aca="false">H110</f>
        <v>0</v>
      </c>
      <c r="K110" s="129"/>
      <c r="L110" s="131"/>
      <c r="M110" s="131"/>
      <c r="N110" s="131" t="n">
        <f aca="false">G110+J110+M110+$N$7</f>
        <v>4.8575</v>
      </c>
      <c r="O110" s="131" t="n">
        <f aca="false">O109</f>
        <v>3</v>
      </c>
      <c r="P110" s="131"/>
      <c r="Q110" s="129" t="n">
        <f aca="false">VLOOKUP($A110,[1]!CurveTable,MATCH($Q$4,[1]!CurveType,0))</f>
        <v>0.17</v>
      </c>
      <c r="R110" s="129" t="n">
        <f aca="false">Q110+Summary!C$25</f>
        <v>0.17</v>
      </c>
      <c r="S110" s="129"/>
      <c r="T110" s="132" t="n">
        <f aca="false">X110</f>
        <v>43221</v>
      </c>
      <c r="U110" s="133" t="n">
        <f aca="false">T110-$C$3</f>
        <v>6216</v>
      </c>
      <c r="W110" s="61" t="n">
        <f aca="false">A111-A110</f>
        <v>31</v>
      </c>
      <c r="X110" s="135" t="n">
        <f aca="false">CHOOSE(F$3,A111+24,A110)</f>
        <v>43221</v>
      </c>
      <c r="Y110" s="61" t="n">
        <f aca="false">X110-C$3</f>
        <v>6216</v>
      </c>
      <c r="Z110" s="136" t="n">
        <f aca="false">VLOOKUP($A110,[1]!CurveTable,MATCH($Z$4,[1]!CurveType,0))</f>
        <v>0.0656816332627042</v>
      </c>
      <c r="AA110" s="137" t="n">
        <f aca="false">1/(1+CHOOSE(F$3,(Z111+($K$3/10000))/2,(Z110+($K$3/10000))/2))^(2*Y110/365.25)</f>
        <v>0.332924664341115</v>
      </c>
      <c r="AB110" s="61" t="n">
        <f aca="false">IF(AND(mthbeg&lt;=A110,mthend&gt;=A110),1,0)</f>
        <v>1</v>
      </c>
      <c r="AC110" s="61" t="n">
        <f aca="false">W110*AB110</f>
        <v>31</v>
      </c>
      <c r="AD110" s="121" t="n">
        <f aca="false">$D110*E110</f>
        <v>10916199.4775767</v>
      </c>
      <c r="AE110" s="121" t="n">
        <f aca="false">$D110*F110</f>
        <v>0</v>
      </c>
      <c r="AF110" s="121" t="n">
        <f aca="false">$D110*G110</f>
        <v>10916199.4775767</v>
      </c>
      <c r="AG110" s="121" t="n">
        <f aca="false">$D110*H110</f>
        <v>0</v>
      </c>
      <c r="AH110" s="121" t="n">
        <f aca="false">$D110*I110</f>
        <v>0</v>
      </c>
      <c r="AI110" s="121" t="n">
        <f aca="false">$D110*J110</f>
        <v>0</v>
      </c>
      <c r="AJ110" s="121" t="n">
        <f aca="false">$D110*K110</f>
        <v>0</v>
      </c>
      <c r="AK110" s="121" t="n">
        <f aca="false">$D110*L110</f>
        <v>0</v>
      </c>
      <c r="AL110" s="121" t="n">
        <f aca="false">$D110*M110</f>
        <v>0</v>
      </c>
      <c r="AM110" s="139"/>
      <c r="AO110" s="75" t="e">
        <f aca="false">EURO(N110,O110,Z110,Z110,R110,U110,0,0)</f>
        <v>#NAME?</v>
      </c>
      <c r="AP110" s="138" t="e">
        <f aca="false">AO110*C110</f>
        <v>#NAME?</v>
      </c>
      <c r="AQ110" s="60" t="e">
        <f aca="false">-EURO(N110,O110,Z110,Z110,R110,U110,0,1)</f>
        <v>#NAME?</v>
      </c>
    </row>
    <row r="111" customFormat="false" ht="13.5" hidden="false" customHeight="false" outlineLevel="0" collapsed="false">
      <c r="A111" s="127" t="n">
        <f aca="false">EDATE(A110,1)</f>
        <v>43252</v>
      </c>
      <c r="B111" s="128" t="n">
        <f aca="false">B110</f>
        <v>205479</v>
      </c>
      <c r="C111" s="116" t="n">
        <f aca="false">IF(AB111=0,0,IF(AND(AB111=1,$H$3=1),B111*W111,IF($H$3=2,B111,"N/A")))</f>
        <v>6164370</v>
      </c>
      <c r="D111" s="116" t="n">
        <f aca="false">C111*AA111</f>
        <v>2039608.31614313</v>
      </c>
      <c r="E111" s="129" t="n">
        <f aca="false">VLOOKUP($A111,[1]!CurveTable,MATCH($E$4,[1]!CurveType,0))</f>
        <v>5.1875</v>
      </c>
      <c r="F111" s="130"/>
      <c r="G111" s="131" t="n">
        <f aca="false">E111</f>
        <v>5.1875</v>
      </c>
      <c r="H111" s="129" t="n">
        <f aca="false">VLOOKUP($A111,[1]!CurveTable,MATCH($H$4,[1]!CurveType,0))</f>
        <v>0</v>
      </c>
      <c r="I111" s="131"/>
      <c r="J111" s="131" t="n">
        <f aca="false">H111</f>
        <v>0</v>
      </c>
      <c r="K111" s="129"/>
      <c r="L111" s="131"/>
      <c r="M111" s="131"/>
      <c r="N111" s="131" t="n">
        <f aca="false">G111+J111+M111+$N$7</f>
        <v>4.8975</v>
      </c>
      <c r="O111" s="131" t="n">
        <f aca="false">O110</f>
        <v>3</v>
      </c>
      <c r="P111" s="131"/>
      <c r="Q111" s="129" t="n">
        <f aca="false">VLOOKUP($A111,[1]!CurveTable,MATCH($Q$4,[1]!CurveType,0))</f>
        <v>0.17</v>
      </c>
      <c r="R111" s="129" t="n">
        <f aca="false">Q111+Summary!C$25</f>
        <v>0.17</v>
      </c>
      <c r="S111" s="129"/>
      <c r="T111" s="132" t="n">
        <f aca="false">X111</f>
        <v>43252</v>
      </c>
      <c r="U111" s="133" t="n">
        <f aca="false">T111-$C$3</f>
        <v>6247</v>
      </c>
      <c r="W111" s="61" t="n">
        <f aca="false">A112-A111</f>
        <v>30</v>
      </c>
      <c r="X111" s="135" t="n">
        <f aca="false">CHOOSE(F$3,A112+24,A111)</f>
        <v>43252</v>
      </c>
      <c r="Y111" s="61" t="n">
        <f aca="false">X111-C$3</f>
        <v>6247</v>
      </c>
      <c r="Z111" s="136" t="n">
        <f aca="false">VLOOKUP($A111,[1]!CurveTable,MATCH($Z$4,[1]!CurveType,0))</f>
        <v>0.0657241509800763</v>
      </c>
      <c r="AA111" s="137" t="n">
        <f aca="false">1/(1+CHOOSE(F$3,(Z112+($K$3/10000))/2,(Z111+($K$3/10000))/2))^(2*Y111/365.25)</f>
        <v>0.330870521422811</v>
      </c>
      <c r="AB111" s="61" t="n">
        <f aca="false">IF(AND(mthbeg&lt;=A111,mthend&gt;=A111),1,0)</f>
        <v>1</v>
      </c>
      <c r="AC111" s="61" t="n">
        <f aca="false">W111*AB111</f>
        <v>30</v>
      </c>
      <c r="AD111" s="121" t="n">
        <f aca="false">$D111*E111</f>
        <v>10580468.1399925</v>
      </c>
      <c r="AE111" s="121" t="n">
        <f aca="false">$D111*F111</f>
        <v>0</v>
      </c>
      <c r="AF111" s="121" t="n">
        <f aca="false">$D111*G111</f>
        <v>10580468.1399925</v>
      </c>
      <c r="AG111" s="121" t="n">
        <f aca="false">$D111*H111</f>
        <v>0</v>
      </c>
      <c r="AH111" s="121" t="n">
        <f aca="false">$D111*I111</f>
        <v>0</v>
      </c>
      <c r="AI111" s="121" t="n">
        <f aca="false">$D111*J111</f>
        <v>0</v>
      </c>
      <c r="AJ111" s="121" t="n">
        <f aca="false">$D111*K111</f>
        <v>0</v>
      </c>
      <c r="AK111" s="121" t="n">
        <f aca="false">$D111*L111</f>
        <v>0</v>
      </c>
      <c r="AL111" s="121" t="n">
        <f aca="false">$D111*M111</f>
        <v>0</v>
      </c>
      <c r="AM111" s="139"/>
      <c r="AO111" s="75" t="e">
        <f aca="false">EURO(N111,O111,Z111,Z111,R111,U111,0,0)</f>
        <v>#NAME?</v>
      </c>
      <c r="AP111" s="138" t="e">
        <f aca="false">AO111*C111</f>
        <v>#NAME?</v>
      </c>
      <c r="AQ111" s="60" t="e">
        <f aca="false">-EURO(N111,O111,Z111,Z111,R111,U111,0,1)</f>
        <v>#NAME?</v>
      </c>
    </row>
    <row r="112" customFormat="false" ht="12.75" hidden="false" customHeight="false" outlineLevel="0" collapsed="false">
      <c r="A112" s="127" t="n">
        <f aca="false">EDATE(A111,1)</f>
        <v>43282</v>
      </c>
      <c r="B112" s="128" t="n">
        <f aca="false">B111</f>
        <v>205479</v>
      </c>
      <c r="C112" s="116" t="n">
        <f aca="false">IF(AB112=0,0,IF(AND(AB112=1,$H$3=1),B112*W112,IF($H$3=2,B112,"N/A")))</f>
        <v>6369849</v>
      </c>
      <c r="D112" s="116" t="n">
        <f aca="false">C112*AA112</f>
        <v>2094995.72607181</v>
      </c>
      <c r="E112" s="129" t="n">
        <f aca="false">VLOOKUP($A112,[1]!CurveTable,MATCH($E$4,[1]!CurveType,0))</f>
        <v>5.2325</v>
      </c>
      <c r="F112" s="130"/>
      <c r="G112" s="131" t="n">
        <f aca="false">E112</f>
        <v>5.2325</v>
      </c>
      <c r="H112" s="129" t="n">
        <f aca="false">VLOOKUP($A112,[1]!CurveTable,MATCH($H$4,[1]!CurveType,0))</f>
        <v>0</v>
      </c>
      <c r="I112" s="131"/>
      <c r="J112" s="131" t="n">
        <f aca="false">H112</f>
        <v>0</v>
      </c>
      <c r="K112" s="129"/>
      <c r="L112" s="131"/>
      <c r="M112" s="131"/>
      <c r="N112" s="131" t="n">
        <f aca="false">G112+J112+M112+$N$7</f>
        <v>4.9425</v>
      </c>
      <c r="O112" s="131" t="n">
        <f aca="false">O111</f>
        <v>3</v>
      </c>
      <c r="P112" s="131"/>
      <c r="Q112" s="140" t="n">
        <f aca="false">Q111</f>
        <v>0.17</v>
      </c>
      <c r="R112" s="129" t="n">
        <f aca="false">Q112+Summary!C$25</f>
        <v>0.17</v>
      </c>
      <c r="S112" s="129"/>
      <c r="T112" s="132" t="n">
        <f aca="false">X112</f>
        <v>43282</v>
      </c>
      <c r="U112" s="133" t="n">
        <f aca="false">T112-$C$3</f>
        <v>6277</v>
      </c>
      <c r="W112" s="61" t="n">
        <f aca="false">A113-A112</f>
        <v>31</v>
      </c>
      <c r="X112" s="135" t="n">
        <f aca="false">CHOOSE(F$3,A113+24,A112)</f>
        <v>43282</v>
      </c>
      <c r="Y112" s="61" t="n">
        <f aca="false">X112-C$3</f>
        <v>6277</v>
      </c>
      <c r="Z112" s="136" t="n">
        <f aca="false">VLOOKUP($A112,[1]!CurveTable,MATCH($Z$4,[1]!CurveType,0))</f>
        <v>0.0657652971587486</v>
      </c>
      <c r="AA112" s="137" t="n">
        <f aca="false">1/(1+CHOOSE(F$3,(Z113+($K$3/10000))/2,(Z112+($K$3/10000))/2))^(2*Y112/365.25)</f>
        <v>0.328892525721067</v>
      </c>
      <c r="AB112" s="61" t="n">
        <f aca="false">IF(AND(mthbeg&lt;=A112,mthend&gt;=A112),1,0)</f>
        <v>1</v>
      </c>
      <c r="AC112" s="61" t="n">
        <f aca="false">W112*AB112</f>
        <v>31</v>
      </c>
      <c r="AD112" s="121" t="n">
        <f aca="false">$D112*E112</f>
        <v>10962065.1366708</v>
      </c>
      <c r="AE112" s="121" t="n">
        <f aca="false">$D112*F112</f>
        <v>0</v>
      </c>
      <c r="AF112" s="121" t="n">
        <f aca="false">$D112*G112</f>
        <v>10962065.1366708</v>
      </c>
      <c r="AG112" s="121" t="n">
        <f aca="false">$D112*H112</f>
        <v>0</v>
      </c>
      <c r="AH112" s="121" t="n">
        <f aca="false">$D112*I112</f>
        <v>0</v>
      </c>
      <c r="AI112" s="121" t="n">
        <f aca="false">$D112*J112</f>
        <v>0</v>
      </c>
      <c r="AJ112" s="121" t="n">
        <f aca="false">$D112*K112</f>
        <v>0</v>
      </c>
      <c r="AK112" s="121" t="n">
        <f aca="false">$D112*L112</f>
        <v>0</v>
      </c>
      <c r="AL112" s="121" t="n">
        <f aca="false">$D112*M112</f>
        <v>0</v>
      </c>
      <c r="AM112" s="139"/>
      <c r="AO112" s="75" t="e">
        <f aca="false">EURO(N112,O112,Z112,Z112,R112,U112,0,0)</f>
        <v>#NAME?</v>
      </c>
      <c r="AP112" s="138" t="e">
        <f aca="false">AO112*C112</f>
        <v>#NAME?</v>
      </c>
      <c r="AQ112" s="60" t="e">
        <f aca="false">-EURO(N112,O112,Z112,Z112,R112,U112,0,1)</f>
        <v>#NAME?</v>
      </c>
    </row>
    <row r="113" customFormat="false" ht="12.75" hidden="false" customHeight="false" outlineLevel="0" collapsed="false">
      <c r="A113" s="127" t="n">
        <f aca="false">EDATE(A112,1)</f>
        <v>43313</v>
      </c>
      <c r="B113" s="128" t="n">
        <f aca="false">B112</f>
        <v>205479</v>
      </c>
      <c r="C113" s="116" t="n">
        <f aca="false">IF(AB113=0,0,IF(AND(AB113=1,$H$3=1),B113*W113,IF($H$3=2,B113,"N/A")))</f>
        <v>6369849</v>
      </c>
      <c r="D113" s="116" t="n">
        <f aca="false">C113*AA113</f>
        <v>2082041.04852364</v>
      </c>
      <c r="E113" s="129" t="n">
        <f aca="false">VLOOKUP($A113,[1]!CurveTable,MATCH($E$4,[1]!CurveType,0))</f>
        <v>5.2675</v>
      </c>
      <c r="F113" s="130"/>
      <c r="G113" s="131" t="n">
        <f aca="false">E113</f>
        <v>5.2675</v>
      </c>
      <c r="H113" s="129" t="n">
        <f aca="false">VLOOKUP($A113,[1]!CurveTable,MATCH($H$4,[1]!CurveType,0))</f>
        <v>0</v>
      </c>
      <c r="I113" s="131"/>
      <c r="J113" s="131" t="n">
        <f aca="false">H113</f>
        <v>0</v>
      </c>
      <c r="K113" s="129"/>
      <c r="L113" s="131"/>
      <c r="M113" s="131"/>
      <c r="N113" s="131" t="n">
        <f aca="false">G113+J113+M113+$N$7</f>
        <v>4.9775</v>
      </c>
      <c r="O113" s="131" t="n">
        <f aca="false">O112</f>
        <v>3</v>
      </c>
      <c r="P113" s="131"/>
      <c r="Q113" s="141" t="n">
        <f aca="false">Q112</f>
        <v>0.17</v>
      </c>
      <c r="R113" s="129" t="n">
        <f aca="false">Q113+Summary!C$25</f>
        <v>0.17</v>
      </c>
      <c r="S113" s="129"/>
      <c r="T113" s="132" t="n">
        <f aca="false">X113</f>
        <v>43313</v>
      </c>
      <c r="U113" s="133" t="n">
        <f aca="false">T113-$C$3</f>
        <v>6308</v>
      </c>
      <c r="W113" s="61" t="n">
        <f aca="false">A114-A113</f>
        <v>31</v>
      </c>
      <c r="X113" s="135" t="n">
        <f aca="false">CHOOSE(F$3,A114+24,A113)</f>
        <v>43313</v>
      </c>
      <c r="Y113" s="61" t="n">
        <f aca="false">X113-C$3</f>
        <v>6308</v>
      </c>
      <c r="Z113" s="136" t="n">
        <f aca="false">VLOOKUP($A113,[1]!CurveTable,MATCH($Z$4,[1]!CurveType,0))</f>
        <v>0.0658078148772998</v>
      </c>
      <c r="AA113" s="137" t="n">
        <f aca="false">1/(1+CHOOSE(F$3,(Z114+($K$3/10000))/2,(Z113+($K$3/10000))/2))^(2*Y113/365.25)</f>
        <v>0.326858776169362</v>
      </c>
      <c r="AB113" s="61" t="n">
        <f aca="false">IF(AND(mthbeg&lt;=A113,mthend&gt;=A113),1,0)</f>
        <v>1</v>
      </c>
      <c r="AC113" s="61" t="n">
        <f aca="false">W113*AB113</f>
        <v>31</v>
      </c>
      <c r="AD113" s="121" t="n">
        <f aca="false">$D113*E113</f>
        <v>10967151.2230983</v>
      </c>
      <c r="AE113" s="121" t="n">
        <f aca="false">$D113*F113</f>
        <v>0</v>
      </c>
      <c r="AF113" s="121" t="n">
        <f aca="false">$D113*G113</f>
        <v>10967151.2230983</v>
      </c>
      <c r="AG113" s="121" t="n">
        <f aca="false">$D113*H113</f>
        <v>0</v>
      </c>
      <c r="AH113" s="121" t="n">
        <f aca="false">$D113*I113</f>
        <v>0</v>
      </c>
      <c r="AI113" s="121" t="n">
        <f aca="false">$D113*J113</f>
        <v>0</v>
      </c>
      <c r="AJ113" s="121" t="n">
        <f aca="false">$D113*K113</f>
        <v>0</v>
      </c>
      <c r="AK113" s="121" t="n">
        <f aca="false">$D113*L113</f>
        <v>0</v>
      </c>
      <c r="AL113" s="121" t="n">
        <f aca="false">$D113*M113</f>
        <v>0</v>
      </c>
      <c r="AM113" s="139"/>
      <c r="AO113" s="75" t="e">
        <f aca="false">EURO(N113,O113,Z113,Z113,R113,U113,0,0)</f>
        <v>#NAME?</v>
      </c>
      <c r="AP113" s="138" t="e">
        <f aca="false">AO113*C113</f>
        <v>#NAME?</v>
      </c>
      <c r="AQ113" s="60" t="e">
        <f aca="false">-EURO(N113,O113,Z113,Z113,R113,U113,0,1)</f>
        <v>#NAME?</v>
      </c>
    </row>
    <row r="114" customFormat="false" ht="12.75" hidden="false" customHeight="false" outlineLevel="0" collapsed="false">
      <c r="A114" s="127" t="n">
        <f aca="false">EDATE(A113,1)</f>
        <v>43344</v>
      </c>
      <c r="B114" s="128" t="n">
        <f aca="false">B113</f>
        <v>205479</v>
      </c>
      <c r="C114" s="116" t="n">
        <f aca="false">IF(AB114=0,0,IF(AND(AB114=1,$H$3=1),B114*W114,IF($H$3=2,B114,"N/A")))</f>
        <v>6164370</v>
      </c>
      <c r="D114" s="116" t="n">
        <f aca="false">C114*AA114</f>
        <v>2002405.20991974</v>
      </c>
      <c r="E114" s="129" t="n">
        <f aca="false">VLOOKUP($A114,[1]!CurveTable,MATCH($E$4,[1]!CurveType,0))</f>
        <v>5.2725</v>
      </c>
      <c r="F114" s="130"/>
      <c r="G114" s="131" t="n">
        <f aca="false">E114</f>
        <v>5.2725</v>
      </c>
      <c r="H114" s="129" t="n">
        <f aca="false">VLOOKUP($A114,[1]!CurveTable,MATCH($H$4,[1]!CurveType,0))</f>
        <v>0</v>
      </c>
      <c r="I114" s="131"/>
      <c r="J114" s="131" t="n">
        <f aca="false">H114</f>
        <v>0</v>
      </c>
      <c r="K114" s="129"/>
      <c r="L114" s="131"/>
      <c r="M114" s="131"/>
      <c r="N114" s="131" t="n">
        <f aca="false">G114+J114+M114+$N$7</f>
        <v>4.9825</v>
      </c>
      <c r="O114" s="131" t="n">
        <f aca="false">O113</f>
        <v>3</v>
      </c>
      <c r="P114" s="131"/>
      <c r="Q114" s="141" t="n">
        <f aca="false">Q113</f>
        <v>0.17</v>
      </c>
      <c r="R114" s="129" t="n">
        <f aca="false">Q114+Summary!C$25</f>
        <v>0.17</v>
      </c>
      <c r="S114" s="129"/>
      <c r="T114" s="132" t="n">
        <f aca="false">X114</f>
        <v>43344</v>
      </c>
      <c r="U114" s="133" t="n">
        <f aca="false">T114-$C$3</f>
        <v>6339</v>
      </c>
      <c r="W114" s="61" t="n">
        <f aca="false">A115-A114</f>
        <v>30</v>
      </c>
      <c r="X114" s="135" t="n">
        <f aca="false">CHOOSE(F$3,A115+24,A114)</f>
        <v>43344</v>
      </c>
      <c r="Y114" s="61" t="n">
        <f aca="false">X114-C$3</f>
        <v>6339</v>
      </c>
      <c r="Z114" s="136" t="n">
        <f aca="false">VLOOKUP($A114,[1]!CurveTable,MATCH($Z$4,[1]!CurveType,0))</f>
        <v>0.0658503325964492</v>
      </c>
      <c r="AA114" s="137" t="n">
        <f aca="false">1/(1+CHOOSE(F$3,(Z115+($K$3/10000))/2,(Z114+($K$3/10000))/2))^(2*Y114/365.25)</f>
        <v>0.324835337580279</v>
      </c>
      <c r="AB114" s="61" t="n">
        <f aca="false">IF(AND(mthbeg&lt;=A114,mthend&gt;=A114),1,0)</f>
        <v>1</v>
      </c>
      <c r="AC114" s="61" t="n">
        <f aca="false">W114*AB114</f>
        <v>30</v>
      </c>
      <c r="AD114" s="121" t="n">
        <f aca="false">$D114*E114</f>
        <v>10557681.4693018</v>
      </c>
      <c r="AE114" s="121" t="n">
        <f aca="false">$D114*F114</f>
        <v>0</v>
      </c>
      <c r="AF114" s="121" t="n">
        <f aca="false">$D114*G114</f>
        <v>10557681.4693018</v>
      </c>
      <c r="AG114" s="121" t="n">
        <f aca="false">$D114*H114</f>
        <v>0</v>
      </c>
      <c r="AH114" s="121" t="n">
        <f aca="false">$D114*I114</f>
        <v>0</v>
      </c>
      <c r="AI114" s="121" t="n">
        <f aca="false">$D114*J114</f>
        <v>0</v>
      </c>
      <c r="AJ114" s="121" t="n">
        <f aca="false">$D114*K114</f>
        <v>0</v>
      </c>
      <c r="AK114" s="121" t="n">
        <f aca="false">$D114*L114</f>
        <v>0</v>
      </c>
      <c r="AL114" s="121" t="n">
        <f aca="false">$D114*M114</f>
        <v>0</v>
      </c>
      <c r="AM114" s="139"/>
      <c r="AO114" s="75" t="e">
        <f aca="false">EURO(N114,O114,Z114,Z114,R114,U114,0,0)</f>
        <v>#NAME?</v>
      </c>
      <c r="AP114" s="138" t="e">
        <f aca="false">AO114*C114</f>
        <v>#NAME?</v>
      </c>
      <c r="AQ114" s="60" t="e">
        <f aca="false">-EURO(N114,O114,Z114,Z114,R114,U114,0,1)</f>
        <v>#NAME?</v>
      </c>
    </row>
    <row r="115" customFormat="false" ht="12.75" hidden="false" customHeight="false" outlineLevel="0" collapsed="false">
      <c r="A115" s="127" t="n">
        <f aca="false">EDATE(A114,1)</f>
        <v>43374</v>
      </c>
      <c r="B115" s="128" t="n">
        <f aca="false">B114</f>
        <v>205479</v>
      </c>
      <c r="C115" s="116" t="n">
        <f aca="false">IF(AB115=0,0,IF(AND(AB115=1,$H$3=1),B115*W115,IF($H$3=2,B115,"N/A")))</f>
        <v>6369849</v>
      </c>
      <c r="D115" s="116" t="n">
        <f aca="false">C115*AA115</f>
        <v>2056741.14775645</v>
      </c>
      <c r="E115" s="129" t="n">
        <f aca="false">VLOOKUP($A115,[1]!CurveTable,MATCH($E$4,[1]!CurveType,0))</f>
        <v>5.3025</v>
      </c>
      <c r="F115" s="130"/>
      <c r="G115" s="131" t="n">
        <f aca="false">E115</f>
        <v>5.3025</v>
      </c>
      <c r="H115" s="129" t="n">
        <f aca="false">VLOOKUP($A115,[1]!CurveTable,MATCH($H$4,[1]!CurveType,0))</f>
        <v>0</v>
      </c>
      <c r="I115" s="131"/>
      <c r="J115" s="131" t="n">
        <f aca="false">H115</f>
        <v>0</v>
      </c>
      <c r="K115" s="129"/>
      <c r="L115" s="131"/>
      <c r="M115" s="131"/>
      <c r="N115" s="131" t="n">
        <f aca="false">G115+J115+M115+$N$7</f>
        <v>5.0125</v>
      </c>
      <c r="O115" s="131" t="n">
        <f aca="false">O114</f>
        <v>3</v>
      </c>
      <c r="P115" s="131"/>
      <c r="Q115" s="141" t="n">
        <f aca="false">Q114</f>
        <v>0.17</v>
      </c>
      <c r="R115" s="129" t="n">
        <f aca="false">Q115+Summary!C$25</f>
        <v>0.17</v>
      </c>
      <c r="S115" s="129"/>
      <c r="T115" s="132" t="n">
        <f aca="false">X115</f>
        <v>43374</v>
      </c>
      <c r="U115" s="133" t="n">
        <f aca="false">T115-$C$3</f>
        <v>6369</v>
      </c>
      <c r="W115" s="61" t="n">
        <f aca="false">A116-A115</f>
        <v>31</v>
      </c>
      <c r="X115" s="135" t="n">
        <f aca="false">CHOOSE(F$3,A116+24,A115)</f>
        <v>43374</v>
      </c>
      <c r="Y115" s="61" t="n">
        <f aca="false">X115-C$3</f>
        <v>6369</v>
      </c>
      <c r="Z115" s="136" t="n">
        <f aca="false">VLOOKUP($A115,[1]!CurveTable,MATCH($Z$4,[1]!CurveType,0))</f>
        <v>0.0658914787768423</v>
      </c>
      <c r="AA115" s="137" t="n">
        <f aca="false">1/(1+CHOOSE(F$3,(Z116+($K$3/10000))/2,(Z115+($K$3/10000))/2))^(2*Y115/365.25)</f>
        <v>0.322886955052851</v>
      </c>
      <c r="AB115" s="61" t="n">
        <f aca="false">IF(AND(mthbeg&lt;=A115,mthend&gt;=A115),1,0)</f>
        <v>1</v>
      </c>
      <c r="AC115" s="61" t="n">
        <f aca="false">W115*AB115</f>
        <v>31</v>
      </c>
      <c r="AD115" s="121" t="n">
        <f aca="false">$D115*E115</f>
        <v>10905869.9359786</v>
      </c>
      <c r="AE115" s="121" t="n">
        <f aca="false">$D115*F115</f>
        <v>0</v>
      </c>
      <c r="AF115" s="121" t="n">
        <f aca="false">$D115*G115</f>
        <v>10905869.9359786</v>
      </c>
      <c r="AG115" s="121" t="n">
        <f aca="false">$D115*H115</f>
        <v>0</v>
      </c>
      <c r="AH115" s="121" t="n">
        <f aca="false">$D115*I115</f>
        <v>0</v>
      </c>
      <c r="AI115" s="121" t="n">
        <f aca="false">$D115*J115</f>
        <v>0</v>
      </c>
      <c r="AJ115" s="121" t="n">
        <f aca="false">$D115*K115</f>
        <v>0</v>
      </c>
      <c r="AK115" s="121" t="n">
        <f aca="false">$D115*L115</f>
        <v>0</v>
      </c>
      <c r="AL115" s="121" t="n">
        <f aca="false">$D115*M115</f>
        <v>0</v>
      </c>
      <c r="AM115" s="139"/>
      <c r="AO115" s="75" t="e">
        <f aca="false">EURO(N115,O115,Z115,Z115,R115,U115,0,0)</f>
        <v>#NAME?</v>
      </c>
      <c r="AP115" s="138" t="e">
        <f aca="false">AO115*C115</f>
        <v>#NAME?</v>
      </c>
      <c r="AQ115" s="60" t="e">
        <f aca="false">-EURO(N115,O115,Z115,Z115,R115,U115,0,1)</f>
        <v>#NAME?</v>
      </c>
    </row>
    <row r="116" customFormat="false" ht="12.75" hidden="false" customHeight="false" outlineLevel="0" collapsed="false">
      <c r="A116" s="127" t="n">
        <f aca="false">EDATE(A115,1)</f>
        <v>43405</v>
      </c>
      <c r="B116" s="128" t="n">
        <f aca="false">B115</f>
        <v>205479</v>
      </c>
      <c r="C116" s="116" t="n">
        <f aca="false">IF(AB116=0,0,IF(AND(AB116=1,$H$3=1),B116*W116,IF($H$3=2,B116,"N/A")))</f>
        <v>6164370</v>
      </c>
      <c r="D116" s="116" t="n">
        <f aca="false">C116*AA116</f>
        <v>1978045.86452076</v>
      </c>
      <c r="E116" s="129" t="n">
        <f aca="false">VLOOKUP($A116,[1]!CurveTable,MATCH($E$4,[1]!CurveType,0))</f>
        <v>5.4125</v>
      </c>
      <c r="F116" s="130"/>
      <c r="G116" s="131" t="n">
        <f aca="false">E116</f>
        <v>5.4125</v>
      </c>
      <c r="H116" s="129" t="n">
        <f aca="false">VLOOKUP($A116,[1]!CurveTable,MATCH($H$4,[1]!CurveType,0))</f>
        <v>0</v>
      </c>
      <c r="I116" s="131"/>
      <c r="J116" s="131" t="n">
        <f aca="false">H116</f>
        <v>0</v>
      </c>
      <c r="K116" s="129"/>
      <c r="L116" s="131"/>
      <c r="M116" s="131"/>
      <c r="N116" s="131" t="n">
        <f aca="false">G116+J116+M116+$N$7</f>
        <v>5.1225</v>
      </c>
      <c r="O116" s="131" t="n">
        <f aca="false">O115</f>
        <v>3</v>
      </c>
      <c r="P116" s="131"/>
      <c r="Q116" s="141" t="n">
        <f aca="false">Q115</f>
        <v>0.17</v>
      </c>
      <c r="R116" s="129" t="n">
        <f aca="false">Q116+Summary!C$25</f>
        <v>0.17</v>
      </c>
      <c r="S116" s="129"/>
      <c r="T116" s="132" t="n">
        <f aca="false">X116</f>
        <v>43405</v>
      </c>
      <c r="U116" s="133" t="n">
        <f aca="false">T116-$C$3</f>
        <v>6400</v>
      </c>
      <c r="W116" s="61" t="n">
        <f aca="false">A117-A116</f>
        <v>30</v>
      </c>
      <c r="X116" s="135" t="n">
        <f aca="false">CHOOSE(F$3,A117+24,A116)</f>
        <v>43405</v>
      </c>
      <c r="Y116" s="61" t="n">
        <f aca="false">X116-C$3</f>
        <v>6400</v>
      </c>
      <c r="Z116" s="136" t="n">
        <f aca="false">VLOOKUP($A116,[1]!CurveTable,MATCH($Z$4,[1]!CurveType,0))</f>
        <v>0.0659339964971704</v>
      </c>
      <c r="AA116" s="137" t="n">
        <f aca="false">1/(1+CHOOSE(F$3,(Z117+($K$3/10000))/2,(Z116+($K$3/10000))/2))^(2*Y116/365.25)</f>
        <v>0.320883701744178</v>
      </c>
      <c r="AB116" s="61" t="n">
        <f aca="false">IF(AND(mthbeg&lt;=A116,mthend&gt;=A116),1,0)</f>
        <v>1</v>
      </c>
      <c r="AC116" s="61" t="n">
        <f aca="false">W116*AB116</f>
        <v>30</v>
      </c>
      <c r="AD116" s="121" t="n">
        <f aca="false">$D116*E116</f>
        <v>10706173.2417186</v>
      </c>
      <c r="AE116" s="121" t="n">
        <f aca="false">$D116*F116</f>
        <v>0</v>
      </c>
      <c r="AF116" s="121" t="n">
        <f aca="false">$D116*G116</f>
        <v>10706173.2417186</v>
      </c>
      <c r="AG116" s="121" t="n">
        <f aca="false">$D116*H116</f>
        <v>0</v>
      </c>
      <c r="AH116" s="121" t="n">
        <f aca="false">$D116*I116</f>
        <v>0</v>
      </c>
      <c r="AI116" s="121" t="n">
        <f aca="false">$D116*J116</f>
        <v>0</v>
      </c>
      <c r="AJ116" s="121" t="n">
        <f aca="false">$D116*K116</f>
        <v>0</v>
      </c>
      <c r="AK116" s="121" t="n">
        <f aca="false">$D116*L116</f>
        <v>0</v>
      </c>
      <c r="AL116" s="121" t="n">
        <f aca="false">$D116*M116</f>
        <v>0</v>
      </c>
      <c r="AM116" s="139"/>
      <c r="AO116" s="75" t="e">
        <f aca="false">EURO(N116,O116,Z116,Z116,R116,U116,0,0)</f>
        <v>#NAME?</v>
      </c>
      <c r="AP116" s="138" t="e">
        <f aca="false">AO116*C116</f>
        <v>#NAME?</v>
      </c>
      <c r="AQ116" s="60" t="e">
        <f aca="false">-EURO(N116,O116,Z116,Z116,R116,U116,0,1)</f>
        <v>#NAME?</v>
      </c>
    </row>
    <row r="117" customFormat="false" ht="12.75" hidden="false" customHeight="false" outlineLevel="0" collapsed="false">
      <c r="A117" s="127" t="n">
        <f aca="false">EDATE(A116,1)</f>
        <v>43435</v>
      </c>
      <c r="B117" s="128" t="n">
        <f aca="false">B116</f>
        <v>205479</v>
      </c>
      <c r="C117" s="116" t="n">
        <f aca="false">IF(AB117=0,0,IF(AND(AB117=1,$H$3=1),B117*W117,IF($H$3=2,B117,"N/A")))</f>
        <v>6369849</v>
      </c>
      <c r="D117" s="116" t="n">
        <f aca="false">C117*AA117</f>
        <v>2031693.82858147</v>
      </c>
      <c r="E117" s="129" t="n">
        <f aca="false">VLOOKUP($A117,[1]!CurveTable,MATCH($E$4,[1]!CurveType,0))</f>
        <v>5.5325</v>
      </c>
      <c r="F117" s="130"/>
      <c r="G117" s="131" t="n">
        <f aca="false">E117</f>
        <v>5.5325</v>
      </c>
      <c r="H117" s="129" t="n">
        <f aca="false">VLOOKUP($A117,[1]!CurveTable,MATCH($H$4,[1]!CurveType,0))</f>
        <v>0</v>
      </c>
      <c r="I117" s="131"/>
      <c r="J117" s="131" t="n">
        <f aca="false">H117</f>
        <v>0</v>
      </c>
      <c r="K117" s="129"/>
      <c r="L117" s="131"/>
      <c r="M117" s="131"/>
      <c r="N117" s="131" t="n">
        <f aca="false">G117+J117+M117+$N$7</f>
        <v>5.2425</v>
      </c>
      <c r="O117" s="131" t="n">
        <f aca="false">O116</f>
        <v>3</v>
      </c>
      <c r="P117" s="131"/>
      <c r="Q117" s="141" t="n">
        <f aca="false">Q116</f>
        <v>0.17</v>
      </c>
      <c r="R117" s="129" t="n">
        <f aca="false">Q117+Summary!C$25</f>
        <v>0.17</v>
      </c>
      <c r="S117" s="129"/>
      <c r="T117" s="132" t="n">
        <f aca="false">X117</f>
        <v>43435</v>
      </c>
      <c r="U117" s="133" t="n">
        <f aca="false">T117-$C$3</f>
        <v>6430</v>
      </c>
      <c r="W117" s="61" t="n">
        <f aca="false">A118-A117</f>
        <v>31</v>
      </c>
      <c r="X117" s="135" t="n">
        <f aca="false">CHOOSE(F$3,A118+24,A117)</f>
        <v>43435</v>
      </c>
      <c r="Y117" s="61" t="n">
        <f aca="false">X117-C$3</f>
        <v>6430</v>
      </c>
      <c r="Z117" s="136" t="n">
        <f aca="false">VLOOKUP($A117,[1]!CurveTable,MATCH($Z$4,[1]!CurveType,0))</f>
        <v>0.0659751426787039</v>
      </c>
      <c r="AA117" s="137" t="n">
        <f aca="false">1/(1+CHOOSE(F$3,(Z118+($K$3/10000))/2,(Z117+($K$3/10000))/2))^(2*Y117/365.25)</f>
        <v>0.318954786617622</v>
      </c>
      <c r="AB117" s="61" t="n">
        <f aca="false">IF(AND(mthbeg&lt;=A117,mthend&gt;=A117),1,0)</f>
        <v>1</v>
      </c>
      <c r="AC117" s="61" t="n">
        <f aca="false">W117*AB117</f>
        <v>31</v>
      </c>
      <c r="AD117" s="121" t="n">
        <f aca="false">$D117*E117</f>
        <v>11240346.106627</v>
      </c>
      <c r="AE117" s="121" t="n">
        <f aca="false">$D117*F117</f>
        <v>0</v>
      </c>
      <c r="AF117" s="121" t="n">
        <f aca="false">$D117*G117</f>
        <v>11240346.106627</v>
      </c>
      <c r="AG117" s="121" t="n">
        <f aca="false">$D117*H117</f>
        <v>0</v>
      </c>
      <c r="AH117" s="121" t="n">
        <f aca="false">$D117*I117</f>
        <v>0</v>
      </c>
      <c r="AI117" s="121" t="n">
        <f aca="false">$D117*J117</f>
        <v>0</v>
      </c>
      <c r="AJ117" s="121" t="n">
        <f aca="false">$D117*K117</f>
        <v>0</v>
      </c>
      <c r="AK117" s="121" t="n">
        <f aca="false">$D117*L117</f>
        <v>0</v>
      </c>
      <c r="AL117" s="121" t="n">
        <f aca="false">$D117*M117</f>
        <v>0</v>
      </c>
      <c r="AM117" s="139"/>
      <c r="AO117" s="75" t="e">
        <f aca="false">EURO(N117,O117,Z117,Z117,R117,U117,0,0)</f>
        <v>#NAME?</v>
      </c>
      <c r="AP117" s="138" t="e">
        <f aca="false">AO117*C117</f>
        <v>#NAME?</v>
      </c>
      <c r="AQ117" s="60" t="e">
        <f aca="false">-EURO(N117,O117,Z117,Z117,R117,U117,0,1)</f>
        <v>#NAME?</v>
      </c>
    </row>
    <row r="118" customFormat="false" ht="12.75" hidden="false" customHeight="false" outlineLevel="0" collapsed="false">
      <c r="A118" s="127" t="n">
        <f aca="false">EDATE(A117,1)</f>
        <v>43466</v>
      </c>
      <c r="B118" s="128" t="n">
        <f aca="false">B117</f>
        <v>205479</v>
      </c>
      <c r="C118" s="116" t="n">
        <f aca="false">IF(AB118=0,0,IF(AND(AB118=1,$H$3=1),B118*W118,IF($H$3=2,B118,"N/A")))</f>
        <v>6369849</v>
      </c>
      <c r="D118" s="116" t="n">
        <f aca="false">C118*AA118</f>
        <v>2019061.1061564</v>
      </c>
      <c r="E118" s="129" t="n">
        <f aca="false">VLOOKUP($A118,[1]!CurveTable,MATCH($E$4,[1]!CurveType,0))</f>
        <v>5.6225</v>
      </c>
      <c r="F118" s="130"/>
      <c r="G118" s="131" t="n">
        <f aca="false">E118</f>
        <v>5.6225</v>
      </c>
      <c r="H118" s="129" t="n">
        <f aca="false">VLOOKUP($A118,[1]!CurveTable,MATCH($H$4,[1]!CurveType,0))</f>
        <v>0</v>
      </c>
      <c r="I118" s="131"/>
      <c r="J118" s="131" t="n">
        <f aca="false">H118</f>
        <v>0</v>
      </c>
      <c r="K118" s="129"/>
      <c r="L118" s="131"/>
      <c r="M118" s="131"/>
      <c r="N118" s="131" t="n">
        <f aca="false">G118+J118+M118+$N$7</f>
        <v>5.3325</v>
      </c>
      <c r="O118" s="131" t="n">
        <f aca="false">O117</f>
        <v>3</v>
      </c>
      <c r="P118" s="131"/>
      <c r="Q118" s="141" t="n">
        <f aca="false">Q117</f>
        <v>0.17</v>
      </c>
      <c r="R118" s="129" t="n">
        <f aca="false">Q118+Summary!C$25</f>
        <v>0.17</v>
      </c>
      <c r="S118" s="129"/>
      <c r="T118" s="132" t="n">
        <f aca="false">X118</f>
        <v>43466</v>
      </c>
      <c r="U118" s="133" t="n">
        <f aca="false">T118-$C$3</f>
        <v>6461</v>
      </c>
      <c r="W118" s="61" t="n">
        <f aca="false">A119-A118</f>
        <v>31</v>
      </c>
      <c r="X118" s="135" t="n">
        <f aca="false">CHOOSE(F$3,A119+24,A118)</f>
        <v>43466</v>
      </c>
      <c r="Y118" s="61" t="n">
        <f aca="false">X118-C$3</f>
        <v>6461</v>
      </c>
      <c r="Z118" s="136" t="n">
        <f aca="false">VLOOKUP($A118,[1]!CurveTable,MATCH($Z$4,[1]!CurveType,0))</f>
        <v>0.0660176604002105</v>
      </c>
      <c r="AA118" s="137" t="n">
        <f aca="false">1/(1+CHOOSE(F$3,(Z119+($K$3/10000))/2,(Z118+($K$3/10000))/2))^(2*Y118/365.25)</f>
        <v>0.316971580669557</v>
      </c>
      <c r="AB118" s="61" t="n">
        <f aca="false">IF(AND(mthbeg&lt;=A118,mthend&gt;=A118),1,0)</f>
        <v>1</v>
      </c>
      <c r="AC118" s="61" t="n">
        <f aca="false">W118*AB118</f>
        <v>31</v>
      </c>
      <c r="AD118" s="121" t="n">
        <f aca="false">$D118*E118</f>
        <v>11352171.0693643</v>
      </c>
      <c r="AE118" s="121" t="n">
        <f aca="false">$D118*F118</f>
        <v>0</v>
      </c>
      <c r="AF118" s="121" t="n">
        <f aca="false">$D118*G118</f>
        <v>11352171.0693643</v>
      </c>
      <c r="AG118" s="121" t="n">
        <f aca="false">$D118*H118</f>
        <v>0</v>
      </c>
      <c r="AH118" s="121" t="n">
        <f aca="false">$D118*I118</f>
        <v>0</v>
      </c>
      <c r="AI118" s="121" t="n">
        <f aca="false">$D118*J118</f>
        <v>0</v>
      </c>
      <c r="AJ118" s="121" t="n">
        <f aca="false">$D118*K118</f>
        <v>0</v>
      </c>
      <c r="AK118" s="121" t="n">
        <f aca="false">$D118*L118</f>
        <v>0</v>
      </c>
      <c r="AL118" s="121" t="n">
        <f aca="false">$D118*M118</f>
        <v>0</v>
      </c>
      <c r="AM118" s="139"/>
      <c r="AO118" s="75" t="e">
        <f aca="false">EURO(N118,O118,Z118,Z118,R118,U118,0,0)</f>
        <v>#NAME?</v>
      </c>
      <c r="AP118" s="138" t="e">
        <f aca="false">AO118*C118</f>
        <v>#NAME?</v>
      </c>
      <c r="AQ118" s="60" t="e">
        <f aca="false">-EURO(N118,O118,Z118,Z118,R118,U118,0,1)</f>
        <v>#NAME?</v>
      </c>
    </row>
    <row r="119" customFormat="false" ht="12.75" hidden="false" customHeight="false" outlineLevel="0" collapsed="false">
      <c r="A119" s="127" t="n">
        <f aca="false">EDATE(A118,1)</f>
        <v>43497</v>
      </c>
      <c r="B119" s="128" t="n">
        <f aca="false">B118</f>
        <v>205479</v>
      </c>
      <c r="C119" s="116" t="n">
        <f aca="false">IF(AB119=0,0,IF(AND(AB119=1,$H$3=1),B119*W119,IF($H$3=2,B119,"N/A")))</f>
        <v>5753412</v>
      </c>
      <c r="D119" s="116" t="n">
        <f aca="false">C119*AA119</f>
        <v>1812316.20676666</v>
      </c>
      <c r="E119" s="129" t="n">
        <f aca="false">VLOOKUP($A119,[1]!CurveTable,MATCH($E$4,[1]!CurveType,0))</f>
        <v>5.5025</v>
      </c>
      <c r="F119" s="130"/>
      <c r="G119" s="131" t="n">
        <f aca="false">E119</f>
        <v>5.5025</v>
      </c>
      <c r="H119" s="129" t="n">
        <f aca="false">VLOOKUP($A119,[1]!CurveTable,MATCH($H$4,[1]!CurveType,0))</f>
        <v>0</v>
      </c>
      <c r="I119" s="131"/>
      <c r="J119" s="131" t="n">
        <f aca="false">H119</f>
        <v>0</v>
      </c>
      <c r="K119" s="129"/>
      <c r="L119" s="131"/>
      <c r="M119" s="131"/>
      <c r="N119" s="131" t="n">
        <f aca="false">G119+J119+M119+$N$7</f>
        <v>5.2125</v>
      </c>
      <c r="O119" s="131" t="n">
        <f aca="false">O118</f>
        <v>3</v>
      </c>
      <c r="P119" s="131"/>
      <c r="Q119" s="141" t="n">
        <f aca="false">Q118</f>
        <v>0.17</v>
      </c>
      <c r="R119" s="129" t="n">
        <f aca="false">Q119+Summary!C$25</f>
        <v>0.17</v>
      </c>
      <c r="S119" s="129"/>
      <c r="T119" s="132" t="n">
        <f aca="false">X119</f>
        <v>43497</v>
      </c>
      <c r="U119" s="133" t="n">
        <f aca="false">T119-$C$3</f>
        <v>6492</v>
      </c>
      <c r="W119" s="61" t="n">
        <f aca="false">A120-A119</f>
        <v>28</v>
      </c>
      <c r="X119" s="135" t="n">
        <f aca="false">CHOOSE(F$3,A120+24,A119)</f>
        <v>43497</v>
      </c>
      <c r="Y119" s="61" t="n">
        <f aca="false">X119-C$3</f>
        <v>6492</v>
      </c>
      <c r="Z119" s="136" t="n">
        <f aca="false">VLOOKUP($A119,[1]!CurveTable,MATCH($Z$4,[1]!CurveType,0))</f>
        <v>0.0660601781223162</v>
      </c>
      <c r="AA119" s="137" t="n">
        <f aca="false">1/(1+CHOOSE(F$3,(Z120+($K$3/10000))/2,(Z119+($K$3/10000))/2))^(2*Y119/365.25)</f>
        <v>0.314998509887117</v>
      </c>
      <c r="AB119" s="61" t="n">
        <f aca="false">IF(AND(mthbeg&lt;=A119,mthend&gt;=A119),1,0)</f>
        <v>1</v>
      </c>
      <c r="AC119" s="61" t="n">
        <f aca="false">W119*AB119</f>
        <v>28</v>
      </c>
      <c r="AD119" s="121" t="n">
        <f aca="false">$D119*E119</f>
        <v>9972269.92773354</v>
      </c>
      <c r="AE119" s="121" t="n">
        <f aca="false">$D119*F119</f>
        <v>0</v>
      </c>
      <c r="AF119" s="121" t="n">
        <f aca="false">$D119*G119</f>
        <v>9972269.92773354</v>
      </c>
      <c r="AG119" s="121" t="n">
        <f aca="false">$D119*H119</f>
        <v>0</v>
      </c>
      <c r="AH119" s="121" t="n">
        <f aca="false">$D119*I119</f>
        <v>0</v>
      </c>
      <c r="AI119" s="121" t="n">
        <f aca="false">$D119*J119</f>
        <v>0</v>
      </c>
      <c r="AJ119" s="121" t="n">
        <f aca="false">$D119*K119</f>
        <v>0</v>
      </c>
      <c r="AK119" s="121" t="n">
        <f aca="false">$D119*L119</f>
        <v>0</v>
      </c>
      <c r="AL119" s="121" t="n">
        <f aca="false">$D119*M119</f>
        <v>0</v>
      </c>
      <c r="AM119" s="139"/>
      <c r="AO119" s="75" t="e">
        <f aca="false">EURO(N119,O119,Z119,Z119,R119,U119,0,0)</f>
        <v>#NAME?</v>
      </c>
      <c r="AP119" s="138" t="e">
        <f aca="false">AO119*C119</f>
        <v>#NAME?</v>
      </c>
      <c r="AQ119" s="60" t="e">
        <f aca="false">-EURO(N119,O119,Z119,Z119,R119,U119,0,1)</f>
        <v>#NAME?</v>
      </c>
    </row>
    <row r="120" customFormat="false" ht="12.75" hidden="false" customHeight="false" outlineLevel="0" collapsed="false">
      <c r="A120" s="127" t="n">
        <f aca="false">EDATE(A119,1)</f>
        <v>43525</v>
      </c>
      <c r="B120" s="128" t="n">
        <f aca="false">B119</f>
        <v>205479</v>
      </c>
      <c r="C120" s="116" t="n">
        <f aca="false">IF(AB120=0,0,IF(AND(AB120=1,$H$3=1),B120*W120,IF($H$3=2,B120,"N/A")))</f>
        <v>6369849</v>
      </c>
      <c r="D120" s="116" t="n">
        <f aca="false">C120*AA120</f>
        <v>1995196.35573031</v>
      </c>
      <c r="E120" s="129" t="n">
        <f aca="false">VLOOKUP($A120,[1]!CurveTable,MATCH($E$4,[1]!CurveType,0))</f>
        <v>5.3635</v>
      </c>
      <c r="F120" s="130"/>
      <c r="G120" s="131" t="n">
        <f aca="false">E120</f>
        <v>5.3635</v>
      </c>
      <c r="H120" s="129" t="n">
        <f aca="false">VLOOKUP($A120,[1]!CurveTable,MATCH($H$4,[1]!CurveType,0))</f>
        <v>0</v>
      </c>
      <c r="I120" s="131"/>
      <c r="J120" s="131" t="n">
        <f aca="false">H120</f>
        <v>0</v>
      </c>
      <c r="K120" s="129"/>
      <c r="L120" s="131"/>
      <c r="M120" s="131"/>
      <c r="N120" s="131" t="n">
        <f aca="false">G120+J120+M120+$N$7</f>
        <v>5.0735</v>
      </c>
      <c r="O120" s="131" t="n">
        <f aca="false">O119</f>
        <v>3</v>
      </c>
      <c r="P120" s="131"/>
      <c r="Q120" s="141" t="n">
        <f aca="false">Q119</f>
        <v>0.17</v>
      </c>
      <c r="R120" s="129" t="n">
        <f aca="false">Q120+Summary!C$25</f>
        <v>0.17</v>
      </c>
      <c r="S120" s="129"/>
      <c r="T120" s="132" t="n">
        <f aca="false">X120</f>
        <v>43525</v>
      </c>
      <c r="U120" s="133" t="n">
        <f aca="false">T120-$C$3</f>
        <v>6520</v>
      </c>
      <c r="W120" s="61" t="n">
        <f aca="false">A121-A120</f>
        <v>31</v>
      </c>
      <c r="X120" s="135" t="n">
        <f aca="false">CHOOSE(F$3,A121+24,A120)</f>
        <v>43525</v>
      </c>
      <c r="Y120" s="61" t="n">
        <f aca="false">X120-C$3</f>
        <v>6520</v>
      </c>
      <c r="Z120" s="136" t="n">
        <f aca="false">VLOOKUP($A120,[1]!CurveTable,MATCH($Z$4,[1]!CurveType,0))</f>
        <v>0.0660985812266683</v>
      </c>
      <c r="AA120" s="137" t="n">
        <f aca="false">1/(1+CHOOSE(F$3,(Z121+($K$3/10000))/2,(Z120+($K$3/10000))/2))^(2*Y120/365.25)</f>
        <v>0.313225063220543</v>
      </c>
      <c r="AB120" s="61" t="n">
        <f aca="false">IF(AND(mthbeg&lt;=A120,mthend&gt;=A120),1,0)</f>
        <v>1</v>
      </c>
      <c r="AC120" s="61" t="n">
        <f aca="false">W120*AB120</f>
        <v>31</v>
      </c>
      <c r="AD120" s="121" t="n">
        <f aca="false">$D120*E120</f>
        <v>10701235.6539595</v>
      </c>
      <c r="AE120" s="121" t="n">
        <f aca="false">$D120*F120</f>
        <v>0</v>
      </c>
      <c r="AF120" s="121" t="n">
        <f aca="false">$D120*G120</f>
        <v>10701235.6539595</v>
      </c>
      <c r="AG120" s="121" t="n">
        <f aca="false">$D120*H120</f>
        <v>0</v>
      </c>
      <c r="AH120" s="121" t="n">
        <f aca="false">$D120*I120</f>
        <v>0</v>
      </c>
      <c r="AI120" s="121" t="n">
        <f aca="false">$D120*J120</f>
        <v>0</v>
      </c>
      <c r="AJ120" s="121" t="n">
        <f aca="false">$D120*K120</f>
        <v>0</v>
      </c>
      <c r="AK120" s="121" t="n">
        <f aca="false">$D120*L120</f>
        <v>0</v>
      </c>
      <c r="AL120" s="121" t="n">
        <f aca="false">$D120*M120</f>
        <v>0</v>
      </c>
      <c r="AM120" s="139"/>
      <c r="AO120" s="75" t="e">
        <f aca="false">EURO(N120,O120,Z120,Z120,R120,U120,0,0)</f>
        <v>#NAME?</v>
      </c>
      <c r="AP120" s="138" t="e">
        <f aca="false">AO120*C120</f>
        <v>#NAME?</v>
      </c>
      <c r="AQ120" s="60" t="e">
        <f aca="false">-EURO(N120,O120,Z120,Z120,R120,U120,0,1)</f>
        <v>#NAME?</v>
      </c>
    </row>
    <row r="121" customFormat="false" ht="12.75" hidden="false" customHeight="false" outlineLevel="0" collapsed="false">
      <c r="A121" s="127" t="n">
        <f aca="false">EDATE(A120,1)</f>
        <v>43556</v>
      </c>
      <c r="B121" s="128" t="n">
        <f aca="false">B120</f>
        <v>205479</v>
      </c>
      <c r="C121" s="116" t="n">
        <f aca="false">IF(AB121=0,0,IF(AND(AB121=1,$H$3=1),B121*W121,IF($H$3=2,B121,"N/A")))</f>
        <v>6164370</v>
      </c>
      <c r="D121" s="116" t="n">
        <f aca="false">C121*AA121</f>
        <v>1918790.74611986</v>
      </c>
      <c r="E121" s="129" t="n">
        <f aca="false">VLOOKUP($A121,[1]!CurveTable,MATCH($E$4,[1]!CurveType,0))</f>
        <v>5.1935</v>
      </c>
      <c r="F121" s="130"/>
      <c r="G121" s="131" t="n">
        <f aca="false">E121</f>
        <v>5.1935</v>
      </c>
      <c r="H121" s="129" t="n">
        <f aca="false">VLOOKUP($A121,[1]!CurveTable,MATCH($H$4,[1]!CurveType,0))</f>
        <v>0</v>
      </c>
      <c r="I121" s="131"/>
      <c r="J121" s="131" t="n">
        <f aca="false">H121</f>
        <v>0</v>
      </c>
      <c r="K121" s="129"/>
      <c r="L121" s="131"/>
      <c r="M121" s="131"/>
      <c r="N121" s="131" t="n">
        <f aca="false">G121+J121+M121+$N$7</f>
        <v>4.9035</v>
      </c>
      <c r="O121" s="131" t="n">
        <f aca="false">O120</f>
        <v>3</v>
      </c>
      <c r="P121" s="131"/>
      <c r="Q121" s="141" t="n">
        <f aca="false">Q120</f>
        <v>0.17</v>
      </c>
      <c r="R121" s="129" t="n">
        <f aca="false">Q121+Summary!C$25</f>
        <v>0.17</v>
      </c>
      <c r="S121" s="129"/>
      <c r="T121" s="132" t="n">
        <f aca="false">X121</f>
        <v>43556</v>
      </c>
      <c r="U121" s="133" t="n">
        <f aca="false">T121-$C$3</f>
        <v>6551</v>
      </c>
      <c r="W121" s="61" t="n">
        <f aca="false">A122-A121</f>
        <v>30</v>
      </c>
      <c r="X121" s="135" t="n">
        <f aca="false">CHOOSE(F$3,A122+24,A121)</f>
        <v>43556</v>
      </c>
      <c r="Y121" s="61" t="n">
        <f aca="false">X121-C$3</f>
        <v>6551</v>
      </c>
      <c r="Z121" s="136" t="n">
        <f aca="false">VLOOKUP($A121,[1]!CurveTable,MATCH($Z$4,[1]!CurveType,0))</f>
        <v>0.0661410989499136</v>
      </c>
      <c r="AA121" s="137" t="n">
        <f aca="false">1/(1+CHOOSE(F$3,(Z122+($K$3/10000))/2,(Z121+($K$3/10000))/2))^(2*Y121/365.25)</f>
        <v>0.311271183611604</v>
      </c>
      <c r="AB121" s="61" t="n">
        <f aca="false">IF(AND(mthbeg&lt;=A121,mthend&gt;=A121),1,0)</f>
        <v>1</v>
      </c>
      <c r="AC121" s="61" t="n">
        <f aca="false">W121*AB121</f>
        <v>30</v>
      </c>
      <c r="AD121" s="121" t="n">
        <f aca="false">$D121*E121</f>
        <v>9965239.7399735</v>
      </c>
      <c r="AE121" s="121" t="n">
        <f aca="false">$D121*F121</f>
        <v>0</v>
      </c>
      <c r="AF121" s="121" t="n">
        <f aca="false">$D121*G121</f>
        <v>9965239.7399735</v>
      </c>
      <c r="AG121" s="121" t="n">
        <f aca="false">$D121*H121</f>
        <v>0</v>
      </c>
      <c r="AH121" s="121" t="n">
        <f aca="false">$D121*I121</f>
        <v>0</v>
      </c>
      <c r="AI121" s="121" t="n">
        <f aca="false">$D121*J121</f>
        <v>0</v>
      </c>
      <c r="AJ121" s="121" t="n">
        <f aca="false">$D121*K121</f>
        <v>0</v>
      </c>
      <c r="AK121" s="121" t="n">
        <f aca="false">$D121*L121</f>
        <v>0</v>
      </c>
      <c r="AL121" s="121" t="n">
        <f aca="false">$D121*M121</f>
        <v>0</v>
      </c>
      <c r="AM121" s="139"/>
      <c r="AO121" s="75" t="e">
        <f aca="false">EURO(N121,O121,Z121,Z121,R121,U121,0,0)</f>
        <v>#NAME?</v>
      </c>
      <c r="AP121" s="138" t="e">
        <f aca="false">AO121*C121</f>
        <v>#NAME?</v>
      </c>
      <c r="AQ121" s="60" t="e">
        <f aca="false">-EURO(N121,O121,Z121,Z121,R121,U121,0,1)</f>
        <v>#NAME?</v>
      </c>
    </row>
    <row r="122" customFormat="false" ht="12.75" hidden="false" customHeight="false" outlineLevel="0" collapsed="false">
      <c r="A122" s="127" t="n">
        <f aca="false">EDATE(A121,1)</f>
        <v>43586</v>
      </c>
      <c r="B122" s="128" t="n">
        <f aca="false">B121</f>
        <v>205479</v>
      </c>
      <c r="C122" s="116" t="n">
        <f aca="false">IF(AB122=0,0,IF(AND(AB122=1,$H$3=1),B122*W122,IF($H$3=2,B122,"N/A")))</f>
        <v>6369849</v>
      </c>
      <c r="D122" s="116" t="n">
        <f aca="false">C122*AA122</f>
        <v>1970766.84574516</v>
      </c>
      <c r="E122" s="129" t="n">
        <f aca="false">VLOOKUP($A122,[1]!CurveTable,MATCH($E$4,[1]!CurveType,0))</f>
        <v>5.2525</v>
      </c>
      <c r="F122" s="130"/>
      <c r="G122" s="131" t="n">
        <f aca="false">E122</f>
        <v>5.2525</v>
      </c>
      <c r="H122" s="129" t="n">
        <f aca="false">VLOOKUP($A122,[1]!CurveTable,MATCH($H$4,[1]!CurveType,0))</f>
        <v>0</v>
      </c>
      <c r="I122" s="131"/>
      <c r="J122" s="131" t="n">
        <f aca="false">H122</f>
        <v>0</v>
      </c>
      <c r="K122" s="129"/>
      <c r="L122" s="131"/>
      <c r="M122" s="131"/>
      <c r="N122" s="131" t="n">
        <f aca="false">G122+J122+M122+$N$7</f>
        <v>4.9625</v>
      </c>
      <c r="O122" s="131" t="n">
        <f aca="false">O121</f>
        <v>3</v>
      </c>
      <c r="P122" s="131"/>
      <c r="Q122" s="141" t="n">
        <f aca="false">Q121</f>
        <v>0.17</v>
      </c>
      <c r="R122" s="129" t="n">
        <f aca="false">Q122+Summary!C$25</f>
        <v>0.17</v>
      </c>
      <c r="S122" s="129"/>
      <c r="T122" s="132" t="n">
        <f aca="false">X122</f>
        <v>43586</v>
      </c>
      <c r="U122" s="133" t="n">
        <f aca="false">T122-$C$3</f>
        <v>6581</v>
      </c>
      <c r="W122" s="61" t="n">
        <f aca="false">A123-A122</f>
        <v>31</v>
      </c>
      <c r="X122" s="135" t="n">
        <f aca="false">CHOOSE(F$3,A123+24,A122)</f>
        <v>43586</v>
      </c>
      <c r="Y122" s="61" t="n">
        <f aca="false">X122-C$3</f>
        <v>6581</v>
      </c>
      <c r="Z122" s="136" t="n">
        <f aca="false">VLOOKUP($A122,[1]!CurveTable,MATCH($Z$4,[1]!CurveType,0))</f>
        <v>0.0661822451342702</v>
      </c>
      <c r="AA122" s="137" t="n">
        <f aca="false">1/(1+CHOOSE(F$3,(Z123+($K$3/10000))/2,(Z122+($K$3/10000))/2))^(2*Y122/365.25)</f>
        <v>0.309389884398383</v>
      </c>
      <c r="AB122" s="61" t="n">
        <f aca="false">IF(AND(mthbeg&lt;=A122,mthend&gt;=A122),1,0)</f>
        <v>1</v>
      </c>
      <c r="AC122" s="61" t="n">
        <f aca="false">W122*AB122</f>
        <v>31</v>
      </c>
      <c r="AD122" s="121" t="n">
        <f aca="false">$D122*E122</f>
        <v>10351452.8572764</v>
      </c>
      <c r="AE122" s="121" t="n">
        <f aca="false">$D122*F122</f>
        <v>0</v>
      </c>
      <c r="AF122" s="121" t="n">
        <f aca="false">$D122*G122</f>
        <v>10351452.8572764</v>
      </c>
      <c r="AG122" s="121" t="n">
        <f aca="false">$D122*H122</f>
        <v>0</v>
      </c>
      <c r="AH122" s="121" t="n">
        <f aca="false">$D122*I122</f>
        <v>0</v>
      </c>
      <c r="AI122" s="121" t="n">
        <f aca="false">$D122*J122</f>
        <v>0</v>
      </c>
      <c r="AJ122" s="121" t="n">
        <f aca="false">$D122*K122</f>
        <v>0</v>
      </c>
      <c r="AK122" s="121" t="n">
        <f aca="false">$D122*L122</f>
        <v>0</v>
      </c>
      <c r="AL122" s="121" t="n">
        <f aca="false">$D122*M122</f>
        <v>0</v>
      </c>
      <c r="AM122" s="139"/>
      <c r="AO122" s="75" t="e">
        <f aca="false">EURO(N122,O122,Z122,Z122,R122,U122,0,0)</f>
        <v>#NAME?</v>
      </c>
      <c r="AP122" s="138" t="e">
        <f aca="false">AO122*C122</f>
        <v>#NAME?</v>
      </c>
      <c r="AQ122" s="60" t="e">
        <f aca="false">-EURO(N122,O122,Z122,Z122,R122,U122,0,1)</f>
        <v>#NAME?</v>
      </c>
    </row>
    <row r="123" customFormat="false" ht="12.75" hidden="false" customHeight="false" outlineLevel="0" collapsed="false">
      <c r="A123" s="127" t="n">
        <f aca="false">EDATE(A122,1)</f>
        <v>43617</v>
      </c>
      <c r="B123" s="128" t="n">
        <f aca="false">B122</f>
        <v>205479</v>
      </c>
      <c r="C123" s="116" t="n">
        <f aca="false">IF(AB123=0,0,IF(AND(AB123=1,$H$3=1),B123*W123,IF($H$3=2,B123,"N/A")))</f>
        <v>6164370</v>
      </c>
      <c r="D123" s="116" t="n">
        <f aca="false">C123*AA123</f>
        <v>1895270.76132807</v>
      </c>
      <c r="E123" s="129" t="n">
        <f aca="false">VLOOKUP($A123,[1]!CurveTable,MATCH($E$4,[1]!CurveType,0))</f>
        <v>5.2925</v>
      </c>
      <c r="F123" s="130"/>
      <c r="G123" s="131" t="n">
        <f aca="false">E123</f>
        <v>5.2925</v>
      </c>
      <c r="H123" s="129" t="n">
        <f aca="false">VLOOKUP($A123,[1]!CurveTable,MATCH($H$4,[1]!CurveType,0))</f>
        <v>0</v>
      </c>
      <c r="I123" s="131"/>
      <c r="J123" s="131" t="n">
        <f aca="false">H123</f>
        <v>0</v>
      </c>
      <c r="K123" s="129"/>
      <c r="L123" s="131"/>
      <c r="M123" s="131"/>
      <c r="N123" s="131" t="n">
        <f aca="false">G123+J123+M123+$N$7</f>
        <v>5.0025</v>
      </c>
      <c r="O123" s="131" t="n">
        <f aca="false">O122</f>
        <v>3</v>
      </c>
      <c r="P123" s="131"/>
      <c r="Q123" s="141" t="n">
        <f aca="false">Q122</f>
        <v>0.17</v>
      </c>
      <c r="R123" s="129" t="n">
        <f aca="false">Q123+Summary!C$25</f>
        <v>0.17</v>
      </c>
      <c r="S123" s="129"/>
      <c r="T123" s="132" t="n">
        <f aca="false">X123</f>
        <v>43617</v>
      </c>
      <c r="U123" s="133" t="n">
        <f aca="false">T123-$C$3</f>
        <v>6612</v>
      </c>
      <c r="W123" s="61" t="n">
        <f aca="false">A124-A123</f>
        <v>30</v>
      </c>
      <c r="X123" s="135" t="n">
        <f aca="false">CHOOSE(F$3,A124+24,A123)</f>
        <v>43617</v>
      </c>
      <c r="Y123" s="61" t="n">
        <f aca="false">X123-C$3</f>
        <v>6612</v>
      </c>
      <c r="Z123" s="136" t="n">
        <f aca="false">VLOOKUP($A123,[1]!CurveTable,MATCH($Z$4,[1]!CurveType,0))</f>
        <v>0.066224762858694</v>
      </c>
      <c r="AA123" s="137" t="n">
        <f aca="false">1/(1+CHOOSE(F$3,(Z124+($K$3/10000))/2,(Z123+($K$3/10000))/2))^(2*Y123/365.25)</f>
        <v>0.307455711018006</v>
      </c>
      <c r="AB123" s="61" t="n">
        <f aca="false">IF(AND(mthbeg&lt;=A123,mthend&gt;=A123),1,0)</f>
        <v>1</v>
      </c>
      <c r="AC123" s="61" t="n">
        <f aca="false">W123*AB123</f>
        <v>30</v>
      </c>
      <c r="AD123" s="121" t="n">
        <f aca="false">$D123*E123</f>
        <v>10030720.5043288</v>
      </c>
      <c r="AE123" s="121" t="n">
        <f aca="false">$D123*F123</f>
        <v>0</v>
      </c>
      <c r="AF123" s="121" t="n">
        <f aca="false">$D123*G123</f>
        <v>10030720.5043288</v>
      </c>
      <c r="AG123" s="121" t="n">
        <f aca="false">$D123*H123</f>
        <v>0</v>
      </c>
      <c r="AH123" s="121" t="n">
        <f aca="false">$D123*I123</f>
        <v>0</v>
      </c>
      <c r="AI123" s="121" t="n">
        <f aca="false">$D123*J123</f>
        <v>0</v>
      </c>
      <c r="AJ123" s="121" t="n">
        <f aca="false">$D123*K123</f>
        <v>0</v>
      </c>
      <c r="AK123" s="121" t="n">
        <f aca="false">$D123*L123</f>
        <v>0</v>
      </c>
      <c r="AL123" s="121" t="n">
        <f aca="false">$D123*M123</f>
        <v>0</v>
      </c>
      <c r="AM123" s="139"/>
      <c r="AO123" s="75" t="e">
        <f aca="false">EURO(N123,O123,Z123,Z123,R123,U123,0,0)</f>
        <v>#NAME?</v>
      </c>
      <c r="AP123" s="138" t="e">
        <f aca="false">AO123*C123</f>
        <v>#NAME?</v>
      </c>
      <c r="AQ123" s="60" t="e">
        <f aca="false">-EURO(N123,O123,Z123,Z123,R123,U123,0,1)</f>
        <v>#NAME?</v>
      </c>
    </row>
    <row r="124" customFormat="false" ht="12.75" hidden="false" customHeight="false" outlineLevel="0" collapsed="false">
      <c r="A124" s="127" t="n">
        <f aca="false">EDATE(A123,1)</f>
        <v>43647</v>
      </c>
      <c r="B124" s="128" t="n">
        <f aca="false">B123</f>
        <v>205479</v>
      </c>
      <c r="C124" s="116" t="n">
        <f aca="false">IF(AB124=0,0,IF(AND(AB124=1,$H$3=1),B124*W124,IF($H$3=2,B124,"N/A")))</f>
        <v>6369849</v>
      </c>
      <c r="D124" s="116" t="n">
        <f aca="false">C124*AA124</f>
        <v>1946583.91357372</v>
      </c>
      <c r="E124" s="129" t="n">
        <f aca="false">VLOOKUP($A124,[1]!CurveTable,MATCH($E$4,[1]!CurveType,0))</f>
        <v>5.3375</v>
      </c>
      <c r="F124" s="130"/>
      <c r="G124" s="131" t="n">
        <f aca="false">E124</f>
        <v>5.3375</v>
      </c>
      <c r="H124" s="129" t="n">
        <f aca="false">VLOOKUP($A124,[1]!CurveTable,MATCH($H$4,[1]!CurveType,0))</f>
        <v>0</v>
      </c>
      <c r="I124" s="131"/>
      <c r="J124" s="131" t="n">
        <f aca="false">H124</f>
        <v>0</v>
      </c>
      <c r="K124" s="129"/>
      <c r="L124" s="131"/>
      <c r="M124" s="131"/>
      <c r="N124" s="131" t="n">
        <f aca="false">G124+J124+M124+$N$7</f>
        <v>5.0475</v>
      </c>
      <c r="O124" s="131" t="n">
        <f aca="false">O123</f>
        <v>3</v>
      </c>
      <c r="P124" s="131"/>
      <c r="Q124" s="141" t="n">
        <f aca="false">Q123</f>
        <v>0.17</v>
      </c>
      <c r="R124" s="129" t="n">
        <f aca="false">Q124+Summary!C$25</f>
        <v>0.17</v>
      </c>
      <c r="S124" s="129"/>
      <c r="T124" s="132" t="n">
        <f aca="false">X124</f>
        <v>43647</v>
      </c>
      <c r="U124" s="133" t="n">
        <f aca="false">T124-$C$3</f>
        <v>6642</v>
      </c>
      <c r="W124" s="61" t="n">
        <f aca="false">A125-A124</f>
        <v>31</v>
      </c>
      <c r="X124" s="135" t="n">
        <f aca="false">CHOOSE(F$3,A125+24,A124)</f>
        <v>43647</v>
      </c>
      <c r="Y124" s="61" t="n">
        <f aca="false">X124-C$3</f>
        <v>6642</v>
      </c>
      <c r="Z124" s="136" t="n">
        <f aca="false">VLOOKUP($A124,[1]!CurveTable,MATCH($Z$4,[1]!CurveType,0))</f>
        <v>0.066265909044191</v>
      </c>
      <c r="AA124" s="137" t="n">
        <f aca="false">1/(1+CHOOSE(F$3,(Z125+($K$3/10000))/2,(Z124+($K$3/10000))/2))^(2*Y124/365.25)</f>
        <v>0.305593415726765</v>
      </c>
      <c r="AB124" s="61" t="n">
        <f aca="false">IF(AND(mthbeg&lt;=A124,mthend&gt;=A124),1,0)</f>
        <v>1</v>
      </c>
      <c r="AC124" s="61" t="n">
        <f aca="false">W124*AB124</f>
        <v>31</v>
      </c>
      <c r="AD124" s="121" t="n">
        <f aca="false">$D124*E124</f>
        <v>10389891.6386997</v>
      </c>
      <c r="AE124" s="121" t="n">
        <f aca="false">$D124*F124</f>
        <v>0</v>
      </c>
      <c r="AF124" s="121" t="n">
        <f aca="false">$D124*G124</f>
        <v>10389891.6386997</v>
      </c>
      <c r="AG124" s="121" t="n">
        <f aca="false">$D124*H124</f>
        <v>0</v>
      </c>
      <c r="AH124" s="121" t="n">
        <f aca="false">$D124*I124</f>
        <v>0</v>
      </c>
      <c r="AI124" s="121" t="n">
        <f aca="false">$D124*J124</f>
        <v>0</v>
      </c>
      <c r="AJ124" s="121" t="n">
        <f aca="false">$D124*K124</f>
        <v>0</v>
      </c>
      <c r="AK124" s="121" t="n">
        <f aca="false">$D124*L124</f>
        <v>0</v>
      </c>
      <c r="AL124" s="121" t="n">
        <f aca="false">$D124*M124</f>
        <v>0</v>
      </c>
      <c r="AM124" s="139"/>
      <c r="AO124" s="75" t="e">
        <f aca="false">EURO(N124,O124,Z124,Z124,R124,U124,0,0)</f>
        <v>#NAME?</v>
      </c>
      <c r="AP124" s="138" t="e">
        <f aca="false">AO124*C124</f>
        <v>#NAME?</v>
      </c>
      <c r="AQ124" s="60" t="e">
        <f aca="false">-EURO(N124,O124,Z124,Z124,R124,U124,0,1)</f>
        <v>#NAME?</v>
      </c>
    </row>
    <row r="125" customFormat="false" ht="12.75" hidden="false" customHeight="false" outlineLevel="0" collapsed="false">
      <c r="A125" s="127" t="n">
        <f aca="false">EDATE(A124,1)</f>
        <v>43678</v>
      </c>
      <c r="B125" s="128" t="n">
        <f aca="false">B124</f>
        <v>205479</v>
      </c>
      <c r="C125" s="116" t="n">
        <f aca="false">IF(AB125=0,0,IF(AND(AB125=1,$H$3=1),B125*W125,IF($H$3=2,B125,"N/A")))</f>
        <v>6369849</v>
      </c>
      <c r="D125" s="116" t="n">
        <f aca="false">C125*AA125</f>
        <v>1934388.17002705</v>
      </c>
      <c r="E125" s="129" t="n">
        <f aca="false">VLOOKUP($A125,[1]!CurveTable,MATCH($E$4,[1]!CurveType,0))</f>
        <v>5.3725</v>
      </c>
      <c r="F125" s="130"/>
      <c r="G125" s="131" t="n">
        <f aca="false">E125</f>
        <v>5.3725</v>
      </c>
      <c r="H125" s="129" t="n">
        <f aca="false">VLOOKUP($A125,[1]!CurveTable,MATCH($H$4,[1]!CurveType,0))</f>
        <v>0</v>
      </c>
      <c r="I125" s="131"/>
      <c r="J125" s="131" t="n">
        <f aca="false">H125</f>
        <v>0</v>
      </c>
      <c r="K125" s="129"/>
      <c r="L125" s="131"/>
      <c r="M125" s="131"/>
      <c r="N125" s="131" t="n">
        <f aca="false">G125+J125+M125+$N$7</f>
        <v>5.0825</v>
      </c>
      <c r="O125" s="131" t="n">
        <f aca="false">O124</f>
        <v>3</v>
      </c>
      <c r="P125" s="131"/>
      <c r="Q125" s="141" t="n">
        <f aca="false">Q124</f>
        <v>0.17</v>
      </c>
      <c r="R125" s="129" t="n">
        <f aca="false">Q125+Summary!C$25</f>
        <v>0.17</v>
      </c>
      <c r="S125" s="129"/>
      <c r="T125" s="132" t="n">
        <f aca="false">X125</f>
        <v>43678</v>
      </c>
      <c r="U125" s="133" t="n">
        <f aca="false">T125-$C$3</f>
        <v>6673</v>
      </c>
      <c r="W125" s="61" t="n">
        <f aca="false">A126-A125</f>
        <v>31</v>
      </c>
      <c r="X125" s="135" t="n">
        <f aca="false">CHOOSE(F$3,A126+24,A125)</f>
        <v>43678</v>
      </c>
      <c r="Y125" s="61" t="n">
        <f aca="false">X125-C$3</f>
        <v>6673</v>
      </c>
      <c r="Z125" s="136" t="n">
        <f aca="false">VLOOKUP($A125,[1]!CurveTable,MATCH($Z$4,[1]!CurveType,0))</f>
        <v>0.0663084267697931</v>
      </c>
      <c r="AA125" s="137" t="n">
        <f aca="false">1/(1+CHOOSE(F$3,(Z126+($K$3/10000))/2,(Z125+($K$3/10000))/2))^(2*Y125/365.25)</f>
        <v>0.303678810914835</v>
      </c>
      <c r="AB125" s="61" t="n">
        <f aca="false">IF(AND(mthbeg&lt;=A125,mthend&gt;=A125),1,0)</f>
        <v>1</v>
      </c>
      <c r="AC125" s="61" t="n">
        <f aca="false">W125*AB125</f>
        <v>31</v>
      </c>
      <c r="AD125" s="121" t="n">
        <f aca="false">$D125*E125</f>
        <v>10392500.4434703</v>
      </c>
      <c r="AE125" s="121" t="n">
        <f aca="false">$D125*F125</f>
        <v>0</v>
      </c>
      <c r="AF125" s="121" t="n">
        <f aca="false">$D125*G125</f>
        <v>10392500.4434703</v>
      </c>
      <c r="AG125" s="121" t="n">
        <f aca="false">$D125*H125</f>
        <v>0</v>
      </c>
      <c r="AH125" s="121" t="n">
        <f aca="false">$D125*I125</f>
        <v>0</v>
      </c>
      <c r="AI125" s="121" t="n">
        <f aca="false">$D125*J125</f>
        <v>0</v>
      </c>
      <c r="AJ125" s="121" t="n">
        <f aca="false">$D125*K125</f>
        <v>0</v>
      </c>
      <c r="AK125" s="121" t="n">
        <f aca="false">$D125*L125</f>
        <v>0</v>
      </c>
      <c r="AL125" s="121" t="n">
        <f aca="false">$D125*M125</f>
        <v>0</v>
      </c>
      <c r="AM125" s="139"/>
      <c r="AO125" s="75" t="e">
        <f aca="false">EURO(N125,O125,Z125,Z125,R125,U125,0,0)</f>
        <v>#NAME?</v>
      </c>
      <c r="AP125" s="138" t="e">
        <f aca="false">AO125*C125</f>
        <v>#NAME?</v>
      </c>
      <c r="AQ125" s="60" t="e">
        <f aca="false">-EURO(N125,O125,Z125,Z125,R125,U125,0,1)</f>
        <v>#NAME?</v>
      </c>
    </row>
    <row r="126" customFormat="false" ht="12.75" hidden="false" customHeight="false" outlineLevel="0" collapsed="false">
      <c r="A126" s="127" t="n">
        <f aca="false">EDATE(A125,1)</f>
        <v>43709</v>
      </c>
      <c r="B126" s="128" t="n">
        <f aca="false">B125</f>
        <v>205479</v>
      </c>
      <c r="C126" s="116" t="n">
        <f aca="false">IF(AB126=0,0,IF(AND(AB126=1,$H$3=1),B126*W126,IF($H$3=2,B126,"N/A")))</f>
        <v>6164370</v>
      </c>
      <c r="D126" s="116" t="n">
        <f aca="false">C126*AA126</f>
        <v>1860247.19687741</v>
      </c>
      <c r="E126" s="129" t="n">
        <f aca="false">VLOOKUP($A126,[1]!CurveTable,MATCH($E$4,[1]!CurveType,0))</f>
        <v>5.3775</v>
      </c>
      <c r="F126" s="130"/>
      <c r="G126" s="131" t="n">
        <f aca="false">E126</f>
        <v>5.3775</v>
      </c>
      <c r="H126" s="129" t="n">
        <f aca="false">VLOOKUP($A126,[1]!CurveTable,MATCH($H$4,[1]!CurveType,0))</f>
        <v>0</v>
      </c>
      <c r="I126" s="131"/>
      <c r="J126" s="131" t="n">
        <f aca="false">H126</f>
        <v>0</v>
      </c>
      <c r="K126" s="129"/>
      <c r="L126" s="131"/>
      <c r="M126" s="131"/>
      <c r="N126" s="131" t="n">
        <f aca="false">G126+J126+M126+$N$7</f>
        <v>5.0875</v>
      </c>
      <c r="O126" s="131" t="n">
        <f aca="false">O125</f>
        <v>3</v>
      </c>
      <c r="P126" s="131"/>
      <c r="Q126" s="141" t="n">
        <f aca="false">Q125</f>
        <v>0.17</v>
      </c>
      <c r="R126" s="129" t="n">
        <f aca="false">Q126+Summary!C$25</f>
        <v>0.17</v>
      </c>
      <c r="S126" s="129"/>
      <c r="T126" s="132" t="n">
        <f aca="false">X126</f>
        <v>43709</v>
      </c>
      <c r="U126" s="133" t="n">
        <f aca="false">T126-$C$3</f>
        <v>6704</v>
      </c>
      <c r="W126" s="61" t="n">
        <f aca="false">A127-A126</f>
        <v>30</v>
      </c>
      <c r="X126" s="135" t="n">
        <f aca="false">CHOOSE(F$3,A127+24,A126)</f>
        <v>43709</v>
      </c>
      <c r="Y126" s="61" t="n">
        <f aca="false">X126-C$3</f>
        <v>6704</v>
      </c>
      <c r="Z126" s="136" t="n">
        <f aca="false">VLOOKUP($A126,[1]!CurveTable,MATCH($Z$4,[1]!CurveType,0))</f>
        <v>0.0663509444959942</v>
      </c>
      <c r="AA126" s="137" t="n">
        <f aca="false">1/(1+CHOOSE(F$3,(Z127+($K$3/10000))/2,(Z126+($K$3/10000))/2))^(2*Y126/365.25)</f>
        <v>0.301774098063129</v>
      </c>
      <c r="AB126" s="61" t="n">
        <f aca="false">IF(AND(mthbeg&lt;=A126,mthend&gt;=A126),1,0)</f>
        <v>1</v>
      </c>
      <c r="AC126" s="61" t="n">
        <f aca="false">W126*AB126</f>
        <v>30</v>
      </c>
      <c r="AD126" s="121" t="n">
        <f aca="false">$D126*E126</f>
        <v>10003479.3012083</v>
      </c>
      <c r="AE126" s="121" t="n">
        <f aca="false">$D126*F126</f>
        <v>0</v>
      </c>
      <c r="AF126" s="121" t="n">
        <f aca="false">$D126*G126</f>
        <v>10003479.3012083</v>
      </c>
      <c r="AG126" s="121" t="n">
        <f aca="false">$D126*H126</f>
        <v>0</v>
      </c>
      <c r="AH126" s="121" t="n">
        <f aca="false">$D126*I126</f>
        <v>0</v>
      </c>
      <c r="AI126" s="121" t="n">
        <f aca="false">$D126*J126</f>
        <v>0</v>
      </c>
      <c r="AJ126" s="121" t="n">
        <f aca="false">$D126*K126</f>
        <v>0</v>
      </c>
      <c r="AK126" s="121" t="n">
        <f aca="false">$D126*L126</f>
        <v>0</v>
      </c>
      <c r="AL126" s="121" t="n">
        <f aca="false">$D126*M126</f>
        <v>0</v>
      </c>
      <c r="AM126" s="139"/>
      <c r="AO126" s="75" t="e">
        <f aca="false">EURO(N126,O126,Z126,Z126,R126,U126,0,0)</f>
        <v>#NAME?</v>
      </c>
      <c r="AP126" s="138" t="e">
        <f aca="false">AO126*C126</f>
        <v>#NAME?</v>
      </c>
      <c r="AQ126" s="60" t="e">
        <f aca="false">-EURO(N126,O126,Z126,Z126,R126,U126,0,1)</f>
        <v>#NAME?</v>
      </c>
    </row>
    <row r="127" customFormat="false" ht="12.75" hidden="false" customHeight="false" outlineLevel="0" collapsed="false">
      <c r="A127" s="127" t="n">
        <f aca="false">EDATE(A126,1)</f>
        <v>43739</v>
      </c>
      <c r="B127" s="128" t="n">
        <f aca="false">B126</f>
        <v>205479</v>
      </c>
      <c r="C127" s="116" t="n">
        <f aca="false">IF(AB127=0,0,IF(AND(AB127=1,$H$3=1),B127*W127,IF($H$3=2,B127,"N/A")))</f>
        <v>6369849</v>
      </c>
      <c r="D127" s="116" t="n">
        <f aca="false">C127*AA127</f>
        <v>1910573.86315072</v>
      </c>
      <c r="E127" s="129" t="n">
        <f aca="false">VLOOKUP($A127,[1]!CurveTable,MATCH($E$4,[1]!CurveType,0))</f>
        <v>5.4075</v>
      </c>
      <c r="F127" s="130"/>
      <c r="G127" s="131" t="n">
        <f aca="false">E127</f>
        <v>5.4075</v>
      </c>
      <c r="H127" s="129" t="n">
        <f aca="false">VLOOKUP($A127,[1]!CurveTable,MATCH($H$4,[1]!CurveType,0))</f>
        <v>0</v>
      </c>
      <c r="I127" s="131"/>
      <c r="J127" s="131" t="n">
        <f aca="false">H127</f>
        <v>0</v>
      </c>
      <c r="K127" s="129"/>
      <c r="L127" s="131"/>
      <c r="M127" s="131"/>
      <c r="N127" s="131" t="n">
        <f aca="false">G127+J127+M127+$N$7</f>
        <v>5.1175</v>
      </c>
      <c r="O127" s="131" t="n">
        <f aca="false">O126</f>
        <v>3</v>
      </c>
      <c r="P127" s="131"/>
      <c r="Q127" s="141" t="n">
        <f aca="false">Q126</f>
        <v>0.17</v>
      </c>
      <c r="R127" s="129" t="n">
        <f aca="false">Q127+Summary!C$25</f>
        <v>0.17</v>
      </c>
      <c r="S127" s="129"/>
      <c r="T127" s="132" t="n">
        <f aca="false">X127</f>
        <v>43739</v>
      </c>
      <c r="U127" s="133" t="n">
        <f aca="false">T127-$C$3</f>
        <v>6734</v>
      </c>
      <c r="W127" s="61" t="n">
        <f aca="false">A128-A127</f>
        <v>31</v>
      </c>
      <c r="X127" s="135" t="n">
        <f aca="false">CHOOSE(F$3,A128+24,A127)</f>
        <v>43739</v>
      </c>
      <c r="Y127" s="61" t="n">
        <f aca="false">X127-C$3</f>
        <v>6734</v>
      </c>
      <c r="Z127" s="136" t="n">
        <f aca="false">VLOOKUP($A127,[1]!CurveTable,MATCH($Z$4,[1]!CurveType,0))</f>
        <v>0.0663920906832107</v>
      </c>
      <c r="AA127" s="137" t="n">
        <f aca="false">1/(1+CHOOSE(F$3,(Z128+($K$3/10000))/2,(Z127+($K$3/10000))/2))^(2*Y127/365.25)</f>
        <v>0.29994021257815</v>
      </c>
      <c r="AB127" s="61" t="n">
        <f aca="false">IF(AND(mthbeg&lt;=A127,mthend&gt;=A127),1,0)</f>
        <v>1</v>
      </c>
      <c r="AC127" s="61" t="n">
        <f aca="false">W127*AB127</f>
        <v>31</v>
      </c>
      <c r="AD127" s="121" t="n">
        <f aca="false">$D127*E127</f>
        <v>10331428.1649875</v>
      </c>
      <c r="AE127" s="121" t="n">
        <f aca="false">$D127*F127</f>
        <v>0</v>
      </c>
      <c r="AF127" s="121" t="n">
        <f aca="false">$D127*G127</f>
        <v>10331428.1649875</v>
      </c>
      <c r="AG127" s="121" t="n">
        <f aca="false">$D127*H127</f>
        <v>0</v>
      </c>
      <c r="AH127" s="121" t="n">
        <f aca="false">$D127*I127</f>
        <v>0</v>
      </c>
      <c r="AI127" s="121" t="n">
        <f aca="false">$D127*J127</f>
        <v>0</v>
      </c>
      <c r="AJ127" s="121" t="n">
        <f aca="false">$D127*K127</f>
        <v>0</v>
      </c>
      <c r="AK127" s="121" t="n">
        <f aca="false">$D127*L127</f>
        <v>0</v>
      </c>
      <c r="AL127" s="121" t="n">
        <f aca="false">$D127*M127</f>
        <v>0</v>
      </c>
      <c r="AM127" s="139"/>
      <c r="AO127" s="75" t="e">
        <f aca="false">EURO(N127,O127,Z127,Z127,R127,U127,0,0)</f>
        <v>#NAME?</v>
      </c>
      <c r="AP127" s="138" t="e">
        <f aca="false">AO127*C127</f>
        <v>#NAME?</v>
      </c>
      <c r="AQ127" s="60" t="e">
        <f aca="false">-EURO(N127,O127,Z127,Z127,R127,U127,0,1)</f>
        <v>#NAME?</v>
      </c>
    </row>
    <row r="128" customFormat="false" ht="12.75" hidden="false" customHeight="false" outlineLevel="0" collapsed="false">
      <c r="A128" s="127" t="n">
        <f aca="false">EDATE(A127,1)</f>
        <v>43770</v>
      </c>
      <c r="B128" s="128" t="n">
        <f aca="false">B127</f>
        <v>205479</v>
      </c>
      <c r="C128" s="116" t="n">
        <f aca="false">IF(AB128=0,0,IF(AND(AB128=1,$H$3=1),B128*W128,IF($H$3=2,B128,"N/A")))</f>
        <v>6164370</v>
      </c>
      <c r="D128" s="116" t="n">
        <f aca="false">C128*AA128</f>
        <v>1837320.44277059</v>
      </c>
      <c r="E128" s="129" t="n">
        <f aca="false">VLOOKUP($A128,[1]!CurveTable,MATCH($E$4,[1]!CurveType,0))</f>
        <v>5.5175</v>
      </c>
      <c r="F128" s="130"/>
      <c r="G128" s="131" t="n">
        <f aca="false">E128</f>
        <v>5.5175</v>
      </c>
      <c r="H128" s="129" t="n">
        <f aca="false">VLOOKUP($A128,[1]!CurveTable,MATCH($H$4,[1]!CurveType,0))</f>
        <v>0</v>
      </c>
      <c r="I128" s="131"/>
      <c r="J128" s="131" t="n">
        <f aca="false">H128</f>
        <v>0</v>
      </c>
      <c r="K128" s="129"/>
      <c r="L128" s="131"/>
      <c r="M128" s="131"/>
      <c r="N128" s="131" t="n">
        <f aca="false">G128+J128+M128+$N$7</f>
        <v>5.2275</v>
      </c>
      <c r="O128" s="131" t="n">
        <f aca="false">O127</f>
        <v>3</v>
      </c>
      <c r="P128" s="131"/>
      <c r="Q128" s="141" t="n">
        <f aca="false">Q127</f>
        <v>0.17</v>
      </c>
      <c r="R128" s="129" t="n">
        <f aca="false">Q128+Summary!C$25</f>
        <v>0.17</v>
      </c>
      <c r="S128" s="129"/>
      <c r="T128" s="132" t="n">
        <f aca="false">X128</f>
        <v>43770</v>
      </c>
      <c r="U128" s="133" t="n">
        <f aca="false">T128-$C$3</f>
        <v>6765</v>
      </c>
      <c r="W128" s="61" t="n">
        <f aca="false">A129-A128</f>
        <v>30</v>
      </c>
      <c r="X128" s="135" t="n">
        <f aca="false">CHOOSE(F$3,A129+24,A128)</f>
        <v>43770</v>
      </c>
      <c r="Y128" s="61" t="n">
        <f aca="false">X128-C$3</f>
        <v>6765</v>
      </c>
      <c r="Z128" s="136" t="n">
        <f aca="false">VLOOKUP($A128,[1]!CurveTable,MATCH($Z$4,[1]!CurveType,0))</f>
        <v>0.0664346084105905</v>
      </c>
      <c r="AA128" s="137" t="n">
        <f aca="false">1/(1+CHOOSE(F$3,(Z129+($K$3/10000))/2,(Z128+($K$3/10000))/2))^(2*Y128/365.25)</f>
        <v>0.298054860881257</v>
      </c>
      <c r="AB128" s="61" t="n">
        <f aca="false">IF(AND(mthbeg&lt;=A128,mthend&gt;=A128),1,0)</f>
        <v>1</v>
      </c>
      <c r="AC128" s="61" t="n">
        <f aca="false">W128*AB128</f>
        <v>30</v>
      </c>
      <c r="AD128" s="121" t="n">
        <f aca="false">$D128*E128</f>
        <v>10137415.5429868</v>
      </c>
      <c r="AE128" s="121" t="n">
        <f aca="false">$D128*F128</f>
        <v>0</v>
      </c>
      <c r="AF128" s="121" t="n">
        <f aca="false">$D128*G128</f>
        <v>10137415.5429868</v>
      </c>
      <c r="AG128" s="121" t="n">
        <f aca="false">$D128*H128</f>
        <v>0</v>
      </c>
      <c r="AH128" s="121" t="n">
        <f aca="false">$D128*I128</f>
        <v>0</v>
      </c>
      <c r="AI128" s="121" t="n">
        <f aca="false">$D128*J128</f>
        <v>0</v>
      </c>
      <c r="AJ128" s="121" t="n">
        <f aca="false">$D128*K128</f>
        <v>0</v>
      </c>
      <c r="AK128" s="121" t="n">
        <f aca="false">$D128*L128</f>
        <v>0</v>
      </c>
      <c r="AL128" s="121" t="n">
        <f aca="false">$D128*M128</f>
        <v>0</v>
      </c>
      <c r="AM128" s="139"/>
      <c r="AO128" s="75" t="e">
        <f aca="false">EURO(N128,O128,Z128,Z128,R128,U128,0,0)</f>
        <v>#NAME?</v>
      </c>
      <c r="AP128" s="138" t="e">
        <f aca="false">AO128*C128</f>
        <v>#NAME?</v>
      </c>
      <c r="AQ128" s="60" t="e">
        <f aca="false">-EURO(N128,O128,Z128,Z128,R128,U128,0,1)</f>
        <v>#NAME?</v>
      </c>
    </row>
    <row r="129" customFormat="false" ht="12.75" hidden="false" customHeight="false" outlineLevel="0" collapsed="false">
      <c r="A129" s="127" t="n">
        <f aca="false">EDATE(A128,1)</f>
        <v>43800</v>
      </c>
      <c r="B129" s="128" t="n">
        <f aca="false">B128</f>
        <v>205479</v>
      </c>
      <c r="C129" s="116" t="n">
        <f aca="false">IF(AB129=0,0,IF(AND(AB129=1,$H$3=1),B129*W129,IF($H$3=2,B129,"N/A")))</f>
        <v>6369849</v>
      </c>
      <c r="D129" s="116" t="n">
        <f aca="false">C129*AA129</f>
        <v>1887001.80973074</v>
      </c>
      <c r="E129" s="129" t="n">
        <f aca="false">VLOOKUP($A129,[1]!CurveTable,MATCH($E$4,[1]!CurveType,0))</f>
        <v>5.6375</v>
      </c>
      <c r="F129" s="130"/>
      <c r="G129" s="131" t="n">
        <f aca="false">E129</f>
        <v>5.6375</v>
      </c>
      <c r="H129" s="129" t="n">
        <f aca="false">VLOOKUP($A129,[1]!CurveTable,MATCH($H$4,[1]!CurveType,0))</f>
        <v>0</v>
      </c>
      <c r="I129" s="131"/>
      <c r="J129" s="131" t="n">
        <f aca="false">H129</f>
        <v>0</v>
      </c>
      <c r="K129" s="129"/>
      <c r="L129" s="131"/>
      <c r="M129" s="131"/>
      <c r="N129" s="131" t="n">
        <f aca="false">G129+J129+M129+$N$7</f>
        <v>5.3475</v>
      </c>
      <c r="O129" s="131" t="n">
        <f aca="false">O128</f>
        <v>3</v>
      </c>
      <c r="P129" s="131"/>
      <c r="Q129" s="141" t="n">
        <f aca="false">Q128</f>
        <v>0.17</v>
      </c>
      <c r="R129" s="129" t="n">
        <f aca="false">Q129+Summary!C$25</f>
        <v>0.17</v>
      </c>
      <c r="S129" s="129"/>
      <c r="T129" s="132" t="n">
        <f aca="false">X129</f>
        <v>43800</v>
      </c>
      <c r="U129" s="133" t="n">
        <f aca="false">T129-$C$3</f>
        <v>6795</v>
      </c>
      <c r="W129" s="61" t="n">
        <f aca="false">A130-A129</f>
        <v>31</v>
      </c>
      <c r="X129" s="135" t="n">
        <f aca="false">CHOOSE(F$3,A130+24,A129)</f>
        <v>43800</v>
      </c>
      <c r="Y129" s="61" t="n">
        <f aca="false">X129-C$3</f>
        <v>6795</v>
      </c>
      <c r="Z129" s="136" t="n">
        <f aca="false">VLOOKUP($A129,[1]!CurveTable,MATCH($Z$4,[1]!CurveType,0))</f>
        <v>0.0664757545989465</v>
      </c>
      <c r="AA129" s="137" t="n">
        <f aca="false">1/(1+CHOOSE(F$3,(Z130+($K$3/10000))/2,(Z129+($K$3/10000))/2))^(2*Y129/365.25)</f>
        <v>0.296239645512906</v>
      </c>
      <c r="AB129" s="61" t="n">
        <f aca="false">IF(AND(mthbeg&lt;=A129,mthend&gt;=A129),1,0)</f>
        <v>1</v>
      </c>
      <c r="AC129" s="61" t="n">
        <f aca="false">W129*AB129</f>
        <v>31</v>
      </c>
      <c r="AD129" s="121" t="n">
        <f aca="false">$D129*E129</f>
        <v>10637972.702357</v>
      </c>
      <c r="AE129" s="121" t="n">
        <f aca="false">$D129*F129</f>
        <v>0</v>
      </c>
      <c r="AF129" s="121" t="n">
        <f aca="false">$D129*G129</f>
        <v>10637972.702357</v>
      </c>
      <c r="AG129" s="121" t="n">
        <f aca="false">$D129*H129</f>
        <v>0</v>
      </c>
      <c r="AH129" s="121" t="n">
        <f aca="false">$D129*I129</f>
        <v>0</v>
      </c>
      <c r="AI129" s="121" t="n">
        <f aca="false">$D129*J129</f>
        <v>0</v>
      </c>
      <c r="AJ129" s="121" t="n">
        <f aca="false">$D129*K129</f>
        <v>0</v>
      </c>
      <c r="AK129" s="121" t="n">
        <f aca="false">$D129*L129</f>
        <v>0</v>
      </c>
      <c r="AL129" s="121" t="n">
        <f aca="false">$D129*M129</f>
        <v>0</v>
      </c>
      <c r="AM129" s="139"/>
      <c r="AO129" s="75" t="e">
        <f aca="false">EURO(N129,O129,Z129,Z129,R129,U129,0,0)</f>
        <v>#NAME?</v>
      </c>
      <c r="AP129" s="138" t="e">
        <f aca="false">AO129*C129</f>
        <v>#NAME?</v>
      </c>
      <c r="AQ129" s="60" t="e">
        <f aca="false">-EURO(N129,O129,Z129,Z129,R129,U129,0,1)</f>
        <v>#NAME?</v>
      </c>
    </row>
    <row r="130" customFormat="false" ht="12.75" hidden="false" customHeight="false" outlineLevel="0" collapsed="false">
      <c r="A130" s="127" t="n">
        <f aca="false">EDATE(A129,1)</f>
        <v>43831</v>
      </c>
      <c r="B130" s="128" t="n">
        <f aca="false">B129</f>
        <v>205479</v>
      </c>
      <c r="C130" s="116" t="n">
        <f aca="false">IF(AB130=0,0,IF(AND(AB130=1,$H$3=1),B130*W130,IF($H$3=2,B130,"N/A")))</f>
        <v>6369849</v>
      </c>
      <c r="D130" s="116" t="n">
        <f aca="false">C130*AA130</f>
        <v>1875114.85672599</v>
      </c>
      <c r="E130" s="129" t="n">
        <f aca="false">VLOOKUP($A130,[1]!CurveTable,MATCH($E$4,[1]!CurveType,0))</f>
        <v>5.7275</v>
      </c>
      <c r="F130" s="130"/>
      <c r="G130" s="131" t="n">
        <f aca="false">E130</f>
        <v>5.7275</v>
      </c>
      <c r="H130" s="129" t="n">
        <f aca="false">VLOOKUP($A130,[1]!CurveTable,MATCH($H$4,[1]!CurveType,0))</f>
        <v>0</v>
      </c>
      <c r="I130" s="131"/>
      <c r="J130" s="131" t="n">
        <f aca="false">H130</f>
        <v>0</v>
      </c>
      <c r="K130" s="129"/>
      <c r="L130" s="131"/>
      <c r="M130" s="131"/>
      <c r="N130" s="131" t="n">
        <f aca="false">G130+J130+M130+$N$7</f>
        <v>5.4375</v>
      </c>
      <c r="O130" s="131" t="n">
        <f aca="false">O129</f>
        <v>3</v>
      </c>
      <c r="P130" s="131"/>
      <c r="Q130" s="141" t="n">
        <f aca="false">Q129</f>
        <v>0.17</v>
      </c>
      <c r="R130" s="129" t="n">
        <f aca="false">Q130+Summary!C$25</f>
        <v>0.17</v>
      </c>
      <c r="S130" s="129"/>
      <c r="T130" s="132" t="n">
        <f aca="false">X130</f>
        <v>43831</v>
      </c>
      <c r="U130" s="133" t="n">
        <f aca="false">T130-$C$3</f>
        <v>6826</v>
      </c>
      <c r="W130" s="61" t="n">
        <f aca="false">A131-A130</f>
        <v>31</v>
      </c>
      <c r="X130" s="135" t="n">
        <f aca="false">CHOOSE(F$3,A131+24,A130)</f>
        <v>43831</v>
      </c>
      <c r="Y130" s="61" t="n">
        <f aca="false">X130-C$3</f>
        <v>6826</v>
      </c>
      <c r="Z130" s="136" t="n">
        <f aca="false">VLOOKUP($A130,[1]!CurveTable,MATCH($Z$4,[1]!CurveType,0))</f>
        <v>0.0665182723275044</v>
      </c>
      <c r="AA130" s="137" t="n">
        <f aca="false">1/(1+CHOOSE(F$3,(Z131+($K$3/10000))/2,(Z130+($K$3/10000))/2))^(2*Y130/365.25)</f>
        <v>0.294373517602379</v>
      </c>
      <c r="AB130" s="61" t="n">
        <f aca="false">IF(AND(mthbeg&lt;=A130,mthend&gt;=A130),1,0)</f>
        <v>1</v>
      </c>
      <c r="AC130" s="61" t="n">
        <f aca="false">W130*AB130</f>
        <v>31</v>
      </c>
      <c r="AD130" s="121" t="n">
        <f aca="false">$D130*E130</f>
        <v>10739720.3418981</v>
      </c>
      <c r="AE130" s="121" t="n">
        <f aca="false">$D130*F130</f>
        <v>0</v>
      </c>
      <c r="AF130" s="121" t="n">
        <f aca="false">$D130*G130</f>
        <v>10739720.3418981</v>
      </c>
      <c r="AG130" s="121" t="n">
        <f aca="false">$D130*H130</f>
        <v>0</v>
      </c>
      <c r="AH130" s="121" t="n">
        <f aca="false">$D130*I130</f>
        <v>0</v>
      </c>
      <c r="AI130" s="121" t="n">
        <f aca="false">$D130*J130</f>
        <v>0</v>
      </c>
      <c r="AJ130" s="121" t="n">
        <f aca="false">$D130*K130</f>
        <v>0</v>
      </c>
      <c r="AK130" s="121" t="n">
        <f aca="false">$D130*L130</f>
        <v>0</v>
      </c>
      <c r="AL130" s="121" t="n">
        <f aca="false">$D130*M130</f>
        <v>0</v>
      </c>
      <c r="AM130" s="139"/>
      <c r="AO130" s="75" t="e">
        <f aca="false">EURO(N130,O130,Z130,Z130,R130,U130,0,0)</f>
        <v>#NAME?</v>
      </c>
      <c r="AP130" s="138" t="e">
        <f aca="false">AO130*C130</f>
        <v>#NAME?</v>
      </c>
      <c r="AQ130" s="60" t="e">
        <f aca="false">-EURO(N130,O130,Z130,Z130,R130,U130,0,1)</f>
        <v>#NAME?</v>
      </c>
    </row>
    <row r="131" customFormat="false" ht="12.75" hidden="false" customHeight="false" outlineLevel="0" collapsed="false">
      <c r="A131" s="127" t="n">
        <f aca="false">EDATE(A130,1)</f>
        <v>43862</v>
      </c>
      <c r="B131" s="128" t="n">
        <f aca="false">B130</f>
        <v>205479</v>
      </c>
      <c r="C131" s="116" t="n">
        <f aca="false">IF(AB131=0,0,IF(AND(AB131=1,$H$3=1),B131*W131,IF($H$3=2,B131,"N/A")))</f>
        <v>5958891</v>
      </c>
      <c r="D131" s="116" t="n">
        <f aca="false">C131*AA131</f>
        <v>1743077.55361214</v>
      </c>
      <c r="E131" s="129" t="n">
        <f aca="false">VLOOKUP($A131,[1]!CurveTable,MATCH($E$4,[1]!CurveType,0))</f>
        <v>5.6075</v>
      </c>
      <c r="F131" s="130"/>
      <c r="G131" s="131" t="n">
        <f aca="false">E131</f>
        <v>5.6075</v>
      </c>
      <c r="H131" s="129" t="n">
        <f aca="false">VLOOKUP($A131,[1]!CurveTable,MATCH($H$4,[1]!CurveType,0))</f>
        <v>0</v>
      </c>
      <c r="I131" s="131"/>
      <c r="J131" s="131" t="n">
        <f aca="false">H131</f>
        <v>0</v>
      </c>
      <c r="K131" s="142"/>
      <c r="L131" s="142"/>
      <c r="M131" s="142"/>
      <c r="N131" s="131" t="n">
        <f aca="false">G131+J131+M131+$N$7</f>
        <v>5.3175</v>
      </c>
      <c r="O131" s="131" t="n">
        <f aca="false">O130</f>
        <v>3</v>
      </c>
      <c r="P131" s="131"/>
      <c r="Q131" s="141" t="n">
        <f aca="false">Q130</f>
        <v>0.17</v>
      </c>
      <c r="R131" s="129" t="n">
        <f aca="false">Q131+Summary!C$25</f>
        <v>0.17</v>
      </c>
      <c r="S131" s="129"/>
      <c r="T131" s="132" t="n">
        <f aca="false">X131</f>
        <v>43862</v>
      </c>
      <c r="U131" s="133" t="n">
        <f aca="false">T131-$C$3</f>
        <v>6857</v>
      </c>
      <c r="W131" s="61" t="n">
        <f aca="false">A132-A131</f>
        <v>29</v>
      </c>
      <c r="X131" s="135" t="n">
        <f aca="false">CHOOSE(F$3,A132+24,A131)</f>
        <v>43862</v>
      </c>
      <c r="Y131" s="61" t="n">
        <f aca="false">X131-C$3</f>
        <v>6857</v>
      </c>
      <c r="Z131" s="136" t="n">
        <f aca="false">VLOOKUP($A131,[1]!CurveTable,MATCH($Z$4,[1]!CurveType,0))</f>
        <v>0.0665607900566609</v>
      </c>
      <c r="AA131" s="137" t="n">
        <f aca="false">1/(1+CHOOSE(F$3,(Z132+($K$3/10000))/2,(Z131+($K$3/10000))/2))^(2*Y131/365.25)</f>
        <v>0.292517106557603</v>
      </c>
      <c r="AB131" s="61" t="n">
        <f aca="false">IF(AND(mthbeg&lt;=A131,mthend&gt;=A131),1,0)</f>
        <v>1</v>
      </c>
      <c r="AC131" s="61" t="n">
        <f aca="false">W131*AB131</f>
        <v>29</v>
      </c>
      <c r="AD131" s="121" t="n">
        <f aca="false">$D131*E131</f>
        <v>9774307.38188007</v>
      </c>
      <c r="AE131" s="121" t="n">
        <f aca="false">$D131*F131</f>
        <v>0</v>
      </c>
      <c r="AF131" s="121" t="n">
        <f aca="false">$D131*G131</f>
        <v>9774307.38188007</v>
      </c>
      <c r="AG131" s="121" t="n">
        <f aca="false">$D131*H131</f>
        <v>0</v>
      </c>
      <c r="AH131" s="121" t="n">
        <f aca="false">$D131*I131</f>
        <v>0</v>
      </c>
      <c r="AI131" s="121" t="n">
        <f aca="false">$D131*J131</f>
        <v>0</v>
      </c>
      <c r="AJ131" s="121" t="n">
        <f aca="false">$D131*K131</f>
        <v>0</v>
      </c>
      <c r="AK131" s="121" t="n">
        <f aca="false">$D131*L131</f>
        <v>0</v>
      </c>
      <c r="AL131" s="121" t="n">
        <f aca="false">$D131*M131</f>
        <v>0</v>
      </c>
      <c r="AM131" s="139"/>
      <c r="AO131" s="75" t="e">
        <f aca="false">EURO(N131,O131,Z131,Z131,R131,U131,0,0)</f>
        <v>#NAME?</v>
      </c>
      <c r="AP131" s="138" t="e">
        <f aca="false">AO131*C131</f>
        <v>#NAME?</v>
      </c>
      <c r="AQ131" s="60" t="e">
        <f aca="false">-EURO(N131,O131,Z131,Z131,R131,U131,0,1)</f>
        <v>#NAME?</v>
      </c>
    </row>
    <row r="132" customFormat="false" ht="12.75" hidden="false" customHeight="false" outlineLevel="0" collapsed="false">
      <c r="A132" s="127" t="n">
        <f aca="false">EDATE(A131,1)</f>
        <v>43891</v>
      </c>
      <c r="B132" s="128" t="n">
        <f aca="false">B131</f>
        <v>205479</v>
      </c>
      <c r="C132" s="116" t="n">
        <f aca="false">IF(AB132=0,0,IF(AND(AB132=1,$H$3=1),B132*W132,IF($H$3=2,B132,"N/A")))</f>
        <v>6369849</v>
      </c>
      <c r="D132" s="116" t="n">
        <f aca="false">C132*AA132</f>
        <v>1852283.48169311</v>
      </c>
      <c r="E132" s="129" t="n">
        <f aca="false">VLOOKUP($A132,[1]!CurveTable,MATCH($E$4,[1]!CurveType,0))</f>
        <v>5.4685</v>
      </c>
      <c r="F132" s="130"/>
      <c r="G132" s="131" t="n">
        <f aca="false">E132</f>
        <v>5.4685</v>
      </c>
      <c r="H132" s="129" t="n">
        <f aca="false">VLOOKUP($A132,[1]!CurveTable,MATCH($H$4,[1]!CurveType,0))</f>
        <v>0</v>
      </c>
      <c r="I132" s="131"/>
      <c r="J132" s="131" t="n">
        <f aca="false">H132</f>
        <v>0</v>
      </c>
      <c r="K132" s="142"/>
      <c r="L132" s="142"/>
      <c r="M132" s="142"/>
      <c r="N132" s="131" t="n">
        <f aca="false">G132+J132+M132+$N$7</f>
        <v>5.1785</v>
      </c>
      <c r="O132" s="131" t="n">
        <f aca="false">O131</f>
        <v>3</v>
      </c>
      <c r="P132" s="131"/>
      <c r="Q132" s="141" t="n">
        <f aca="false">Q131</f>
        <v>0.17</v>
      </c>
      <c r="R132" s="129" t="n">
        <f aca="false">Q132+Summary!C$25</f>
        <v>0.17</v>
      </c>
      <c r="S132" s="129"/>
      <c r="T132" s="132" t="n">
        <f aca="false">X132</f>
        <v>43891</v>
      </c>
      <c r="U132" s="133" t="n">
        <f aca="false">T132-$C$3</f>
        <v>6886</v>
      </c>
      <c r="W132" s="61" t="n">
        <f aca="false">A133-A132</f>
        <v>31</v>
      </c>
      <c r="X132" s="135" t="n">
        <f aca="false">CHOOSE(F$3,A133+24,A132)</f>
        <v>43891</v>
      </c>
      <c r="Y132" s="61" t="n">
        <f aca="false">X132-C$3</f>
        <v>6886</v>
      </c>
      <c r="Z132" s="136" t="n">
        <f aca="false">VLOOKUP($A132,[1]!CurveTable,MATCH($Z$4,[1]!CurveType,0))</f>
        <v>0.0666005647070591</v>
      </c>
      <c r="AA132" s="137" t="n">
        <f aca="false">1/(1+CHOOSE(F$3,(Z133+($K$3/10000))/2,(Z132+($K$3/10000))/2))^(2*Y132/365.25)</f>
        <v>0.290789229335438</v>
      </c>
      <c r="AB132" s="61" t="n">
        <f aca="false">IF(AND(mthbeg&lt;=A132,mthend&gt;=A132),1,0)</f>
        <v>1</v>
      </c>
      <c r="AC132" s="61" t="n">
        <f aca="false">W132*AB132</f>
        <v>31</v>
      </c>
      <c r="AD132" s="121" t="n">
        <f aca="false">$D132*E132</f>
        <v>10129212.2196388</v>
      </c>
      <c r="AE132" s="121" t="n">
        <f aca="false">$D132*F132</f>
        <v>0</v>
      </c>
      <c r="AF132" s="121" t="n">
        <f aca="false">$D132*G132</f>
        <v>10129212.2196388</v>
      </c>
      <c r="AG132" s="121" t="n">
        <f aca="false">$D132*H132</f>
        <v>0</v>
      </c>
      <c r="AH132" s="121" t="n">
        <f aca="false">$D132*I132</f>
        <v>0</v>
      </c>
      <c r="AI132" s="121" t="n">
        <f aca="false">$D132*J132</f>
        <v>0</v>
      </c>
      <c r="AJ132" s="121" t="n">
        <f aca="false">$D132*K132</f>
        <v>0</v>
      </c>
      <c r="AK132" s="121" t="n">
        <f aca="false">$D132*L132</f>
        <v>0</v>
      </c>
      <c r="AL132" s="121" t="n">
        <f aca="false">$D132*M132</f>
        <v>0</v>
      </c>
      <c r="AM132" s="139"/>
      <c r="AO132" s="75" t="e">
        <f aca="false">EURO(N132,O132,Z132,Z132,R132,U132,0,0)</f>
        <v>#NAME?</v>
      </c>
      <c r="AP132" s="138" t="e">
        <f aca="false">AO132*C132</f>
        <v>#NAME?</v>
      </c>
      <c r="AQ132" s="60" t="e">
        <f aca="false">-EURO(N132,O132,Z132,Z132,R132,U132,0,1)</f>
        <v>#NAME?</v>
      </c>
    </row>
    <row r="133" customFormat="false" ht="12.75" hidden="false" customHeight="false" outlineLevel="0" collapsed="false">
      <c r="A133" s="127" t="n">
        <f aca="false">EDATE(A132,1)</f>
        <v>43922</v>
      </c>
      <c r="B133" s="128" t="n">
        <f aca="false">B132</f>
        <v>205479</v>
      </c>
      <c r="C133" s="116" t="n">
        <f aca="false">IF(AB133=0,0,IF(AND(AB133=1,$H$3=1),B133*W133,IF($H$3=2,B133,"N/A")))</f>
        <v>6164370</v>
      </c>
      <c r="D133" s="116" t="n">
        <f aca="false">C133*AA133</f>
        <v>1781204.10920584</v>
      </c>
      <c r="E133" s="129" t="n">
        <f aca="false">VLOOKUP($A133,[1]!CurveTable,MATCH($E$4,[1]!CurveType,0))</f>
        <v>5.2985</v>
      </c>
      <c r="F133" s="130"/>
      <c r="G133" s="131" t="n">
        <f aca="false">E133</f>
        <v>5.2985</v>
      </c>
      <c r="H133" s="129" t="n">
        <f aca="false">VLOOKUP($A133,[1]!CurveTable,MATCH($H$4,[1]!CurveType,0))</f>
        <v>0</v>
      </c>
      <c r="I133" s="131"/>
      <c r="J133" s="131" t="n">
        <f aca="false">H133</f>
        <v>0</v>
      </c>
      <c r="K133" s="142"/>
      <c r="L133" s="142"/>
      <c r="M133" s="142"/>
      <c r="N133" s="131" t="n">
        <f aca="false">G133+J133+M133+$N$7</f>
        <v>5.0085</v>
      </c>
      <c r="O133" s="131" t="n">
        <f aca="false">O132</f>
        <v>3</v>
      </c>
      <c r="P133" s="131"/>
      <c r="Q133" s="141" t="n">
        <f aca="false">Q132</f>
        <v>0.17</v>
      </c>
      <c r="R133" s="129" t="n">
        <f aca="false">Q133+Summary!C$25</f>
        <v>0.17</v>
      </c>
      <c r="S133" s="129"/>
      <c r="T133" s="132" t="n">
        <f aca="false">X133</f>
        <v>43922</v>
      </c>
      <c r="U133" s="133" t="n">
        <f aca="false">T133-$C$3</f>
        <v>6917</v>
      </c>
      <c r="W133" s="61" t="n">
        <f aca="false">A134-A133</f>
        <v>30</v>
      </c>
      <c r="X133" s="135" t="n">
        <f aca="false">CHOOSE(F$3,A134+24,A133)</f>
        <v>43922</v>
      </c>
      <c r="Y133" s="61" t="n">
        <f aca="false">X133-C$3</f>
        <v>6917</v>
      </c>
      <c r="Z133" s="136" t="n">
        <f aca="false">VLOOKUP($A133,[1]!CurveTable,MATCH($Z$4,[1]!CurveType,0))</f>
        <v>0.0666430824373743</v>
      </c>
      <c r="AA133" s="137" t="n">
        <f aca="false">1/(1+CHOOSE(F$3,(Z134+($K$3/10000))/2,(Z133+($K$3/10000))/2))^(2*Y133/365.25)</f>
        <v>0.288951524520078</v>
      </c>
      <c r="AB133" s="61" t="n">
        <f aca="false">IF(AND(mthbeg&lt;=A133,mthend&gt;=A133),1,0)</f>
        <v>1</v>
      </c>
      <c r="AC133" s="61" t="n">
        <f aca="false">W133*AB133</f>
        <v>30</v>
      </c>
      <c r="AD133" s="121" t="n">
        <f aca="false">$D133*E133</f>
        <v>9437709.97262712</v>
      </c>
      <c r="AE133" s="121" t="n">
        <f aca="false">$D133*F133</f>
        <v>0</v>
      </c>
      <c r="AF133" s="121" t="n">
        <f aca="false">$D133*G133</f>
        <v>9437709.97262712</v>
      </c>
      <c r="AG133" s="121" t="n">
        <f aca="false">$D133*H133</f>
        <v>0</v>
      </c>
      <c r="AH133" s="121" t="n">
        <f aca="false">$D133*I133</f>
        <v>0</v>
      </c>
      <c r="AI133" s="121" t="n">
        <f aca="false">$D133*J133</f>
        <v>0</v>
      </c>
      <c r="AJ133" s="121" t="n">
        <f aca="false">$D133*K133</f>
        <v>0</v>
      </c>
      <c r="AK133" s="121" t="n">
        <f aca="false">$D133*L133</f>
        <v>0</v>
      </c>
      <c r="AL133" s="121" t="n">
        <f aca="false">$D133*M133</f>
        <v>0</v>
      </c>
      <c r="AM133" s="139"/>
      <c r="AO133" s="75" t="e">
        <f aca="false">EURO(N133,O133,Z133,Z133,R133,U133,0,0)</f>
        <v>#NAME?</v>
      </c>
      <c r="AP133" s="138" t="e">
        <f aca="false">AO133*C133</f>
        <v>#NAME?</v>
      </c>
      <c r="AQ133" s="60" t="e">
        <f aca="false">-EURO(N133,O133,Z133,Z133,R133,U133,0,1)</f>
        <v>#NAME?</v>
      </c>
    </row>
    <row r="134" customFormat="false" ht="12.75" hidden="false" customHeight="false" outlineLevel="0" collapsed="false">
      <c r="A134" s="127" t="n">
        <f aca="false">EDATE(A133,1)</f>
        <v>43952</v>
      </c>
      <c r="B134" s="128" t="n">
        <f aca="false">B133</f>
        <v>205479</v>
      </c>
      <c r="C134" s="116" t="n">
        <f aca="false">IF(AB134=0,0,IF(AND(AB134=1,$H$3=1),B134*W134,IF($H$3=2,B134,"N/A")))</f>
        <v>6369849</v>
      </c>
      <c r="D134" s="116" t="n">
        <f aca="false">C134*AA134</f>
        <v>1829307.59136584</v>
      </c>
      <c r="E134" s="129" t="n">
        <f aca="false">VLOOKUP($A134,[1]!CurveTable,MATCH($E$4,[1]!CurveType,0))</f>
        <v>5.3575</v>
      </c>
      <c r="F134" s="130"/>
      <c r="G134" s="131" t="n">
        <f aca="false">E134</f>
        <v>5.3575</v>
      </c>
      <c r="H134" s="129" t="n">
        <f aca="false">VLOOKUP($A134,[1]!CurveTable,MATCH($H$4,[1]!CurveType,0))</f>
        <v>0</v>
      </c>
      <c r="I134" s="131"/>
      <c r="J134" s="131" t="n">
        <f aca="false">H134</f>
        <v>0</v>
      </c>
      <c r="K134" s="142"/>
      <c r="L134" s="142"/>
      <c r="M134" s="142"/>
      <c r="N134" s="131" t="n">
        <f aca="false">G134+J134+M134+$N$7</f>
        <v>5.0675</v>
      </c>
      <c r="O134" s="131" t="n">
        <f aca="false">O133</f>
        <v>3</v>
      </c>
      <c r="P134" s="131"/>
      <c r="Q134" s="141" t="n">
        <f aca="false">Q133</f>
        <v>0.17</v>
      </c>
      <c r="R134" s="129" t="n">
        <f aca="false">Q134+Summary!C$25</f>
        <v>0.17</v>
      </c>
      <c r="S134" s="129"/>
      <c r="T134" s="132" t="n">
        <f aca="false">X134</f>
        <v>43952</v>
      </c>
      <c r="U134" s="133" t="n">
        <f aca="false">T134-$C$3</f>
        <v>6947</v>
      </c>
      <c r="W134" s="61" t="n">
        <f aca="false">A135-A134</f>
        <v>31</v>
      </c>
      <c r="X134" s="135" t="n">
        <f aca="false">CHOOSE(F$3,A135+24,A134)</f>
        <v>43952</v>
      </c>
      <c r="Y134" s="61" t="n">
        <f aca="false">X134-C$3</f>
        <v>6947</v>
      </c>
      <c r="Z134" s="136" t="n">
        <f aca="false">VLOOKUP($A134,[1]!CurveTable,MATCH($Z$4,[1]!CurveType,0))</f>
        <v>0.0666842286285716</v>
      </c>
      <c r="AA134" s="137" t="n">
        <f aca="false">1/(1+CHOOSE(F$3,(Z135+($K$3/10000))/2,(Z134+($K$3/10000))/2))^(2*Y134/365.25)</f>
        <v>0.287182253671294</v>
      </c>
      <c r="AB134" s="61" t="n">
        <f aca="false">IF(AND(mthbeg&lt;=A134,mthend&gt;=A134),1,0)</f>
        <v>1</v>
      </c>
      <c r="AC134" s="61" t="n">
        <f aca="false">W134*AB134</f>
        <v>31</v>
      </c>
      <c r="AD134" s="121" t="n">
        <f aca="false">$D134*E134</f>
        <v>9800515.42074248</v>
      </c>
      <c r="AE134" s="121" t="n">
        <f aca="false">$D134*F134</f>
        <v>0</v>
      </c>
      <c r="AF134" s="121" t="n">
        <f aca="false">$D134*G134</f>
        <v>9800515.42074248</v>
      </c>
      <c r="AG134" s="121" t="n">
        <f aca="false">$D134*H134</f>
        <v>0</v>
      </c>
      <c r="AH134" s="121" t="n">
        <f aca="false">$D134*I134</f>
        <v>0</v>
      </c>
      <c r="AI134" s="121" t="n">
        <f aca="false">$D134*J134</f>
        <v>0</v>
      </c>
      <c r="AJ134" s="121" t="n">
        <f aca="false">$D134*K134</f>
        <v>0</v>
      </c>
      <c r="AK134" s="121" t="n">
        <f aca="false">$D134*L134</f>
        <v>0</v>
      </c>
      <c r="AL134" s="121" t="n">
        <f aca="false">$D134*M134</f>
        <v>0</v>
      </c>
      <c r="AM134" s="139"/>
      <c r="AO134" s="75" t="e">
        <f aca="false">EURO(N134,O134,Z134,Z134,R134,U134,0,0)</f>
        <v>#NAME?</v>
      </c>
      <c r="AP134" s="138" t="e">
        <f aca="false">AO134*C134</f>
        <v>#NAME?</v>
      </c>
      <c r="AQ134" s="60" t="e">
        <f aca="false">-EURO(N134,O134,Z134,Z134,R134,U134,0,1)</f>
        <v>#NAME?</v>
      </c>
    </row>
    <row r="135" customFormat="false" ht="12.75" hidden="false" customHeight="false" outlineLevel="0" collapsed="false">
      <c r="A135" s="127" t="n">
        <f aca="false">EDATE(A134,1)</f>
        <v>43983</v>
      </c>
      <c r="B135" s="128" t="n">
        <f aca="false">B134</f>
        <v>205479</v>
      </c>
      <c r="C135" s="116" t="n">
        <f aca="false">IF(AB135=0,0,IF(AND(AB135=1,$H$3=1),B135*W135,IF($H$3=2,B135,"N/A")))</f>
        <v>6164370</v>
      </c>
      <c r="D135" s="116" t="n">
        <f aca="false">C135*AA135</f>
        <v>1759085.77305617</v>
      </c>
      <c r="E135" s="129" t="n">
        <f aca="false">VLOOKUP($A135,[1]!CurveTable,MATCH($E$4,[1]!CurveType,0))</f>
        <v>5.3975</v>
      </c>
      <c r="F135" s="130"/>
      <c r="G135" s="131" t="n">
        <f aca="false">E135</f>
        <v>5.3975</v>
      </c>
      <c r="H135" s="129" t="n">
        <f aca="false">VLOOKUP($A135,[1]!CurveTable,MATCH($H$4,[1]!CurveType,0))</f>
        <v>0</v>
      </c>
      <c r="I135" s="131"/>
      <c r="J135" s="131" t="n">
        <f aca="false">H135</f>
        <v>0</v>
      </c>
      <c r="K135" s="142"/>
      <c r="L135" s="142"/>
      <c r="M135" s="142"/>
      <c r="N135" s="131" t="n">
        <f aca="false">G135+J135+M135+$N$7</f>
        <v>5.1075</v>
      </c>
      <c r="O135" s="131" t="n">
        <f aca="false">O134</f>
        <v>3</v>
      </c>
      <c r="P135" s="131"/>
      <c r="Q135" s="141" t="n">
        <f aca="false">Q134</f>
        <v>0.17</v>
      </c>
      <c r="R135" s="129" t="n">
        <f aca="false">Q135+Summary!C$25</f>
        <v>0.17</v>
      </c>
      <c r="S135" s="129"/>
      <c r="T135" s="132" t="n">
        <f aca="false">X135</f>
        <v>43983</v>
      </c>
      <c r="U135" s="133" t="n">
        <f aca="false">T135-$C$3</f>
        <v>6978</v>
      </c>
      <c r="W135" s="61" t="n">
        <f aca="false">A136-A135</f>
        <v>30</v>
      </c>
      <c r="X135" s="135" t="n">
        <f aca="false">CHOOSE(F$3,A136+24,A135)</f>
        <v>43983</v>
      </c>
      <c r="Y135" s="61" t="n">
        <f aca="false">X135-C$3</f>
        <v>6978</v>
      </c>
      <c r="Z135" s="136" t="n">
        <f aca="false">VLOOKUP($A135,[1]!CurveTable,MATCH($Z$4,[1]!CurveType,0))</f>
        <v>0.0667267463600654</v>
      </c>
      <c r="AA135" s="137" t="n">
        <f aca="false">1/(1+CHOOSE(F$3,(Z136+($K$3/10000))/2,(Z135+($K$3/10000))/2))^(2*Y135/365.25)</f>
        <v>0.285363430984216</v>
      </c>
      <c r="AB135" s="61" t="n">
        <f aca="false">IF(AND(mthbeg&lt;=A135,mthend&gt;=A135),1,0)</f>
        <v>1</v>
      </c>
      <c r="AC135" s="61" t="n">
        <f aca="false">W135*AB135</f>
        <v>30</v>
      </c>
      <c r="AD135" s="121" t="n">
        <f aca="false">$D135*E135</f>
        <v>9494665.46007068</v>
      </c>
      <c r="AE135" s="121" t="n">
        <f aca="false">$D135*F135</f>
        <v>0</v>
      </c>
      <c r="AF135" s="121" t="n">
        <f aca="false">$D135*G135</f>
        <v>9494665.46007068</v>
      </c>
      <c r="AG135" s="121" t="n">
        <f aca="false">$D135*H135</f>
        <v>0</v>
      </c>
      <c r="AH135" s="121" t="n">
        <f aca="false">$D135*I135</f>
        <v>0</v>
      </c>
      <c r="AI135" s="121" t="n">
        <f aca="false">$D135*J135</f>
        <v>0</v>
      </c>
      <c r="AJ135" s="121" t="n">
        <f aca="false">$D135*K135</f>
        <v>0</v>
      </c>
      <c r="AK135" s="121" t="n">
        <f aca="false">$D135*L135</f>
        <v>0</v>
      </c>
      <c r="AL135" s="121" t="n">
        <f aca="false">$D135*M135</f>
        <v>0</v>
      </c>
      <c r="AM135" s="139"/>
      <c r="AO135" s="75" t="e">
        <f aca="false">EURO(N135,O135,Z135,Z135,R135,U135,0,0)</f>
        <v>#NAME?</v>
      </c>
      <c r="AP135" s="138" t="e">
        <f aca="false">AO135*C135</f>
        <v>#NAME?</v>
      </c>
      <c r="AQ135" s="60" t="e">
        <f aca="false">-EURO(N135,O135,Z135,Z135,R135,U135,0,1)</f>
        <v>#NAME?</v>
      </c>
    </row>
    <row r="136" customFormat="false" ht="12.75" hidden="false" customHeight="false" outlineLevel="0" collapsed="false">
      <c r="A136" s="127" t="n">
        <f aca="false">EDATE(A135,1)</f>
        <v>44013</v>
      </c>
      <c r="B136" s="128" t="n">
        <f aca="false">B135</f>
        <v>205479</v>
      </c>
      <c r="C136" s="116" t="n">
        <f aca="false">IF(AB136=0,0,IF(AND(AB136=1,$H$3=1),B136*W136,IF($H$3=2,B136,"N/A")))</f>
        <v>6369849</v>
      </c>
      <c r="D136" s="116" t="n">
        <f aca="false">C136*AA136</f>
        <v>1806567.95191724</v>
      </c>
      <c r="E136" s="129" t="n">
        <f aca="false">VLOOKUP($A136,[1]!CurveTable,MATCH($E$4,[1]!CurveType,0))</f>
        <v>5.4425</v>
      </c>
      <c r="F136" s="130"/>
      <c r="G136" s="131" t="n">
        <f aca="false">E136</f>
        <v>5.4425</v>
      </c>
      <c r="H136" s="129" t="n">
        <f aca="false">VLOOKUP($A136,[1]!CurveTable,MATCH($H$4,[1]!CurveType,0))</f>
        <v>0</v>
      </c>
      <c r="I136" s="131"/>
      <c r="J136" s="131" t="n">
        <f aca="false">H136</f>
        <v>0</v>
      </c>
      <c r="K136" s="142"/>
      <c r="L136" s="142"/>
      <c r="M136" s="142"/>
      <c r="N136" s="131" t="n">
        <f aca="false">G136+J136+M136+$N$7</f>
        <v>5.1525</v>
      </c>
      <c r="O136" s="131" t="n">
        <f aca="false">O135</f>
        <v>3</v>
      </c>
      <c r="P136" s="131"/>
      <c r="Q136" s="141" t="n">
        <f aca="false">Q135</f>
        <v>0.17</v>
      </c>
      <c r="R136" s="129" t="n">
        <f aca="false">Q136+Summary!C$25</f>
        <v>0.17</v>
      </c>
      <c r="S136" s="129"/>
      <c r="T136" s="132" t="n">
        <f aca="false">X136</f>
        <v>44013</v>
      </c>
      <c r="U136" s="133" t="n">
        <f aca="false">T136-$C$3</f>
        <v>7008</v>
      </c>
      <c r="W136" s="61" t="n">
        <f aca="false">A137-A136</f>
        <v>31</v>
      </c>
      <c r="X136" s="135" t="n">
        <f aca="false">CHOOSE(F$3,A137+24,A136)</f>
        <v>44013</v>
      </c>
      <c r="Y136" s="61" t="n">
        <f aca="false">X136-C$3</f>
        <v>7008</v>
      </c>
      <c r="Z136" s="136" t="n">
        <f aca="false">VLOOKUP($A136,[1]!CurveTable,MATCH($Z$4,[1]!CurveType,0))</f>
        <v>0.0667678925524031</v>
      </c>
      <c r="AA136" s="137" t="n">
        <f aca="false">1/(1+CHOOSE(F$3,(Z137+($K$3/10000))/2,(Z136+($K$3/10000))/2))^(2*Y136/365.25)</f>
        <v>0.283612366936366</v>
      </c>
      <c r="AB136" s="61" t="n">
        <f aca="false">IF(AND(mthbeg&lt;=A136,mthend&gt;=A136),1,0)</f>
        <v>1</v>
      </c>
      <c r="AC136" s="61" t="n">
        <f aca="false">W136*AB136</f>
        <v>31</v>
      </c>
      <c r="AD136" s="121" t="n">
        <f aca="false">$D136*E136</f>
        <v>9832246.07830959</v>
      </c>
      <c r="AE136" s="121" t="n">
        <f aca="false">$D136*F136</f>
        <v>0</v>
      </c>
      <c r="AF136" s="121" t="n">
        <f aca="false">$D136*G136</f>
        <v>9832246.07830959</v>
      </c>
      <c r="AG136" s="121" t="n">
        <f aca="false">$D136*H136</f>
        <v>0</v>
      </c>
      <c r="AH136" s="121" t="n">
        <f aca="false">$D136*I136</f>
        <v>0</v>
      </c>
      <c r="AI136" s="121" t="n">
        <f aca="false">$D136*J136</f>
        <v>0</v>
      </c>
      <c r="AJ136" s="121" t="n">
        <f aca="false">$D136*K136</f>
        <v>0</v>
      </c>
      <c r="AK136" s="121" t="n">
        <f aca="false">$D136*L136</f>
        <v>0</v>
      </c>
      <c r="AL136" s="121" t="n">
        <f aca="false">$D136*M136</f>
        <v>0</v>
      </c>
      <c r="AM136" s="139"/>
      <c r="AO136" s="75" t="e">
        <f aca="false">EURO(N136,O136,Z136,Z136,R136,U136,0,0)</f>
        <v>#NAME?</v>
      </c>
      <c r="AP136" s="138" t="e">
        <f aca="false">AO136*C136</f>
        <v>#NAME?</v>
      </c>
      <c r="AQ136" s="60" t="e">
        <f aca="false">-EURO(N136,O136,Z136,Z136,R136,U136,0,1)</f>
        <v>#NAME?</v>
      </c>
    </row>
    <row r="137" customFormat="false" ht="12.75" hidden="false" customHeight="false" outlineLevel="0" collapsed="false">
      <c r="A137" s="127" t="n">
        <f aca="false">EDATE(A136,1)</f>
        <v>44044</v>
      </c>
      <c r="B137" s="128" t="n">
        <f aca="false">B136</f>
        <v>205479</v>
      </c>
      <c r="C137" s="116" t="n">
        <f aca="false">IF(AB137=0,0,IF(AND(AB137=1,$H$3=1),B137*W137,IF($H$3=2,B137,"N/A")))</f>
        <v>6369849</v>
      </c>
      <c r="D137" s="116" t="n">
        <f aca="false">C137*AA137</f>
        <v>1795101.73080674</v>
      </c>
      <c r="E137" s="129" t="n">
        <f aca="false">VLOOKUP($A137,[1]!CurveTable,MATCH($E$4,[1]!CurveType,0))</f>
        <v>5.4775</v>
      </c>
      <c r="F137" s="130"/>
      <c r="G137" s="131" t="n">
        <f aca="false">E137</f>
        <v>5.4775</v>
      </c>
      <c r="H137" s="129" t="n">
        <f aca="false">VLOOKUP($A137,[1]!CurveTable,MATCH($H$4,[1]!CurveType,0))</f>
        <v>0</v>
      </c>
      <c r="I137" s="131"/>
      <c r="J137" s="131" t="n">
        <f aca="false">H137</f>
        <v>0</v>
      </c>
      <c r="K137" s="142"/>
      <c r="L137" s="142"/>
      <c r="M137" s="142"/>
      <c r="N137" s="131" t="n">
        <f aca="false">G137+J137+M137+$N$7</f>
        <v>5.1875</v>
      </c>
      <c r="O137" s="131" t="n">
        <f aca="false">O136</f>
        <v>3</v>
      </c>
      <c r="P137" s="131"/>
      <c r="Q137" s="141" t="n">
        <f aca="false">Q136</f>
        <v>0.17</v>
      </c>
      <c r="R137" s="129" t="n">
        <f aca="false">Q137+Summary!C$25</f>
        <v>0.17</v>
      </c>
      <c r="S137" s="129"/>
      <c r="T137" s="132" t="n">
        <f aca="false">X137</f>
        <v>44044</v>
      </c>
      <c r="U137" s="133" t="n">
        <f aca="false">T137-$C$3</f>
        <v>7039</v>
      </c>
      <c r="W137" s="61" t="n">
        <f aca="false">A138-A137</f>
        <v>31</v>
      </c>
      <c r="X137" s="135" t="n">
        <f aca="false">CHOOSE(F$3,A138+24,A137)</f>
        <v>44044</v>
      </c>
      <c r="Y137" s="61" t="n">
        <f aca="false">X137-C$3</f>
        <v>7039</v>
      </c>
      <c r="Z137" s="136" t="n">
        <f aca="false">VLOOKUP($A137,[1]!CurveTable,MATCH($Z$4,[1]!CurveType,0))</f>
        <v>0.0668104102850746</v>
      </c>
      <c r="AA137" s="137" t="n">
        <f aca="false">1/(1+CHOOSE(F$3,(Z138+($K$3/10000))/2,(Z137+($K$3/10000))/2))^(2*Y137/365.25)</f>
        <v>0.281812289554547</v>
      </c>
      <c r="AB137" s="61" t="n">
        <f aca="false">IF(AND(mthbeg&lt;=A137,mthend&gt;=A137),1,0)</f>
        <v>1</v>
      </c>
      <c r="AC137" s="61" t="n">
        <f aca="false">W137*AB137</f>
        <v>31</v>
      </c>
      <c r="AD137" s="121" t="n">
        <f aca="false">$D137*E137</f>
        <v>9832669.73049393</v>
      </c>
      <c r="AE137" s="121" t="n">
        <f aca="false">$D137*F137</f>
        <v>0</v>
      </c>
      <c r="AF137" s="121" t="n">
        <f aca="false">$D137*G137</f>
        <v>9832669.73049393</v>
      </c>
      <c r="AG137" s="121" t="n">
        <f aca="false">$D137*H137</f>
        <v>0</v>
      </c>
      <c r="AH137" s="121" t="n">
        <f aca="false">$D137*I137</f>
        <v>0</v>
      </c>
      <c r="AI137" s="121" t="n">
        <f aca="false">$D137*J137</f>
        <v>0</v>
      </c>
      <c r="AJ137" s="121" t="n">
        <f aca="false">$D137*K137</f>
        <v>0</v>
      </c>
      <c r="AK137" s="121" t="n">
        <f aca="false">$D137*L137</f>
        <v>0</v>
      </c>
      <c r="AL137" s="121" t="n">
        <f aca="false">$D137*M137</f>
        <v>0</v>
      </c>
      <c r="AM137" s="139"/>
      <c r="AO137" s="75" t="e">
        <f aca="false">EURO(N137,O137,Z137,Z137,R137,U137,0,0)</f>
        <v>#NAME?</v>
      </c>
      <c r="AP137" s="138" t="e">
        <f aca="false">AO137*C137</f>
        <v>#NAME?</v>
      </c>
      <c r="AQ137" s="60" t="e">
        <f aca="false">-EURO(N137,O137,Z137,Z137,R137,U137,0,1)</f>
        <v>#NAME?</v>
      </c>
    </row>
    <row r="138" customFormat="false" ht="12.75" hidden="false" customHeight="false" outlineLevel="0" collapsed="false">
      <c r="A138" s="127" t="n">
        <f aca="false">EDATE(A137,1)</f>
        <v>44075</v>
      </c>
      <c r="B138" s="128" t="n">
        <f aca="false">B137</f>
        <v>205479</v>
      </c>
      <c r="C138" s="116" t="n">
        <f aca="false">IF(AB138=0,0,IF(AND(AB138=1,$H$3=1),B138*W138,IF($H$3=2,B138,"N/A")))</f>
        <v>6164370</v>
      </c>
      <c r="D138" s="116" t="n">
        <f aca="false">C138*AA138</f>
        <v>1726157.28114107</v>
      </c>
      <c r="E138" s="129" t="n">
        <f aca="false">VLOOKUP($A138,[1]!CurveTable,MATCH($E$4,[1]!CurveType,0))</f>
        <v>5.4825</v>
      </c>
      <c r="F138" s="130"/>
      <c r="G138" s="131" t="n">
        <f aca="false">E138</f>
        <v>5.4825</v>
      </c>
      <c r="H138" s="129" t="n">
        <f aca="false">VLOOKUP($A138,[1]!CurveTable,MATCH($H$4,[1]!CurveType,0))</f>
        <v>0</v>
      </c>
      <c r="I138" s="131"/>
      <c r="J138" s="131" t="n">
        <f aca="false">H138</f>
        <v>0</v>
      </c>
      <c r="K138" s="142"/>
      <c r="L138" s="142"/>
      <c r="M138" s="142"/>
      <c r="N138" s="131" t="n">
        <f aca="false">G138+J138+M138+$N$7</f>
        <v>5.1925</v>
      </c>
      <c r="O138" s="131" t="n">
        <f aca="false">O137</f>
        <v>3</v>
      </c>
      <c r="P138" s="131"/>
      <c r="Q138" s="141" t="n">
        <f aca="false">Q137</f>
        <v>0.17</v>
      </c>
      <c r="R138" s="129" t="n">
        <f aca="false">Q138+Summary!C$25</f>
        <v>0.17</v>
      </c>
      <c r="S138" s="129"/>
      <c r="T138" s="132" t="n">
        <f aca="false">X138</f>
        <v>44075</v>
      </c>
      <c r="U138" s="133" t="n">
        <f aca="false">T138-$C$3</f>
        <v>7070</v>
      </c>
      <c r="W138" s="61" t="n">
        <f aca="false">A139-A138</f>
        <v>30</v>
      </c>
      <c r="X138" s="135" t="n">
        <f aca="false">CHOOSE(F$3,A139+24,A138)</f>
        <v>44075</v>
      </c>
      <c r="Y138" s="61" t="n">
        <f aca="false">X138-C$3</f>
        <v>7070</v>
      </c>
      <c r="Z138" s="136" t="n">
        <f aca="false">VLOOKUP($A138,[1]!CurveTable,MATCH($Z$4,[1]!CurveType,0))</f>
        <v>0.0668529280183448</v>
      </c>
      <c r="AA138" s="137" t="n">
        <f aca="false">1/(1+CHOOSE(F$3,(Z139+($K$3/10000))/2,(Z138+($K$3/10000))/2))^(2*Y138/365.25)</f>
        <v>0.280021686099483</v>
      </c>
      <c r="AB138" s="61" t="n">
        <f aca="false">IF(AND(mthbeg&lt;=A138,mthend&gt;=A138),1,0)</f>
        <v>1</v>
      </c>
      <c r="AC138" s="61" t="n">
        <f aca="false">W138*AB138</f>
        <v>30</v>
      </c>
      <c r="AD138" s="121" t="n">
        <f aca="false">$D138*E138</f>
        <v>9463657.29385593</v>
      </c>
      <c r="AE138" s="121" t="n">
        <f aca="false">$D138*F138</f>
        <v>0</v>
      </c>
      <c r="AF138" s="121" t="n">
        <f aca="false">$D138*G138</f>
        <v>9463657.29385593</v>
      </c>
      <c r="AG138" s="121" t="n">
        <f aca="false">$D138*H138</f>
        <v>0</v>
      </c>
      <c r="AH138" s="121" t="n">
        <f aca="false">$D138*I138</f>
        <v>0</v>
      </c>
      <c r="AI138" s="121" t="n">
        <f aca="false">$D138*J138</f>
        <v>0</v>
      </c>
      <c r="AJ138" s="121" t="n">
        <f aca="false">$D138*K138</f>
        <v>0</v>
      </c>
      <c r="AK138" s="121" t="n">
        <f aca="false">$D138*L138</f>
        <v>0</v>
      </c>
      <c r="AL138" s="121" t="n">
        <f aca="false">$D138*M138</f>
        <v>0</v>
      </c>
      <c r="AM138" s="139"/>
      <c r="AO138" s="75" t="e">
        <f aca="false">EURO(N138,O138,Z138,Z138,R138,U138,0,0)</f>
        <v>#NAME?</v>
      </c>
      <c r="AP138" s="138" t="e">
        <f aca="false">AO138*C138</f>
        <v>#NAME?</v>
      </c>
      <c r="AQ138" s="60" t="e">
        <f aca="false">-EURO(N138,O138,Z138,Z138,R138,U138,0,1)</f>
        <v>#NAME?</v>
      </c>
    </row>
    <row r="139" customFormat="false" ht="12.75" hidden="false" customHeight="false" outlineLevel="0" collapsed="false">
      <c r="A139" s="127" t="n">
        <f aca="false">EDATE(A138,1)</f>
        <v>44105</v>
      </c>
      <c r="B139" s="128" t="n">
        <f aca="false">B138</f>
        <v>205479</v>
      </c>
      <c r="C139" s="116" t="n">
        <f aca="false">IF(AB139=0,0,IF(AND(AB139=1,$H$3=1),B139*W139,IF($H$3=2,B139,"N/A")))</f>
        <v>6369849</v>
      </c>
      <c r="D139" s="116" t="n">
        <f aca="false">C139*AA139</f>
        <v>1772715.1622289</v>
      </c>
      <c r="E139" s="129" t="n">
        <f aca="false">VLOOKUP($A139,[1]!CurveTable,MATCH($E$4,[1]!CurveType,0))</f>
        <v>5.5125</v>
      </c>
      <c r="F139" s="130"/>
      <c r="G139" s="131" t="n">
        <f aca="false">E139</f>
        <v>5.5125</v>
      </c>
      <c r="H139" s="129" t="n">
        <f aca="false">VLOOKUP($A139,[1]!CurveTable,MATCH($H$4,[1]!CurveType,0))</f>
        <v>0</v>
      </c>
      <c r="I139" s="131"/>
      <c r="J139" s="131" t="n">
        <f aca="false">H139</f>
        <v>0</v>
      </c>
      <c r="K139" s="142"/>
      <c r="L139" s="142"/>
      <c r="M139" s="142"/>
      <c r="N139" s="131" t="n">
        <f aca="false">G139+J139+M139+$N$7</f>
        <v>5.2225</v>
      </c>
      <c r="O139" s="131" t="n">
        <f aca="false">O138</f>
        <v>3</v>
      </c>
      <c r="P139" s="131"/>
      <c r="Q139" s="141" t="n">
        <f aca="false">Q138</f>
        <v>0.17</v>
      </c>
      <c r="R139" s="129" t="n">
        <f aca="false">Q139+Summary!C$25</f>
        <v>0.17</v>
      </c>
      <c r="S139" s="129"/>
      <c r="T139" s="132" t="n">
        <f aca="false">X139</f>
        <v>44105</v>
      </c>
      <c r="U139" s="133" t="n">
        <f aca="false">T139-$C$3</f>
        <v>7100</v>
      </c>
      <c r="W139" s="61" t="n">
        <f aca="false">A140-A139</f>
        <v>31</v>
      </c>
      <c r="X139" s="135" t="n">
        <f aca="false">CHOOSE(F$3,A140+24,A139)</f>
        <v>44105</v>
      </c>
      <c r="Y139" s="61" t="n">
        <f aca="false">X139-C$3</f>
        <v>7100</v>
      </c>
      <c r="Z139" s="136" t="n">
        <f aca="false">VLOOKUP($A139,[1]!CurveTable,MATCH($Z$4,[1]!CurveType,0))</f>
        <v>0.066894074212402</v>
      </c>
      <c r="AA139" s="137" t="n">
        <f aca="false">1/(1+CHOOSE(F$3,(Z140+($K$3/10000))/2,(Z139+($K$3/10000))/2))^(2*Y139/365.25)</f>
        <v>0.278297831271808</v>
      </c>
      <c r="AB139" s="61" t="n">
        <f aca="false">IF(AND(mthbeg&lt;=A139,mthend&gt;=A139),1,0)</f>
        <v>1</v>
      </c>
      <c r="AC139" s="61" t="n">
        <f aca="false">W139*AB139</f>
        <v>31</v>
      </c>
      <c r="AD139" s="121" t="n">
        <f aca="false">$D139*E139</f>
        <v>9772092.33178679</v>
      </c>
      <c r="AE139" s="121" t="n">
        <f aca="false">$D139*F139</f>
        <v>0</v>
      </c>
      <c r="AF139" s="121" t="n">
        <f aca="false">$D139*G139</f>
        <v>9772092.33178679</v>
      </c>
      <c r="AG139" s="121" t="n">
        <f aca="false">$D139*H139</f>
        <v>0</v>
      </c>
      <c r="AH139" s="121" t="n">
        <f aca="false">$D139*I139</f>
        <v>0</v>
      </c>
      <c r="AI139" s="121" t="n">
        <f aca="false">$D139*J139</f>
        <v>0</v>
      </c>
      <c r="AJ139" s="121" t="n">
        <f aca="false">$D139*K139</f>
        <v>0</v>
      </c>
      <c r="AK139" s="121" t="n">
        <f aca="false">$D139*L139</f>
        <v>0</v>
      </c>
      <c r="AL139" s="121" t="n">
        <f aca="false">$D139*M139</f>
        <v>0</v>
      </c>
      <c r="AM139" s="139"/>
      <c r="AO139" s="75" t="e">
        <f aca="false">EURO(N139,O139,Z139,Z139,R139,U139,0,0)</f>
        <v>#NAME?</v>
      </c>
      <c r="AP139" s="138" t="e">
        <f aca="false">AO139*C139</f>
        <v>#NAME?</v>
      </c>
      <c r="AQ139" s="60" t="e">
        <f aca="false">-EURO(N139,O139,Z139,Z139,R139,U139,0,1)</f>
        <v>#NAME?</v>
      </c>
    </row>
    <row r="140" customFormat="false" ht="12.75" hidden="false" customHeight="false" outlineLevel="0" collapsed="false">
      <c r="A140" s="127" t="n">
        <f aca="false">EDATE(A139,1)</f>
        <v>44136</v>
      </c>
      <c r="B140" s="128" t="n">
        <f aca="false">B139</f>
        <v>205479</v>
      </c>
      <c r="C140" s="116" t="n">
        <f aca="false">IF(AB140=0,0,IF(AND(AB140=1,$H$3=1),B140*W140,IF($H$3=2,B140,"N/A")))</f>
        <v>6164370</v>
      </c>
      <c r="D140" s="116" t="n">
        <f aca="false">C140*AA140</f>
        <v>1704607.14306217</v>
      </c>
      <c r="E140" s="129" t="n">
        <f aca="false">VLOOKUP($A140,[1]!CurveTable,MATCH($E$4,[1]!CurveType,0))</f>
        <v>5.6225</v>
      </c>
      <c r="F140" s="130"/>
      <c r="G140" s="131" t="n">
        <f aca="false">E140</f>
        <v>5.6225</v>
      </c>
      <c r="H140" s="129" t="n">
        <f aca="false">VLOOKUP($A140,[1]!CurveTable,MATCH($H$4,[1]!CurveType,0))</f>
        <v>0</v>
      </c>
      <c r="I140" s="131"/>
      <c r="J140" s="131" t="n">
        <f aca="false">H140</f>
        <v>0</v>
      </c>
      <c r="K140" s="142"/>
      <c r="L140" s="142"/>
      <c r="M140" s="142"/>
      <c r="N140" s="131" t="n">
        <f aca="false">G140+J140+M140+$N$7</f>
        <v>5.3325</v>
      </c>
      <c r="O140" s="131" t="n">
        <f aca="false">O139</f>
        <v>3</v>
      </c>
      <c r="P140" s="131"/>
      <c r="Q140" s="141" t="n">
        <f aca="false">Q139</f>
        <v>0.17</v>
      </c>
      <c r="R140" s="129" t="n">
        <f aca="false">Q140+Summary!C$25</f>
        <v>0.17</v>
      </c>
      <c r="S140" s="129"/>
      <c r="T140" s="132" t="n">
        <f aca="false">X140</f>
        <v>44136</v>
      </c>
      <c r="U140" s="133" t="n">
        <f aca="false">T140-$C$3</f>
        <v>7131</v>
      </c>
      <c r="W140" s="61" t="n">
        <f aca="false">A141-A140</f>
        <v>30</v>
      </c>
      <c r="X140" s="135" t="n">
        <f aca="false">CHOOSE(F$3,A141+24,A140)</f>
        <v>44136</v>
      </c>
      <c r="Y140" s="61" t="n">
        <f aca="false">X140-C$3</f>
        <v>7131</v>
      </c>
      <c r="Z140" s="136" t="n">
        <f aca="false">VLOOKUP($A140,[1]!CurveTable,MATCH($Z$4,[1]!CurveType,0))</f>
        <v>0.0669365919468499</v>
      </c>
      <c r="AA140" s="137" t="n">
        <f aca="false">1/(1+CHOOSE(F$3,(Z141+($K$3/10000))/2,(Z140+($K$3/10000))/2))^(2*Y140/365.25)</f>
        <v>0.276525767120107</v>
      </c>
      <c r="AB140" s="61" t="n">
        <f aca="false">IF(AND(mthbeg&lt;=A140,mthend&gt;=A140),1,0)</f>
        <v>1</v>
      </c>
      <c r="AC140" s="61" t="n">
        <f aca="false">W140*AB140</f>
        <v>30</v>
      </c>
      <c r="AD140" s="121" t="n">
        <f aca="false">$D140*E140</f>
        <v>9584153.66186708</v>
      </c>
      <c r="AE140" s="121" t="n">
        <f aca="false">$D140*F140</f>
        <v>0</v>
      </c>
      <c r="AF140" s="121" t="n">
        <f aca="false">$D140*G140</f>
        <v>9584153.66186708</v>
      </c>
      <c r="AG140" s="121" t="n">
        <f aca="false">$D140*H140</f>
        <v>0</v>
      </c>
      <c r="AH140" s="121" t="n">
        <f aca="false">$D140*I140</f>
        <v>0</v>
      </c>
      <c r="AI140" s="121" t="n">
        <f aca="false">$D140*J140</f>
        <v>0</v>
      </c>
      <c r="AJ140" s="121" t="n">
        <f aca="false">$D140*K140</f>
        <v>0</v>
      </c>
      <c r="AK140" s="121" t="n">
        <f aca="false">$D140*L140</f>
        <v>0</v>
      </c>
      <c r="AL140" s="121" t="n">
        <f aca="false">$D140*M140</f>
        <v>0</v>
      </c>
      <c r="AM140" s="139"/>
      <c r="AO140" s="75" t="e">
        <f aca="false">EURO(N140,O140,Z140,Z140,R140,U140,0,0)</f>
        <v>#NAME?</v>
      </c>
      <c r="AP140" s="138" t="e">
        <f aca="false">AO140*C140</f>
        <v>#NAME?</v>
      </c>
      <c r="AQ140" s="60" t="e">
        <f aca="false">-EURO(N140,O140,Z140,Z140,R140,U140,0,1)</f>
        <v>#NAME?</v>
      </c>
    </row>
    <row r="141" customFormat="false" ht="12.75" hidden="false" customHeight="false" outlineLevel="0" collapsed="false">
      <c r="A141" s="127" t="n">
        <f aca="false">EDATE(A140,1)</f>
        <v>44166</v>
      </c>
      <c r="B141" s="128" t="n">
        <f aca="false">B140</f>
        <v>205479</v>
      </c>
      <c r="C141" s="116" t="n">
        <f aca="false">IF(AB141=0,0,IF(AND(AB141=1,$H$3=1),B141*W141,IF($H$3=2,B141,"N/A")))</f>
        <v>6369849</v>
      </c>
      <c r="D141" s="116" t="n">
        <f aca="false">C141*AA141</f>
        <v>1750560.54896673</v>
      </c>
      <c r="E141" s="129" t="n">
        <f aca="false">VLOOKUP($A141,[1]!CurveTable,MATCH($E$4,[1]!CurveType,0))</f>
        <v>5.7425</v>
      </c>
      <c r="F141" s="130"/>
      <c r="G141" s="131" t="n">
        <f aca="false">E141</f>
        <v>5.7425</v>
      </c>
      <c r="H141" s="129" t="n">
        <f aca="false">VLOOKUP($A141,[1]!CurveTable,MATCH($H$4,[1]!CurveType,0))</f>
        <v>0</v>
      </c>
      <c r="I141" s="131"/>
      <c r="J141" s="131" t="n">
        <f aca="false">H141</f>
        <v>0</v>
      </c>
      <c r="K141" s="142"/>
      <c r="L141" s="142"/>
      <c r="M141" s="142"/>
      <c r="N141" s="131" t="n">
        <f aca="false">G141+J141+M141+$N$7</f>
        <v>5.4525</v>
      </c>
      <c r="O141" s="131" t="n">
        <f aca="false">O140</f>
        <v>3</v>
      </c>
      <c r="P141" s="131"/>
      <c r="Q141" s="141" t="n">
        <f aca="false">Q140</f>
        <v>0.17</v>
      </c>
      <c r="R141" s="129" t="n">
        <f aca="false">Q141+Summary!C$25</f>
        <v>0.17</v>
      </c>
      <c r="S141" s="129"/>
      <c r="T141" s="132" t="n">
        <f aca="false">X141</f>
        <v>44166</v>
      </c>
      <c r="U141" s="133" t="n">
        <f aca="false">T141-$C$3</f>
        <v>7161</v>
      </c>
      <c r="W141" s="61" t="n">
        <f aca="false">A142-A141</f>
        <v>31</v>
      </c>
      <c r="X141" s="135" t="n">
        <f aca="false">CHOOSE(F$3,A142+24,A141)</f>
        <v>44166</v>
      </c>
      <c r="Y141" s="61" t="n">
        <f aca="false">X141-C$3</f>
        <v>7161</v>
      </c>
      <c r="Z141" s="136" t="n">
        <f aca="false">VLOOKUP($A141,[1]!CurveTable,MATCH($Z$4,[1]!CurveType,0))</f>
        <v>0.0669777381420476</v>
      </c>
      <c r="AA141" s="137" t="n">
        <f aca="false">1/(1+CHOOSE(F$3,(Z142+($K$3/10000))/2,(Z141+($K$3/10000))/2))^(2*Y141/365.25)</f>
        <v>0.274819787559599</v>
      </c>
      <c r="AB141" s="61" t="n">
        <f aca="false">IF(AND(mthbeg&lt;=A141,mthend&gt;=A141),1,0)</f>
        <v>1</v>
      </c>
      <c r="AC141" s="61" t="n">
        <f aca="false">W141*AB141</f>
        <v>31</v>
      </c>
      <c r="AD141" s="121" t="n">
        <f aca="false">$D141*E141</f>
        <v>10052593.9524414</v>
      </c>
      <c r="AE141" s="121" t="n">
        <f aca="false">$D141*F141</f>
        <v>0</v>
      </c>
      <c r="AF141" s="121" t="n">
        <f aca="false">$D141*G141</f>
        <v>10052593.9524414</v>
      </c>
      <c r="AG141" s="121" t="n">
        <f aca="false">$D141*H141</f>
        <v>0</v>
      </c>
      <c r="AH141" s="121" t="n">
        <f aca="false">$D141*I141</f>
        <v>0</v>
      </c>
      <c r="AI141" s="121" t="n">
        <f aca="false">$D141*J141</f>
        <v>0</v>
      </c>
      <c r="AJ141" s="121" t="n">
        <f aca="false">$D141*K141</f>
        <v>0</v>
      </c>
      <c r="AK141" s="121" t="n">
        <f aca="false">$D141*L141</f>
        <v>0</v>
      </c>
      <c r="AL141" s="121" t="n">
        <f aca="false">$D141*M141</f>
        <v>0</v>
      </c>
      <c r="AM141" s="139"/>
      <c r="AO141" s="75" t="e">
        <f aca="false">EURO(N141,O141,Z141,Z141,R141,U141,0,0)</f>
        <v>#NAME?</v>
      </c>
      <c r="AP141" s="138" t="e">
        <f aca="false">AO141*C141</f>
        <v>#NAME?</v>
      </c>
      <c r="AQ141" s="60" t="e">
        <f aca="false">-EURO(N141,O141,Z141,Z141,R141,U141,0,1)</f>
        <v>#NAME?</v>
      </c>
    </row>
    <row r="142" customFormat="false" ht="12.75" hidden="false" customHeight="false" outlineLevel="0" collapsed="false">
      <c r="A142" s="127" t="n">
        <f aca="false">EDATE(A141,1)</f>
        <v>44197</v>
      </c>
      <c r="B142" s="128" t="n">
        <f aca="false">B141</f>
        <v>205479</v>
      </c>
      <c r="C142" s="116" t="n">
        <f aca="false">IF(AB142=0,0,IF(AND(AB142=1,$H$3=1),B142*W142,IF($H$3=2,B142,"N/A")))</f>
        <v>6369849</v>
      </c>
      <c r="D142" s="116" t="n">
        <f aca="false">C142*AA142</f>
        <v>1739389.99203111</v>
      </c>
      <c r="E142" s="129" t="n">
        <f aca="false">VLOOKUP($A142,[1]!CurveTable,MATCH($E$4,[1]!CurveType,0))</f>
        <v>5.8325</v>
      </c>
      <c r="F142" s="130"/>
      <c r="G142" s="131" t="n">
        <f aca="false">E142</f>
        <v>5.8325</v>
      </c>
      <c r="H142" s="129" t="n">
        <f aca="false">VLOOKUP($A142,[1]!CurveTable,MATCH($H$4,[1]!CurveType,0))</f>
        <v>0</v>
      </c>
      <c r="I142" s="131"/>
      <c r="J142" s="131" t="n">
        <f aca="false">H142</f>
        <v>0</v>
      </c>
      <c r="K142" s="142"/>
      <c r="L142" s="142"/>
      <c r="M142" s="142"/>
      <c r="N142" s="131" t="n">
        <f aca="false">G142+J142+M142+$N$7</f>
        <v>5.5425</v>
      </c>
      <c r="O142" s="131" t="n">
        <f aca="false">O141</f>
        <v>3</v>
      </c>
      <c r="P142" s="131"/>
      <c r="Q142" s="141" t="n">
        <f aca="false">Q141</f>
        <v>0.17</v>
      </c>
      <c r="R142" s="129" t="n">
        <f aca="false">Q142+Summary!C$25</f>
        <v>0.17</v>
      </c>
      <c r="S142" s="129"/>
      <c r="T142" s="132" t="n">
        <f aca="false">X142</f>
        <v>44197</v>
      </c>
      <c r="U142" s="133" t="n">
        <f aca="false">T142-$C$3</f>
        <v>7192</v>
      </c>
      <c r="W142" s="61" t="n">
        <f aca="false">A143-A142</f>
        <v>31</v>
      </c>
      <c r="X142" s="135" t="n">
        <f aca="false">CHOOSE(F$3,A143+24,A142)</f>
        <v>44197</v>
      </c>
      <c r="Y142" s="61" t="n">
        <f aca="false">X142-C$3</f>
        <v>7192</v>
      </c>
      <c r="Z142" s="136" t="n">
        <f aca="false">VLOOKUP($A142,[1]!CurveTable,MATCH($Z$4,[1]!CurveType,0))</f>
        <v>0.0670202558776731</v>
      </c>
      <c r="AA142" s="137" t="n">
        <f aca="false">1/(1+CHOOSE(F$3,(Z143+($K$3/10000))/2,(Z142+($K$3/10000))/2))^(2*Y142/365.25)</f>
        <v>0.273066126376168</v>
      </c>
      <c r="AB142" s="61" t="n">
        <f aca="false">IF(AND(mthbeg&lt;=A142,mthend&gt;=A142),1,0)</f>
        <v>1</v>
      </c>
      <c r="AC142" s="61" t="n">
        <f aca="false">W142*AB142</f>
        <v>31</v>
      </c>
      <c r="AD142" s="121" t="n">
        <f aca="false">$D142*E142</f>
        <v>10144992.1285214</v>
      </c>
      <c r="AE142" s="121" t="n">
        <f aca="false">$D142*F142</f>
        <v>0</v>
      </c>
      <c r="AF142" s="121" t="n">
        <f aca="false">$D142*G142</f>
        <v>10144992.1285214</v>
      </c>
      <c r="AG142" s="121" t="n">
        <f aca="false">$D142*H142</f>
        <v>0</v>
      </c>
      <c r="AH142" s="121" t="n">
        <f aca="false">$D142*I142</f>
        <v>0</v>
      </c>
      <c r="AI142" s="121" t="n">
        <f aca="false">$D142*J142</f>
        <v>0</v>
      </c>
      <c r="AJ142" s="121" t="n">
        <f aca="false">$D142*K142</f>
        <v>0</v>
      </c>
      <c r="AK142" s="121" t="n">
        <f aca="false">$D142*L142</f>
        <v>0</v>
      </c>
      <c r="AL142" s="121" t="n">
        <f aca="false">$D142*M142</f>
        <v>0</v>
      </c>
      <c r="AM142" s="139"/>
      <c r="AO142" s="75" t="e">
        <f aca="false">EURO(N142,O142,Z142,Z142,R142,U142,0,0)</f>
        <v>#NAME?</v>
      </c>
      <c r="AP142" s="138" t="e">
        <f aca="false">AO142*C142</f>
        <v>#NAME?</v>
      </c>
      <c r="AQ142" s="60" t="e">
        <f aca="false">-EURO(N142,O142,Z142,Z142,R142,U142,0,1)</f>
        <v>#NAME?</v>
      </c>
    </row>
    <row r="143" customFormat="false" ht="12.75" hidden="false" customHeight="false" outlineLevel="0" collapsed="false">
      <c r="A143" s="127" t="n">
        <f aca="false">EDATE(A142,1)</f>
        <v>44228</v>
      </c>
      <c r="B143" s="128" t="n">
        <f aca="false">B142</f>
        <v>205479</v>
      </c>
      <c r="C143" s="116" t="n">
        <f aca="false">IF(AB143=0,0,IF(AND(AB143=1,$H$3=1),B143*W143,IF($H$3=2,B143,"N/A")))</f>
        <v>5753412</v>
      </c>
      <c r="D143" s="116" t="n">
        <f aca="false">C143*AA143</f>
        <v>1561025.90057938</v>
      </c>
      <c r="E143" s="129" t="n">
        <f aca="false">VLOOKUP($A143,[1]!CurveTable,MATCH($E$4,[1]!CurveType,0))</f>
        <v>5.7125</v>
      </c>
      <c r="F143" s="130"/>
      <c r="G143" s="131" t="n">
        <f aca="false">E143</f>
        <v>5.7125</v>
      </c>
      <c r="H143" s="129" t="n">
        <f aca="false">VLOOKUP($A143,[1]!CurveTable,MATCH($H$4,[1]!CurveType,0))</f>
        <v>0</v>
      </c>
      <c r="I143" s="131"/>
      <c r="J143" s="131" t="n">
        <f aca="false">H143</f>
        <v>0</v>
      </c>
      <c r="K143" s="142"/>
      <c r="L143" s="142"/>
      <c r="M143" s="142"/>
      <c r="N143" s="131" t="n">
        <f aca="false">G143+J143+M143+$N$7</f>
        <v>5.4225</v>
      </c>
      <c r="O143" s="131" t="n">
        <f aca="false">O142</f>
        <v>3</v>
      </c>
      <c r="P143" s="131"/>
      <c r="Q143" s="141" t="n">
        <f aca="false">Q142</f>
        <v>0.17</v>
      </c>
      <c r="R143" s="129" t="n">
        <f aca="false">Q143+Summary!C$25</f>
        <v>0.17</v>
      </c>
      <c r="S143" s="129"/>
      <c r="T143" s="132" t="n">
        <f aca="false">X143</f>
        <v>44228</v>
      </c>
      <c r="U143" s="133" t="n">
        <f aca="false">T143-$C$3</f>
        <v>7223</v>
      </c>
      <c r="W143" s="61" t="n">
        <f aca="false">A144-A143</f>
        <v>28</v>
      </c>
      <c r="X143" s="135" t="n">
        <f aca="false">CHOOSE(F$3,A144+24,A143)</f>
        <v>44228</v>
      </c>
      <c r="Y143" s="61" t="n">
        <f aca="false">X143-C$3</f>
        <v>7223</v>
      </c>
      <c r="Z143" s="136" t="n">
        <f aca="false">VLOOKUP($A143,[1]!CurveTable,MATCH($Z$4,[1]!CurveType,0))</f>
        <v>0.0670627736138982</v>
      </c>
      <c r="AA143" s="137" t="n">
        <f aca="false">1/(1+CHOOSE(F$3,(Z144+($K$3/10000))/2,(Z143+($K$3/10000))/2))^(2*Y143/365.25)</f>
        <v>0.27132176534192</v>
      </c>
      <c r="AB143" s="61" t="n">
        <f aca="false">IF(AND(mthbeg&lt;=A143,mthend&gt;=A143),1,0)</f>
        <v>1</v>
      </c>
      <c r="AC143" s="61" t="n">
        <f aca="false">W143*AB143</f>
        <v>28</v>
      </c>
      <c r="AD143" s="121" t="n">
        <f aca="false">$D143*E143</f>
        <v>8917360.45705973</v>
      </c>
      <c r="AE143" s="121" t="n">
        <f aca="false">$D143*F143</f>
        <v>0</v>
      </c>
      <c r="AF143" s="121" t="n">
        <f aca="false">$D143*G143</f>
        <v>8917360.45705973</v>
      </c>
      <c r="AG143" s="121" t="n">
        <f aca="false">$D143*H143</f>
        <v>0</v>
      </c>
      <c r="AH143" s="121" t="n">
        <f aca="false">$D143*I143</f>
        <v>0</v>
      </c>
      <c r="AI143" s="121" t="n">
        <f aca="false">$D143*J143</f>
        <v>0</v>
      </c>
      <c r="AJ143" s="121" t="n">
        <f aca="false">$D143*K143</f>
        <v>0</v>
      </c>
      <c r="AK143" s="121" t="n">
        <f aca="false">$D143*L143</f>
        <v>0</v>
      </c>
      <c r="AL143" s="121" t="n">
        <f aca="false">$D143*M143</f>
        <v>0</v>
      </c>
      <c r="AM143" s="139"/>
      <c r="AO143" s="75" t="e">
        <f aca="false">EURO(N143,O143,Z143,Z143,R143,U143,0,0)</f>
        <v>#NAME?</v>
      </c>
      <c r="AP143" s="138" t="e">
        <f aca="false">AO143*C143</f>
        <v>#NAME?</v>
      </c>
      <c r="AQ143" s="60" t="e">
        <f aca="false">-EURO(N143,O143,Z143,Z143,R143,U143,0,1)</f>
        <v>#NAME?</v>
      </c>
    </row>
    <row r="144" customFormat="false" ht="12.75" hidden="false" customHeight="false" outlineLevel="0" collapsed="false">
      <c r="A144" s="127" t="n">
        <f aca="false">EDATE(A143,1)</f>
        <v>44256</v>
      </c>
      <c r="B144" s="128" t="n">
        <f aca="false">B143</f>
        <v>205479</v>
      </c>
      <c r="C144" s="116" t="n">
        <f aca="false">IF(AB144=0,0,IF(AND(AB144=1,$H$3=1),B144*W144,IF($H$3=2,B144,"N/A")))</f>
        <v>6369849</v>
      </c>
      <c r="D144" s="116" t="n">
        <f aca="false">C144*AA144</f>
        <v>1718293.38033612</v>
      </c>
      <c r="E144" s="129" t="n">
        <f aca="false">VLOOKUP($A144,[1]!CurveTable,MATCH($E$4,[1]!CurveType,0))</f>
        <v>5.5735</v>
      </c>
      <c r="F144" s="130"/>
      <c r="G144" s="131" t="n">
        <f aca="false">E144</f>
        <v>5.5735</v>
      </c>
      <c r="H144" s="129" t="n">
        <f aca="false">VLOOKUP($A144,[1]!CurveTable,MATCH($H$4,[1]!CurveType,0))</f>
        <v>0</v>
      </c>
      <c r="I144" s="131"/>
      <c r="J144" s="131" t="n">
        <f aca="false">H144</f>
        <v>0</v>
      </c>
      <c r="K144" s="142"/>
      <c r="L144" s="142"/>
      <c r="M144" s="142"/>
      <c r="N144" s="131" t="n">
        <f aca="false">G144+J144+M144+$N$7</f>
        <v>5.2835</v>
      </c>
      <c r="O144" s="131" t="n">
        <f aca="false">O143</f>
        <v>3</v>
      </c>
      <c r="P144" s="131"/>
      <c r="Q144" s="141" t="n">
        <f aca="false">Q143</f>
        <v>0.17</v>
      </c>
      <c r="R144" s="129" t="n">
        <f aca="false">Q144+Summary!C$25</f>
        <v>0.17</v>
      </c>
      <c r="S144" s="129"/>
      <c r="T144" s="132" t="n">
        <f aca="false">X144</f>
        <v>44256</v>
      </c>
      <c r="U144" s="133" t="n">
        <f aca="false">T144-$C$3</f>
        <v>7251</v>
      </c>
      <c r="W144" s="61" t="n">
        <f aca="false">A145-A144</f>
        <v>31</v>
      </c>
      <c r="X144" s="135" t="n">
        <f aca="false">CHOOSE(F$3,A145+24,A144)</f>
        <v>44256</v>
      </c>
      <c r="Y144" s="61" t="n">
        <f aca="false">X144-C$3</f>
        <v>7251</v>
      </c>
      <c r="Z144" s="136" t="n">
        <f aca="false">VLOOKUP($A144,[1]!CurveTable,MATCH($Z$4,[1]!CurveType,0))</f>
        <v>0.0671011767310024</v>
      </c>
      <c r="AA144" s="137" t="n">
        <f aca="false">1/(1+CHOOSE(F$3,(Z145+($K$3/10000))/2,(Z144+($K$3/10000))/2))^(2*Y144/365.25)</f>
        <v>0.269754177899056</v>
      </c>
      <c r="AB144" s="61" t="n">
        <f aca="false">IF(AND(mthbeg&lt;=A144,mthend&gt;=A144),1,0)</f>
        <v>1</v>
      </c>
      <c r="AC144" s="61" t="n">
        <f aca="false">W144*AB144</f>
        <v>31</v>
      </c>
      <c r="AD144" s="121" t="n">
        <f aca="false">$D144*E144</f>
        <v>9576908.15530339</v>
      </c>
      <c r="AE144" s="121" t="n">
        <f aca="false">$D144*F144</f>
        <v>0</v>
      </c>
      <c r="AF144" s="121" t="n">
        <f aca="false">$D144*G144</f>
        <v>9576908.15530339</v>
      </c>
      <c r="AG144" s="121" t="n">
        <f aca="false">$D144*H144</f>
        <v>0</v>
      </c>
      <c r="AH144" s="121" t="n">
        <f aca="false">$D144*I144</f>
        <v>0</v>
      </c>
      <c r="AI144" s="121" t="n">
        <f aca="false">$D144*J144</f>
        <v>0</v>
      </c>
      <c r="AJ144" s="121" t="n">
        <f aca="false">$D144*K144</f>
        <v>0</v>
      </c>
      <c r="AK144" s="121" t="n">
        <f aca="false">$D144*L144</f>
        <v>0</v>
      </c>
      <c r="AL144" s="121" t="n">
        <f aca="false">$D144*M144</f>
        <v>0</v>
      </c>
      <c r="AM144" s="139"/>
      <c r="AO144" s="75" t="e">
        <f aca="false">EURO(N144,O144,Z144,Z144,R144,U144,0,0)</f>
        <v>#NAME?</v>
      </c>
      <c r="AP144" s="138" t="e">
        <f aca="false">AO144*C144</f>
        <v>#NAME?</v>
      </c>
      <c r="AQ144" s="60" t="e">
        <f aca="false">-EURO(N144,O144,Z144,Z144,R144,U144,0,1)</f>
        <v>#NAME?</v>
      </c>
    </row>
    <row r="145" customFormat="false" ht="12.75" hidden="false" customHeight="false" outlineLevel="0" collapsed="false">
      <c r="A145" s="127" t="n">
        <f aca="false">EDATE(A144,1)</f>
        <v>44287</v>
      </c>
      <c r="B145" s="128" t="n">
        <f aca="false">B144</f>
        <v>205479</v>
      </c>
      <c r="C145" s="116" t="n">
        <f aca="false">IF(AB145=0,0,IF(AND(AB145=1,$H$3=1),B145*W145,IF($H$3=2,B145,"N/A")))</f>
        <v>6164370</v>
      </c>
      <c r="D145" s="116" t="n">
        <f aca="false">C145*AA145</f>
        <v>1652220.18783847</v>
      </c>
      <c r="E145" s="129" t="n">
        <f aca="false">VLOOKUP($A145,[1]!CurveTable,MATCH($E$4,[1]!CurveType,0))</f>
        <v>5.4035</v>
      </c>
      <c r="F145" s="130"/>
      <c r="G145" s="131" t="n">
        <f aca="false">E145</f>
        <v>5.4035</v>
      </c>
      <c r="H145" s="129" t="n">
        <f aca="false">VLOOKUP($A145,[1]!CurveTable,MATCH($H$4,[1]!CurveType,0))</f>
        <v>0</v>
      </c>
      <c r="I145" s="131"/>
      <c r="J145" s="131" t="n">
        <f aca="false">H145</f>
        <v>0</v>
      </c>
      <c r="K145" s="142"/>
      <c r="L145" s="142"/>
      <c r="M145" s="142"/>
      <c r="N145" s="131" t="n">
        <f aca="false">G145+J145+M145+$N$7</f>
        <v>5.1135</v>
      </c>
      <c r="O145" s="131" t="n">
        <f aca="false">O144</f>
        <v>3</v>
      </c>
      <c r="P145" s="131"/>
      <c r="Q145" s="141" t="n">
        <f aca="false">Q144</f>
        <v>0.17</v>
      </c>
      <c r="R145" s="129" t="n">
        <f aca="false">Q145+Summary!C$25</f>
        <v>0.17</v>
      </c>
      <c r="S145" s="129"/>
      <c r="T145" s="132" t="n">
        <f aca="false">X145</f>
        <v>44287</v>
      </c>
      <c r="U145" s="133" t="n">
        <f aca="false">T145-$C$3</f>
        <v>7282</v>
      </c>
      <c r="W145" s="61" t="n">
        <f aca="false">A146-A145</f>
        <v>30</v>
      </c>
      <c r="X145" s="135" t="n">
        <f aca="false">CHOOSE(F$3,A146+24,A145)</f>
        <v>44287</v>
      </c>
      <c r="Y145" s="61" t="n">
        <f aca="false">X145-C$3</f>
        <v>7282</v>
      </c>
      <c r="Z145" s="136" t="n">
        <f aca="false">VLOOKUP($A145,[1]!CurveTable,MATCH($Z$4,[1]!CurveType,0))</f>
        <v>0.0671436944683665</v>
      </c>
      <c r="AA145" s="137" t="n">
        <f aca="false">1/(1+CHOOSE(F$3,(Z146+($K$3/10000))/2,(Z145+($K$3/10000))/2))^(2*Y145/365.25)</f>
        <v>0.268027420131898</v>
      </c>
      <c r="AB145" s="61" t="n">
        <f aca="false">IF(AND(mthbeg&lt;=A145,mthend&gt;=A145),1,0)</f>
        <v>1</v>
      </c>
      <c r="AC145" s="61" t="n">
        <f aca="false">W145*AB145</f>
        <v>30</v>
      </c>
      <c r="AD145" s="121" t="n">
        <f aca="false">$D145*E145</f>
        <v>8927771.78498517</v>
      </c>
      <c r="AE145" s="121" t="n">
        <f aca="false">$D145*F145</f>
        <v>0</v>
      </c>
      <c r="AF145" s="121" t="n">
        <f aca="false">$D145*G145</f>
        <v>8927771.78498517</v>
      </c>
      <c r="AG145" s="121" t="n">
        <f aca="false">$D145*H145</f>
        <v>0</v>
      </c>
      <c r="AH145" s="121" t="n">
        <f aca="false">$D145*I145</f>
        <v>0</v>
      </c>
      <c r="AI145" s="121" t="n">
        <f aca="false">$D145*J145</f>
        <v>0</v>
      </c>
      <c r="AJ145" s="121" t="n">
        <f aca="false">$D145*K145</f>
        <v>0</v>
      </c>
      <c r="AK145" s="121" t="n">
        <f aca="false">$D145*L145</f>
        <v>0</v>
      </c>
      <c r="AL145" s="121" t="n">
        <f aca="false">$D145*M145</f>
        <v>0</v>
      </c>
      <c r="AM145" s="139"/>
      <c r="AO145" s="75" t="e">
        <f aca="false">EURO(N145,O145,Z145,Z145,R145,U145,0,0)</f>
        <v>#NAME?</v>
      </c>
      <c r="AP145" s="138" t="e">
        <f aca="false">AO145*C145</f>
        <v>#NAME?</v>
      </c>
      <c r="AQ145" s="60" t="e">
        <f aca="false">-EURO(N145,O145,Z145,Z145,R145,U145,0,1)</f>
        <v>#NAME?</v>
      </c>
    </row>
    <row r="146" customFormat="false" ht="12.75" hidden="false" customHeight="false" outlineLevel="0" collapsed="false">
      <c r="A146" s="127" t="n">
        <f aca="false">EDATE(A145,1)</f>
        <v>44317</v>
      </c>
      <c r="B146" s="128" t="n">
        <f aca="false">B145</f>
        <v>205479</v>
      </c>
      <c r="C146" s="116" t="n">
        <f aca="false">IF(AB146=0,0,IF(AND(AB146=1,$H$3=1),B146*W146,IF($H$3=2,B146,"N/A")))</f>
        <v>6369849</v>
      </c>
      <c r="D146" s="116" t="n">
        <f aca="false">C146*AA146</f>
        <v>1696894.04219579</v>
      </c>
      <c r="E146" s="129" t="n">
        <f aca="false">VLOOKUP($A146,[1]!CurveTable,MATCH($E$4,[1]!CurveType,0))</f>
        <v>5.4625</v>
      </c>
      <c r="F146" s="130"/>
      <c r="G146" s="131" t="n">
        <f aca="false">E146</f>
        <v>5.4625</v>
      </c>
      <c r="H146" s="129" t="n">
        <f aca="false">VLOOKUP($A146,[1]!CurveTable,MATCH($H$4,[1]!CurveType,0))</f>
        <v>0</v>
      </c>
      <c r="I146" s="131"/>
      <c r="J146" s="131" t="n">
        <f aca="false">H146</f>
        <v>0</v>
      </c>
      <c r="K146" s="142"/>
      <c r="L146" s="142"/>
      <c r="M146" s="142"/>
      <c r="N146" s="131" t="n">
        <f aca="false">G146+J146+M146+$N$7</f>
        <v>5.1725</v>
      </c>
      <c r="O146" s="131" t="n">
        <f aca="false">O145</f>
        <v>3</v>
      </c>
      <c r="P146" s="131"/>
      <c r="Q146" s="141" t="n">
        <f aca="false">Q145</f>
        <v>0.17</v>
      </c>
      <c r="R146" s="129" t="n">
        <f aca="false">Q146+Summary!C$25</f>
        <v>0.17</v>
      </c>
      <c r="S146" s="129"/>
      <c r="T146" s="132" t="n">
        <f aca="false">X146</f>
        <v>44317</v>
      </c>
      <c r="U146" s="133" t="n">
        <f aca="false">T146-$C$3</f>
        <v>7312</v>
      </c>
      <c r="W146" s="61" t="n">
        <f aca="false">A147-A146</f>
        <v>31</v>
      </c>
      <c r="X146" s="135" t="n">
        <f aca="false">CHOOSE(F$3,A147+24,A146)</f>
        <v>44317</v>
      </c>
      <c r="Y146" s="61" t="n">
        <f aca="false">X146-C$3</f>
        <v>7312</v>
      </c>
      <c r="Z146" s="136" t="n">
        <f aca="false">VLOOKUP($A146,[1]!CurveTable,MATCH($Z$4,[1]!CurveType,0))</f>
        <v>0.0671791070538918</v>
      </c>
      <c r="AA146" s="137" t="n">
        <f aca="false">1/(1+CHOOSE(F$3,(Z147+($K$3/10000))/2,(Z146+($K$3/10000))/2))^(2*Y146/365.25)</f>
        <v>0.266394704520592</v>
      </c>
      <c r="AB146" s="61" t="n">
        <f aca="false">IF(AND(mthbeg&lt;=A146,mthend&gt;=A146),1,0)</f>
        <v>1</v>
      </c>
      <c r="AC146" s="61" t="n">
        <f aca="false">W146*AB146</f>
        <v>31</v>
      </c>
      <c r="AD146" s="121" t="n">
        <f aca="false">$D146*E146</f>
        <v>9269283.70549449</v>
      </c>
      <c r="AE146" s="121" t="n">
        <f aca="false">$D146*F146</f>
        <v>0</v>
      </c>
      <c r="AF146" s="121" t="n">
        <f aca="false">$D146*G146</f>
        <v>9269283.70549449</v>
      </c>
      <c r="AG146" s="121" t="n">
        <f aca="false">$D146*H146</f>
        <v>0</v>
      </c>
      <c r="AH146" s="121" t="n">
        <f aca="false">$D146*I146</f>
        <v>0</v>
      </c>
      <c r="AI146" s="121" t="n">
        <f aca="false">$D146*J146</f>
        <v>0</v>
      </c>
      <c r="AJ146" s="121" t="n">
        <f aca="false">$D146*K146</f>
        <v>0</v>
      </c>
      <c r="AK146" s="121" t="n">
        <f aca="false">$D146*L146</f>
        <v>0</v>
      </c>
      <c r="AL146" s="121" t="n">
        <f aca="false">$D146*M146</f>
        <v>0</v>
      </c>
      <c r="AM146" s="139"/>
      <c r="AO146" s="75" t="e">
        <f aca="false">EURO(N146,O146,Z146,Z146,R146,U146,0,0)</f>
        <v>#NAME?</v>
      </c>
      <c r="AP146" s="138" t="e">
        <f aca="false">AO146*C146</f>
        <v>#NAME?</v>
      </c>
      <c r="AQ146" s="60" t="e">
        <f aca="false">-EURO(N146,O146,Z146,Z146,R146,U146,0,1)</f>
        <v>#NAME?</v>
      </c>
    </row>
    <row r="147" customFormat="false" ht="12.75" hidden="false" customHeight="false" outlineLevel="0" collapsed="false">
      <c r="A147" s="127" t="n">
        <f aca="false">EDATE(A146,1)</f>
        <v>44348</v>
      </c>
      <c r="B147" s="128" t="n">
        <f aca="false">B146</f>
        <v>205479</v>
      </c>
      <c r="C147" s="116" t="n">
        <f aca="false">IF(AB147=0,0,IF(AND(AB147=1,$H$3=1),B147*W147,IF($H$3=2,B147,"N/A")))</f>
        <v>6164370</v>
      </c>
      <c r="D147" s="116" t="n">
        <f aca="false">C147*AA147</f>
        <v>1632750.66109984</v>
      </c>
      <c r="E147" s="129" t="n">
        <f aca="false">VLOOKUP($A147,[1]!CurveTable,MATCH($E$4,[1]!CurveType,0))</f>
        <v>5.5025</v>
      </c>
      <c r="F147" s="130"/>
      <c r="G147" s="131" t="n">
        <f aca="false">E147</f>
        <v>5.5025</v>
      </c>
      <c r="H147" s="129" t="n">
        <f aca="false">VLOOKUP($A147,[1]!CurveTable,MATCH($H$4,[1]!CurveType,0))</f>
        <v>0</v>
      </c>
      <c r="I147" s="131"/>
      <c r="J147" s="131" t="n">
        <f aca="false">H147</f>
        <v>0</v>
      </c>
      <c r="K147" s="142"/>
      <c r="L147" s="142"/>
      <c r="M147" s="142"/>
      <c r="N147" s="131" t="n">
        <f aca="false">G147+J147+M147+$N$7</f>
        <v>5.2125</v>
      </c>
      <c r="O147" s="131" t="n">
        <f aca="false">O146</f>
        <v>3</v>
      </c>
      <c r="P147" s="131"/>
      <c r="Q147" s="141" t="n">
        <f aca="false">Q146</f>
        <v>0.17</v>
      </c>
      <c r="R147" s="129" t="n">
        <f aca="false">Q147+Summary!C$25</f>
        <v>0.17</v>
      </c>
      <c r="S147" s="129"/>
      <c r="T147" s="132" t="n">
        <f aca="false">X147</f>
        <v>44348</v>
      </c>
      <c r="U147" s="133" t="n">
        <f aca="false">T147-$C$3</f>
        <v>7343</v>
      </c>
      <c r="W147" s="61" t="n">
        <f aca="false">A148-A147</f>
        <v>30</v>
      </c>
      <c r="X147" s="135" t="n">
        <f aca="false">CHOOSE(F$3,A148+24,A147)</f>
        <v>44348</v>
      </c>
      <c r="Y147" s="61" t="n">
        <f aca="false">X147-C$3</f>
        <v>7343</v>
      </c>
      <c r="Z147" s="136" t="n">
        <f aca="false">VLOOKUP($A147,[1]!CurveTable,MATCH($Z$4,[1]!CurveType,0))</f>
        <v>0.0671860763946341</v>
      </c>
      <c r="AA147" s="137" t="n">
        <f aca="false">1/(1+CHOOSE(F$3,(Z148+($K$3/10000))/2,(Z147+($K$3/10000))/2))^(2*Y147/365.25)</f>
        <v>0.26486902329027</v>
      </c>
      <c r="AB147" s="61" t="n">
        <f aca="false">IF(AND(mthbeg&lt;=A147,mthend&gt;=A147),1,0)</f>
        <v>1</v>
      </c>
      <c r="AC147" s="61" t="n">
        <f aca="false">W147*AB147</f>
        <v>30</v>
      </c>
      <c r="AD147" s="121" t="n">
        <f aca="false">$D147*E147</f>
        <v>8984210.51270188</v>
      </c>
      <c r="AE147" s="121" t="n">
        <f aca="false">$D147*F147</f>
        <v>0</v>
      </c>
      <c r="AF147" s="121" t="n">
        <f aca="false">$D147*G147</f>
        <v>8984210.51270188</v>
      </c>
      <c r="AG147" s="121" t="n">
        <f aca="false">$D147*H147</f>
        <v>0</v>
      </c>
      <c r="AH147" s="121" t="n">
        <f aca="false">$D147*I147</f>
        <v>0</v>
      </c>
      <c r="AI147" s="121" t="n">
        <f aca="false">$D147*J147</f>
        <v>0</v>
      </c>
      <c r="AJ147" s="121" t="n">
        <f aca="false">$D147*K147</f>
        <v>0</v>
      </c>
      <c r="AK147" s="121" t="n">
        <f aca="false">$D147*L147</f>
        <v>0</v>
      </c>
      <c r="AL147" s="121" t="n">
        <f aca="false">$D147*M147</f>
        <v>0</v>
      </c>
      <c r="AM147" s="139"/>
      <c r="AO147" s="75" t="e">
        <f aca="false">EURO(N147,O147,Z147,Z147,R147,U147,0,0)</f>
        <v>#NAME?</v>
      </c>
      <c r="AP147" s="138" t="e">
        <f aca="false">AO147*C147</f>
        <v>#NAME?</v>
      </c>
      <c r="AQ147" s="60" t="e">
        <f aca="false">-EURO(N147,O147,Z147,Z147,R147,U147,0,1)</f>
        <v>#NAME?</v>
      </c>
    </row>
    <row r="148" customFormat="false" ht="12.75" hidden="false" customHeight="false" outlineLevel="0" collapsed="false">
      <c r="A148" s="127" t="n">
        <f aca="false">EDATE(A147,1)</f>
        <v>44378</v>
      </c>
      <c r="B148" s="128" t="n">
        <f aca="false">B147</f>
        <v>205479</v>
      </c>
      <c r="C148" s="116" t="n">
        <f aca="false">IF(AB148=0,0,IF(AND(AB148=1,$H$3=1),B148*W148,IF($H$3=2,B148,"N/A")))</f>
        <v>6369849</v>
      </c>
      <c r="D148" s="116" t="n">
        <f aca="false">C148*AA148</f>
        <v>1677821.98932413</v>
      </c>
      <c r="E148" s="129" t="n">
        <f aca="false">VLOOKUP($A148,[1]!CurveTable,MATCH($E$4,[1]!CurveType,0))</f>
        <v>5.5475</v>
      </c>
      <c r="F148" s="130"/>
      <c r="G148" s="131" t="n">
        <f aca="false">E148</f>
        <v>5.5475</v>
      </c>
      <c r="H148" s="129" t="n">
        <f aca="false">VLOOKUP($A148,[1]!CurveTable,MATCH($H$4,[1]!CurveType,0))</f>
        <v>0</v>
      </c>
      <c r="I148" s="131"/>
      <c r="J148" s="131" t="n">
        <f aca="false">H148</f>
        <v>0</v>
      </c>
      <c r="K148" s="142"/>
      <c r="L148" s="142"/>
      <c r="M148" s="142"/>
      <c r="N148" s="131" t="n">
        <f aca="false">G148+J148+M148+$N$7</f>
        <v>5.2575</v>
      </c>
      <c r="O148" s="131" t="n">
        <f aca="false">O147</f>
        <v>3</v>
      </c>
      <c r="P148" s="131"/>
      <c r="Q148" s="141" t="n">
        <f aca="false">Q147</f>
        <v>0.17</v>
      </c>
      <c r="R148" s="129" t="n">
        <f aca="false">Q148+Summary!C$25</f>
        <v>0.17</v>
      </c>
      <c r="S148" s="129"/>
      <c r="T148" s="132" t="n">
        <f aca="false">X148</f>
        <v>44378</v>
      </c>
      <c r="U148" s="133" t="n">
        <f aca="false">T148-$C$3</f>
        <v>7373</v>
      </c>
      <c r="W148" s="61" t="n">
        <f aca="false">A149-A148</f>
        <v>31</v>
      </c>
      <c r="X148" s="135" t="n">
        <f aca="false">CHOOSE(F$3,A149+24,A148)</f>
        <v>44378</v>
      </c>
      <c r="Y148" s="61" t="n">
        <f aca="false">X148-C$3</f>
        <v>7373</v>
      </c>
      <c r="Z148" s="136" t="n">
        <f aca="false">VLOOKUP($A148,[1]!CurveTable,MATCH($Z$4,[1]!CurveType,0))</f>
        <v>0.0671928209179482</v>
      </c>
      <c r="AA148" s="137" t="n">
        <f aca="false">1/(1+CHOOSE(F$3,(Z149+($K$3/10000))/2,(Z148+($K$3/10000))/2))^(2*Y148/365.25)</f>
        <v>0.263400590708529</v>
      </c>
      <c r="AB148" s="61" t="n">
        <f aca="false">IF(AND(mthbeg&lt;=A148,mthend&gt;=A148),1,0)</f>
        <v>1</v>
      </c>
      <c r="AC148" s="61" t="n">
        <f aca="false">W148*AB148</f>
        <v>31</v>
      </c>
      <c r="AD148" s="121" t="n">
        <f aca="false">$D148*E148</f>
        <v>9307717.48577564</v>
      </c>
      <c r="AE148" s="121" t="n">
        <f aca="false">$D148*F148</f>
        <v>0</v>
      </c>
      <c r="AF148" s="121" t="n">
        <f aca="false">$D148*G148</f>
        <v>9307717.48577564</v>
      </c>
      <c r="AG148" s="121" t="n">
        <f aca="false">$D148*H148</f>
        <v>0</v>
      </c>
      <c r="AH148" s="121" t="n">
        <f aca="false">$D148*I148</f>
        <v>0</v>
      </c>
      <c r="AI148" s="121" t="n">
        <f aca="false">$D148*J148</f>
        <v>0</v>
      </c>
      <c r="AJ148" s="121" t="n">
        <f aca="false">$D148*K148</f>
        <v>0</v>
      </c>
      <c r="AK148" s="121" t="n">
        <f aca="false">$D148*L148</f>
        <v>0</v>
      </c>
      <c r="AL148" s="121" t="n">
        <f aca="false">$D148*M148</f>
        <v>0</v>
      </c>
      <c r="AM148" s="139"/>
      <c r="AO148" s="75" t="e">
        <f aca="false">EURO(N148,O148,Z148,Z148,R148,U148,0,0)</f>
        <v>#NAME?</v>
      </c>
      <c r="AP148" s="138" t="e">
        <f aca="false">AO148*C148</f>
        <v>#NAME?</v>
      </c>
      <c r="AQ148" s="60" t="e">
        <f aca="false">-EURO(N148,O148,Z148,Z148,R148,U148,0,1)</f>
        <v>#NAME?</v>
      </c>
    </row>
    <row r="149" customFormat="false" ht="12.75" hidden="false" customHeight="false" outlineLevel="0" collapsed="false">
      <c r="A149" s="127" t="n">
        <f aca="false">EDATE(A148,1)</f>
        <v>44409</v>
      </c>
      <c r="B149" s="128" t="n">
        <f aca="false">B148</f>
        <v>205479</v>
      </c>
      <c r="C149" s="116" t="n">
        <f aca="false">IF(AB149=0,0,IF(AND(AB149=1,$H$3=1),B149*W149,IF($H$3=2,B149,"N/A")))</f>
        <v>6369849</v>
      </c>
      <c r="D149" s="116" t="n">
        <f aca="false">C149*AA149</f>
        <v>1668209.10300871</v>
      </c>
      <c r="E149" s="129" t="n">
        <f aca="false">VLOOKUP($A149,[1]!CurveTable,MATCH($E$4,[1]!CurveType,0))</f>
        <v>5.5825</v>
      </c>
      <c r="F149" s="130"/>
      <c r="G149" s="131" t="n">
        <f aca="false">E149</f>
        <v>5.5825</v>
      </c>
      <c r="H149" s="129" t="n">
        <f aca="false">VLOOKUP($A149,[1]!CurveTable,MATCH($H$4,[1]!CurveType,0))</f>
        <v>0</v>
      </c>
      <c r="I149" s="131"/>
      <c r="J149" s="131" t="n">
        <f aca="false">H149</f>
        <v>0</v>
      </c>
      <c r="K149" s="142"/>
      <c r="L149" s="142"/>
      <c r="M149" s="142"/>
      <c r="N149" s="131" t="n">
        <f aca="false">G149+J149+M149+$N$7</f>
        <v>5.2925</v>
      </c>
      <c r="O149" s="131" t="n">
        <f aca="false">O148</f>
        <v>3</v>
      </c>
      <c r="P149" s="131"/>
      <c r="Q149" s="141" t="n">
        <f aca="false">Q148</f>
        <v>0.17</v>
      </c>
      <c r="R149" s="129" t="n">
        <f aca="false">Q149+Summary!C$25</f>
        <v>0.17</v>
      </c>
      <c r="S149" s="129"/>
      <c r="T149" s="132" t="n">
        <f aca="false">X149</f>
        <v>44409</v>
      </c>
      <c r="U149" s="133" t="n">
        <f aca="false">T149-$C$3</f>
        <v>7404</v>
      </c>
      <c r="W149" s="61" t="n">
        <f aca="false">A150-A149</f>
        <v>31</v>
      </c>
      <c r="X149" s="135" t="n">
        <f aca="false">CHOOSE(F$3,A150+24,A149)</f>
        <v>44409</v>
      </c>
      <c r="Y149" s="61" t="n">
        <f aca="false">X149-C$3</f>
        <v>7404</v>
      </c>
      <c r="Z149" s="136" t="n">
        <f aca="false">VLOOKUP($A149,[1]!CurveTable,MATCH($Z$4,[1]!CurveType,0))</f>
        <v>0.0671997902587225</v>
      </c>
      <c r="AA149" s="137" t="n">
        <f aca="false">1/(1+CHOOSE(F$3,(Z150+($K$3/10000))/2,(Z149+($K$3/10000))/2))^(2*Y149/365.25)</f>
        <v>0.261891467601306</v>
      </c>
      <c r="AB149" s="61" t="n">
        <f aca="false">IF(AND(mthbeg&lt;=A149,mthend&gt;=A149),1,0)</f>
        <v>1</v>
      </c>
      <c r="AC149" s="61" t="n">
        <f aca="false">W149*AB149</f>
        <v>31</v>
      </c>
      <c r="AD149" s="121" t="n">
        <f aca="false">$D149*E149</f>
        <v>9312777.31754612</v>
      </c>
      <c r="AE149" s="121" t="n">
        <f aca="false">$D149*F149</f>
        <v>0</v>
      </c>
      <c r="AF149" s="121" t="n">
        <f aca="false">$D149*G149</f>
        <v>9312777.31754612</v>
      </c>
      <c r="AG149" s="121" t="n">
        <f aca="false">$D149*H149</f>
        <v>0</v>
      </c>
      <c r="AH149" s="121" t="n">
        <f aca="false">$D149*I149</f>
        <v>0</v>
      </c>
      <c r="AI149" s="121" t="n">
        <f aca="false">$D149*J149</f>
        <v>0</v>
      </c>
      <c r="AJ149" s="121" t="n">
        <f aca="false">$D149*K149</f>
        <v>0</v>
      </c>
      <c r="AK149" s="121" t="n">
        <f aca="false">$D149*L149</f>
        <v>0</v>
      </c>
      <c r="AL149" s="121" t="n">
        <f aca="false">$D149*M149</f>
        <v>0</v>
      </c>
      <c r="AM149" s="139"/>
      <c r="AO149" s="75" t="e">
        <f aca="false">EURO(N149,O149,Z149,Z149,R149,U149,0,0)</f>
        <v>#NAME?</v>
      </c>
      <c r="AP149" s="138" t="e">
        <f aca="false">AO149*C149</f>
        <v>#NAME?</v>
      </c>
      <c r="AQ149" s="60" t="e">
        <f aca="false">-EURO(N149,O149,Z149,Z149,R149,U149,0,1)</f>
        <v>#NAME?</v>
      </c>
    </row>
    <row r="150" customFormat="false" ht="12.75" hidden="false" customHeight="false" outlineLevel="0" collapsed="false">
      <c r="A150" s="127" t="n">
        <f aca="false">EDATE(A149,1)</f>
        <v>44440</v>
      </c>
      <c r="B150" s="128" t="n">
        <f aca="false">B149</f>
        <v>205479</v>
      </c>
      <c r="C150" s="116" t="n">
        <f aca="false">IF(AB150=0,0,IF(AND(AB150=1,$H$3=1),B150*W150,IF($H$3=2,B150,"N/A")))</f>
        <v>6164370</v>
      </c>
      <c r="D150" s="116" t="n">
        <f aca="false">C150*AA150</f>
        <v>1605144.57574753</v>
      </c>
      <c r="E150" s="129" t="n">
        <f aca="false">VLOOKUP($A150,[1]!CurveTable,MATCH($E$4,[1]!CurveType,0))</f>
        <v>5.5875</v>
      </c>
      <c r="F150" s="130"/>
      <c r="G150" s="131" t="n">
        <f aca="false">E150</f>
        <v>5.5875</v>
      </c>
      <c r="H150" s="129" t="n">
        <f aca="false">VLOOKUP($A150,[1]!CurveTable,MATCH($H$4,[1]!CurveType,0))</f>
        <v>0</v>
      </c>
      <c r="I150" s="131"/>
      <c r="J150" s="131" t="n">
        <f aca="false">H150</f>
        <v>0</v>
      </c>
      <c r="K150" s="142"/>
      <c r="L150" s="142"/>
      <c r="M150" s="142"/>
      <c r="N150" s="131" t="n">
        <f aca="false">G150+J150+M150+$N$7</f>
        <v>5.2975</v>
      </c>
      <c r="O150" s="131" t="n">
        <f aca="false">O149</f>
        <v>3</v>
      </c>
      <c r="P150" s="131"/>
      <c r="Q150" s="141" t="n">
        <f aca="false">Q149</f>
        <v>0.17</v>
      </c>
      <c r="R150" s="129" t="n">
        <f aca="false">Q150+Summary!C$25</f>
        <v>0.17</v>
      </c>
      <c r="S150" s="129"/>
      <c r="T150" s="132" t="n">
        <f aca="false">X150</f>
        <v>44440</v>
      </c>
      <c r="U150" s="133" t="n">
        <f aca="false">T150-$C$3</f>
        <v>7435</v>
      </c>
      <c r="W150" s="61" t="n">
        <f aca="false">A151-A150</f>
        <v>30</v>
      </c>
      <c r="X150" s="135" t="n">
        <f aca="false">CHOOSE(F$3,A151+24,A150)</f>
        <v>44440</v>
      </c>
      <c r="Y150" s="61" t="n">
        <f aca="false">X150-C$3</f>
        <v>7435</v>
      </c>
      <c r="Z150" s="136" t="n">
        <f aca="false">VLOOKUP($A150,[1]!CurveTable,MATCH($Z$4,[1]!CurveType,0))</f>
        <v>0.0672067595995123</v>
      </c>
      <c r="AA150" s="137" t="n">
        <f aca="false">1/(1+CHOOSE(F$3,(Z151+($K$3/10000))/2,(Z150+($K$3/10000))/2))^(2*Y150/365.25)</f>
        <v>0.260390692925234</v>
      </c>
      <c r="AB150" s="61" t="n">
        <f aca="false">IF(AND(mthbeg&lt;=A150,mthend&gt;=A150),1,0)</f>
        <v>1</v>
      </c>
      <c r="AC150" s="61" t="n">
        <f aca="false">W150*AB150</f>
        <v>30</v>
      </c>
      <c r="AD150" s="121" t="n">
        <f aca="false">$D150*E150</f>
        <v>8968745.3169893</v>
      </c>
      <c r="AE150" s="121" t="n">
        <f aca="false">$D150*F150</f>
        <v>0</v>
      </c>
      <c r="AF150" s="121" t="n">
        <f aca="false">$D150*G150</f>
        <v>8968745.3169893</v>
      </c>
      <c r="AG150" s="121" t="n">
        <f aca="false">$D150*H150</f>
        <v>0</v>
      </c>
      <c r="AH150" s="121" t="n">
        <f aca="false">$D150*I150</f>
        <v>0</v>
      </c>
      <c r="AI150" s="121" t="n">
        <f aca="false">$D150*J150</f>
        <v>0</v>
      </c>
      <c r="AJ150" s="121" t="n">
        <f aca="false">$D150*K150</f>
        <v>0</v>
      </c>
      <c r="AK150" s="121" t="n">
        <f aca="false">$D150*L150</f>
        <v>0</v>
      </c>
      <c r="AL150" s="121" t="n">
        <f aca="false">$D150*M150</f>
        <v>0</v>
      </c>
      <c r="AM150" s="139"/>
      <c r="AO150" s="75" t="e">
        <f aca="false">EURO(N150,O150,Z150,Z150,R150,U150,0,0)</f>
        <v>#NAME?</v>
      </c>
      <c r="AP150" s="138" t="e">
        <f aca="false">AO150*C150</f>
        <v>#NAME?</v>
      </c>
      <c r="AQ150" s="60" t="e">
        <f aca="false">-EURO(N150,O150,Z150,Z150,R150,U150,0,1)</f>
        <v>#NAME?</v>
      </c>
    </row>
    <row r="151" customFormat="false" ht="12.75" hidden="false" customHeight="false" outlineLevel="0" collapsed="false">
      <c r="A151" s="127" t="n">
        <f aca="false">EDATE(A150,1)</f>
        <v>44470</v>
      </c>
      <c r="B151" s="128" t="n">
        <f aca="false">B150</f>
        <v>205479</v>
      </c>
      <c r="C151" s="116" t="n">
        <f aca="false">IF(AB151=0,0,IF(AND(AB151=1,$H$3=1),B151*W151,IF($H$3=2,B151,"N/A")))</f>
        <v>6369849</v>
      </c>
      <c r="D151" s="116" t="n">
        <f aca="false">C151*AA151</f>
        <v>1649448.43083255</v>
      </c>
      <c r="E151" s="129" t="n">
        <f aca="false">VLOOKUP($A151,[1]!CurveTable,MATCH($E$4,[1]!CurveType,0))</f>
        <v>5.6175</v>
      </c>
      <c r="F151" s="130"/>
      <c r="G151" s="131" t="n">
        <f aca="false">E151</f>
        <v>5.6175</v>
      </c>
      <c r="H151" s="129" t="n">
        <f aca="false">VLOOKUP($A151,[1]!CurveTable,MATCH($H$4,[1]!CurveType,0))</f>
        <v>0</v>
      </c>
      <c r="I151" s="131"/>
      <c r="J151" s="131" t="n">
        <f aca="false">H151</f>
        <v>0</v>
      </c>
      <c r="K151" s="142"/>
      <c r="L151" s="142"/>
      <c r="M151" s="142"/>
      <c r="N151" s="131" t="n">
        <f aca="false">G151+J151+M151+$N$7</f>
        <v>5.3275</v>
      </c>
      <c r="O151" s="131" t="n">
        <f aca="false">O150</f>
        <v>3</v>
      </c>
      <c r="P151" s="131"/>
      <c r="Q151" s="141" t="n">
        <f aca="false">Q150</f>
        <v>0.17</v>
      </c>
      <c r="R151" s="129" t="n">
        <f aca="false">Q151+Summary!C$25</f>
        <v>0.17</v>
      </c>
      <c r="S151" s="129"/>
      <c r="T151" s="132" t="n">
        <f aca="false">X151</f>
        <v>44470</v>
      </c>
      <c r="U151" s="133" t="n">
        <f aca="false">T151-$C$3</f>
        <v>7465</v>
      </c>
      <c r="W151" s="61" t="n">
        <f aca="false">A152-A151</f>
        <v>31</v>
      </c>
      <c r="X151" s="135" t="n">
        <f aca="false">CHOOSE(F$3,A152+24,A151)</f>
        <v>44470</v>
      </c>
      <c r="Y151" s="61" t="n">
        <f aca="false">X151-C$3</f>
        <v>7465</v>
      </c>
      <c r="Z151" s="136" t="n">
        <f aca="false">VLOOKUP($A151,[1]!CurveTable,MATCH($Z$4,[1]!CurveType,0))</f>
        <v>0.0672135041228725</v>
      </c>
      <c r="AA151" s="137" t="n">
        <f aca="false">1/(1+CHOOSE(F$3,(Z152+($K$3/10000))/2,(Z151+($K$3/10000))/2))^(2*Y151/365.25)</f>
        <v>0.2589462373178</v>
      </c>
      <c r="AB151" s="61" t="n">
        <f aca="false">IF(AND(mthbeg&lt;=A151,mthend&gt;=A151),1,0)</f>
        <v>1</v>
      </c>
      <c r="AC151" s="61" t="n">
        <f aca="false">W151*AB151</f>
        <v>31</v>
      </c>
      <c r="AD151" s="121" t="n">
        <f aca="false">$D151*E151</f>
        <v>9265776.56020184</v>
      </c>
      <c r="AE151" s="121" t="n">
        <f aca="false">$D151*F151</f>
        <v>0</v>
      </c>
      <c r="AF151" s="121" t="n">
        <f aca="false">$D151*G151</f>
        <v>9265776.56020184</v>
      </c>
      <c r="AG151" s="121" t="n">
        <f aca="false">$D151*H151</f>
        <v>0</v>
      </c>
      <c r="AH151" s="121" t="n">
        <f aca="false">$D151*I151</f>
        <v>0</v>
      </c>
      <c r="AI151" s="121" t="n">
        <f aca="false">$D151*J151</f>
        <v>0</v>
      </c>
      <c r="AJ151" s="121" t="n">
        <f aca="false">$D151*K151</f>
        <v>0</v>
      </c>
      <c r="AK151" s="121" t="n">
        <f aca="false">$D151*L151</f>
        <v>0</v>
      </c>
      <c r="AL151" s="121" t="n">
        <f aca="false">$D151*M151</f>
        <v>0</v>
      </c>
      <c r="AO151" s="75" t="e">
        <f aca="false">EURO(N151,O151,Z151,Z151,R151,U151,0,0)</f>
        <v>#NAME?</v>
      </c>
      <c r="AP151" s="138" t="e">
        <f aca="false">AO151*C151</f>
        <v>#NAME?</v>
      </c>
      <c r="AQ151" s="60" t="e">
        <f aca="false">-EURO(N151,O151,Z151,Z151,R151,U151,0,1)</f>
        <v>#NAME?</v>
      </c>
    </row>
    <row r="152" customFormat="false" ht="12.75" hidden="false" customHeight="false" outlineLevel="0" collapsed="false">
      <c r="A152" s="127" t="n">
        <f aca="false">EDATE(A151,1)</f>
        <v>44501</v>
      </c>
      <c r="B152" s="128" t="n">
        <f aca="false">B151</f>
        <v>205479</v>
      </c>
      <c r="C152" s="116" t="n">
        <f aca="false">IF(AB152=0,0,IF(AND(AB152=1,$H$3=1),B152*W152,IF($H$3=2,B152,"N/A")))</f>
        <v>6164370</v>
      </c>
      <c r="D152" s="116" t="n">
        <f aca="false">C152*AA152</f>
        <v>1587089.55396751</v>
      </c>
      <c r="E152" s="129" t="n">
        <f aca="false">VLOOKUP($A152,[1]!CurveTable,MATCH($E$4,[1]!CurveType,0))</f>
        <v>5.7275</v>
      </c>
      <c r="F152" s="130"/>
      <c r="G152" s="131" t="n">
        <f aca="false">E152</f>
        <v>5.7275</v>
      </c>
      <c r="H152" s="129" t="n">
        <f aca="false">VLOOKUP($A152,[1]!CurveTable,MATCH($H$4,[1]!CurveType,0))</f>
        <v>0</v>
      </c>
      <c r="I152" s="131"/>
      <c r="J152" s="131" t="n">
        <f aca="false">H152</f>
        <v>0</v>
      </c>
      <c r="K152" s="142"/>
      <c r="L152" s="142"/>
      <c r="M152" s="142"/>
      <c r="N152" s="131" t="n">
        <f aca="false">G152+J152+M152+$N$7</f>
        <v>5.4375</v>
      </c>
      <c r="O152" s="131" t="n">
        <f aca="false">O151</f>
        <v>3</v>
      </c>
      <c r="P152" s="131"/>
      <c r="Q152" s="141" t="n">
        <f aca="false">Q151</f>
        <v>0.17</v>
      </c>
      <c r="R152" s="129" t="n">
        <f aca="false">Q152+Summary!C$25</f>
        <v>0.17</v>
      </c>
      <c r="S152" s="129"/>
      <c r="T152" s="132" t="n">
        <f aca="false">X152</f>
        <v>44501</v>
      </c>
      <c r="U152" s="133" t="n">
        <f aca="false">T152-$C$3</f>
        <v>7496</v>
      </c>
      <c r="W152" s="61" t="n">
        <f aca="false">A153-A152</f>
        <v>30</v>
      </c>
      <c r="X152" s="135" t="n">
        <f aca="false">CHOOSE(F$3,A153+24,A152)</f>
        <v>44501</v>
      </c>
      <c r="Y152" s="61" t="n">
        <f aca="false">X152-C$3</f>
        <v>7496</v>
      </c>
      <c r="Z152" s="136" t="n">
        <f aca="false">VLOOKUP($A152,[1]!CurveTable,MATCH($Z$4,[1]!CurveType,0))</f>
        <v>0.0672204734636948</v>
      </c>
      <c r="AA152" s="137" t="n">
        <f aca="false">1/(1+CHOOSE(F$3,(Z153+($K$3/10000))/2,(Z152+($K$3/10000))/2))^(2*Y152/365.25)</f>
        <v>0.257461760726158</v>
      </c>
      <c r="AB152" s="61" t="n">
        <f aca="false">IF(AND(mthbeg&lt;=A152,mthend&gt;=A152),1,0)</f>
        <v>1</v>
      </c>
      <c r="AC152" s="61" t="n">
        <f aca="false">W152*AB152</f>
        <v>30</v>
      </c>
      <c r="AD152" s="121" t="n">
        <f aca="false">$D152*E152</f>
        <v>9090055.42034889</v>
      </c>
      <c r="AE152" s="121" t="n">
        <f aca="false">$D152*F152</f>
        <v>0</v>
      </c>
      <c r="AF152" s="121" t="n">
        <f aca="false">$D152*G152</f>
        <v>9090055.42034889</v>
      </c>
      <c r="AG152" s="121" t="n">
        <f aca="false">$D152*H152</f>
        <v>0</v>
      </c>
      <c r="AH152" s="121" t="n">
        <f aca="false">$D152*I152</f>
        <v>0</v>
      </c>
      <c r="AI152" s="121" t="n">
        <f aca="false">$D152*J152</f>
        <v>0</v>
      </c>
      <c r="AJ152" s="121" t="n">
        <f aca="false">$D152*K152</f>
        <v>0</v>
      </c>
      <c r="AK152" s="121" t="n">
        <f aca="false">$D152*L152</f>
        <v>0</v>
      </c>
      <c r="AL152" s="121" t="n">
        <f aca="false">$D152*M152</f>
        <v>0</v>
      </c>
      <c r="AO152" s="75" t="e">
        <f aca="false">EURO(N152,O152,Z152,Z152,R152,U152,0,0)</f>
        <v>#NAME?</v>
      </c>
      <c r="AP152" s="138" t="e">
        <f aca="false">AO152*C152</f>
        <v>#NAME?</v>
      </c>
      <c r="AQ152" s="60" t="e">
        <f aca="false">-EURO(N152,O152,Z152,Z152,R152,U152,0,1)</f>
        <v>#NAME?</v>
      </c>
    </row>
    <row r="153" customFormat="false" ht="12.75" hidden="false" customHeight="false" outlineLevel="0" collapsed="false">
      <c r="A153" s="127" t="n">
        <f aca="false">EDATE(A152,1)</f>
        <v>44531</v>
      </c>
      <c r="B153" s="128" t="n">
        <f aca="false">B152</f>
        <v>205479</v>
      </c>
      <c r="C153" s="116" t="n">
        <f aca="false">IF(AB153=0,0,IF(AND(AB153=1,$H$3=1),B153*W153,IF($H$3=2,B153,"N/A")))</f>
        <v>6369849</v>
      </c>
      <c r="D153" s="116" t="n">
        <f aca="false">C153*AA153</f>
        <v>1630891.51632387</v>
      </c>
      <c r="E153" s="129" t="n">
        <f aca="false">VLOOKUP($A153,[1]!CurveTable,MATCH($E$4,[1]!CurveType,0))</f>
        <v>5.8475</v>
      </c>
      <c r="F153" s="130"/>
      <c r="G153" s="131" t="n">
        <f aca="false">E153</f>
        <v>5.8475</v>
      </c>
      <c r="H153" s="129" t="n">
        <f aca="false">VLOOKUP($A153,[1]!CurveTable,MATCH($H$4,[1]!CurveType,0))</f>
        <v>0</v>
      </c>
      <c r="I153" s="131"/>
      <c r="J153" s="131" t="n">
        <f aca="false">H153</f>
        <v>0</v>
      </c>
      <c r="K153" s="142"/>
      <c r="L153" s="142"/>
      <c r="M153" s="142"/>
      <c r="N153" s="131" t="n">
        <f aca="false">G153+J153+M153+$N$7</f>
        <v>5.5575</v>
      </c>
      <c r="O153" s="131" t="n">
        <f aca="false">O152</f>
        <v>3</v>
      </c>
      <c r="P153" s="131"/>
      <c r="Q153" s="141" t="n">
        <f aca="false">Q152</f>
        <v>0.17</v>
      </c>
      <c r="R153" s="129" t="n">
        <f aca="false">Q153+Summary!C$25</f>
        <v>0.17</v>
      </c>
      <c r="S153" s="129"/>
      <c r="T153" s="132" t="n">
        <f aca="false">X153</f>
        <v>44531</v>
      </c>
      <c r="U153" s="133" t="n">
        <f aca="false">T153-$C$3</f>
        <v>7526</v>
      </c>
      <c r="W153" s="61" t="n">
        <f aca="false">A154-A153</f>
        <v>31</v>
      </c>
      <c r="X153" s="135" t="n">
        <f aca="false">CHOOSE(F$3,A154+24,A153)</f>
        <v>44531</v>
      </c>
      <c r="Y153" s="61" t="n">
        <f aca="false">X153-C$3</f>
        <v>7526</v>
      </c>
      <c r="Z153" s="136" t="n">
        <f aca="false">VLOOKUP($A153,[1]!CurveTable,MATCH($Z$4,[1]!CurveType,0))</f>
        <v>0.0672272179870856</v>
      </c>
      <c r="AA153" s="137" t="n">
        <f aca="false">1/(1+CHOOSE(F$3,(Z154+($K$3/10000))/2,(Z153+($K$3/10000))/2))^(2*Y153/365.25)</f>
        <v>0.256032994867518</v>
      </c>
      <c r="AB153" s="61" t="n">
        <f aca="false">IF(AND(mthbeg&lt;=A153,mthend&gt;=A153),1,0)</f>
        <v>1</v>
      </c>
      <c r="AC153" s="61" t="n">
        <f aca="false">W153*AB153</f>
        <v>31</v>
      </c>
      <c r="AD153" s="121" t="n">
        <f aca="false">$D153*E153</f>
        <v>9536638.1417038</v>
      </c>
      <c r="AE153" s="121" t="n">
        <f aca="false">$D153*F153</f>
        <v>0</v>
      </c>
      <c r="AF153" s="121" t="n">
        <f aca="false">$D153*G153</f>
        <v>9536638.1417038</v>
      </c>
      <c r="AG153" s="121" t="n">
        <f aca="false">$D153*H153</f>
        <v>0</v>
      </c>
      <c r="AH153" s="121" t="n">
        <f aca="false">$D153*I153</f>
        <v>0</v>
      </c>
      <c r="AI153" s="121" t="n">
        <f aca="false">$D153*J153</f>
        <v>0</v>
      </c>
      <c r="AJ153" s="121" t="n">
        <f aca="false">$D153*K153</f>
        <v>0</v>
      </c>
      <c r="AK153" s="121" t="n">
        <f aca="false">$D153*L153</f>
        <v>0</v>
      </c>
      <c r="AL153" s="121" t="n">
        <f aca="false">$D153*M153</f>
        <v>0</v>
      </c>
      <c r="AO153" s="75" t="e">
        <f aca="false">EURO(N153,O153,Z153,Z153,R153,U153,0,0)</f>
        <v>#NAME?</v>
      </c>
      <c r="AP153" s="138" t="e">
        <f aca="false">AO153*C153</f>
        <v>#NAME?</v>
      </c>
      <c r="AQ153" s="60" t="e">
        <f aca="false">-EURO(N153,O153,Z153,Z153,R153,U153,0,1)</f>
        <v>#NAME?</v>
      </c>
    </row>
    <row r="154" customFormat="false" ht="12.75" hidden="false" customHeight="false" outlineLevel="0" collapsed="false">
      <c r="A154" s="127" t="n">
        <f aca="false">EDATE(A153,1)</f>
        <v>44562</v>
      </c>
      <c r="B154" s="128" t="n">
        <f aca="false">B153</f>
        <v>205479</v>
      </c>
      <c r="C154" s="116" t="n">
        <f aca="false">IF(AB154=0,0,IF(AND(AB154=1,$H$3=1),B154*W154,IF($H$3=2,B154,"N/A")))</f>
        <v>6369849</v>
      </c>
      <c r="D154" s="116" t="n">
        <f aca="false">C154*AA154</f>
        <v>1621538.35640974</v>
      </c>
      <c r="E154" s="129" t="n">
        <f aca="false">VLOOKUP($A154,[1]!CurveTable,MATCH($E$4,[1]!CurveType,0))</f>
        <v>5.9375</v>
      </c>
      <c r="F154" s="130"/>
      <c r="G154" s="131" t="n">
        <f aca="false">E154</f>
        <v>5.9375</v>
      </c>
      <c r="H154" s="129" t="n">
        <f aca="false">VLOOKUP($A154,[1]!CurveTable,MATCH($H$4,[1]!CurveType,0))</f>
        <v>0</v>
      </c>
      <c r="I154" s="131"/>
      <c r="J154" s="131" t="n">
        <f aca="false">H154</f>
        <v>0</v>
      </c>
      <c r="K154" s="142"/>
      <c r="L154" s="142"/>
      <c r="M154" s="142"/>
      <c r="N154" s="131" t="n">
        <f aca="false">G154+J154+M154+$N$7</f>
        <v>5.6475</v>
      </c>
      <c r="O154" s="131" t="n">
        <f aca="false">O153</f>
        <v>3</v>
      </c>
      <c r="P154" s="131"/>
      <c r="Q154" s="141" t="n">
        <f aca="false">Q153</f>
        <v>0.17</v>
      </c>
      <c r="R154" s="129" t="n">
        <f aca="false">Q154+Summary!C$25</f>
        <v>0.17</v>
      </c>
      <c r="S154" s="129"/>
      <c r="T154" s="132" t="n">
        <f aca="false">X154</f>
        <v>44562</v>
      </c>
      <c r="U154" s="133" t="n">
        <f aca="false">T154-$C$3</f>
        <v>7557</v>
      </c>
      <c r="W154" s="61" t="n">
        <f aca="false">A155-A154</f>
        <v>31</v>
      </c>
      <c r="X154" s="135" t="n">
        <f aca="false">CHOOSE(F$3,A155+24,A154)</f>
        <v>44562</v>
      </c>
      <c r="Y154" s="61" t="n">
        <f aca="false">X154-C$3</f>
        <v>7557</v>
      </c>
      <c r="Z154" s="136" t="n">
        <f aca="false">VLOOKUP($A154,[1]!CurveTable,MATCH($Z$4,[1]!CurveType,0))</f>
        <v>0.0672341873279385</v>
      </c>
      <c r="AA154" s="137" t="n">
        <f aca="false">1/(1+CHOOSE(F$3,(Z155+($K$3/10000))/2,(Z154+($K$3/10000))/2))^(2*Y154/365.25)</f>
        <v>0.254564646102245</v>
      </c>
      <c r="AB154" s="61" t="n">
        <f aca="false">IF(AND(mthbeg&lt;=A154,mthend&gt;=A154),1,0)</f>
        <v>1</v>
      </c>
      <c r="AC154" s="61" t="n">
        <f aca="false">W154*AB154</f>
        <v>31</v>
      </c>
      <c r="AD154" s="121" t="n">
        <f aca="false">$D154*E154</f>
        <v>9627883.99118284</v>
      </c>
      <c r="AE154" s="121" t="n">
        <f aca="false">$D154*F154</f>
        <v>0</v>
      </c>
      <c r="AF154" s="121" t="n">
        <f aca="false">$D154*G154</f>
        <v>9627883.99118284</v>
      </c>
      <c r="AG154" s="121" t="n">
        <f aca="false">$D154*H154</f>
        <v>0</v>
      </c>
      <c r="AH154" s="121" t="n">
        <f aca="false">$D154*I154</f>
        <v>0</v>
      </c>
      <c r="AI154" s="121" t="n">
        <f aca="false">$D154*J154</f>
        <v>0</v>
      </c>
      <c r="AJ154" s="121" t="n">
        <f aca="false">$D154*K154</f>
        <v>0</v>
      </c>
      <c r="AK154" s="121" t="n">
        <f aca="false">$D154*L154</f>
        <v>0</v>
      </c>
      <c r="AL154" s="121" t="n">
        <f aca="false">$D154*M154</f>
        <v>0</v>
      </c>
      <c r="AO154" s="75" t="e">
        <f aca="false">EURO(N154,O154,Z154,Z154,R154,U154,0,0)</f>
        <v>#NAME?</v>
      </c>
      <c r="AP154" s="138" t="e">
        <f aca="false">AO154*C154</f>
        <v>#NAME?</v>
      </c>
      <c r="AQ154" s="60" t="e">
        <f aca="false">-EURO(N154,O154,Z154,Z154,R154,U154,0,1)</f>
        <v>#NAME?</v>
      </c>
    </row>
    <row r="155" customFormat="false" ht="12.75" hidden="false" customHeight="false" outlineLevel="0" collapsed="false">
      <c r="A155" s="127" t="n">
        <f aca="false">EDATE(A154,1)</f>
        <v>44593</v>
      </c>
      <c r="B155" s="128" t="n">
        <f aca="false">B154</f>
        <v>205479</v>
      </c>
      <c r="C155" s="116" t="n">
        <f aca="false">IF(AB155=0,0,IF(AND(AB155=1,$H$3=1),B155*W155,IF($H$3=2,B155,"N/A")))</f>
        <v>5753412</v>
      </c>
      <c r="D155" s="116" t="n">
        <f aca="false">C155*AA155</f>
        <v>1456214.05758583</v>
      </c>
      <c r="E155" s="129" t="n">
        <f aca="false">VLOOKUP($A155,[1]!CurveTable,MATCH($E$4,[1]!CurveType,0))</f>
        <v>5.8175</v>
      </c>
      <c r="F155" s="130"/>
      <c r="G155" s="131" t="n">
        <f aca="false">E155</f>
        <v>5.8175</v>
      </c>
      <c r="H155" s="129" t="n">
        <f aca="false">VLOOKUP($A155,[1]!CurveTable,MATCH($H$4,[1]!CurveType,0))</f>
        <v>0</v>
      </c>
      <c r="I155" s="131"/>
      <c r="J155" s="131" t="n">
        <f aca="false">H155</f>
        <v>0</v>
      </c>
      <c r="K155" s="142"/>
      <c r="L155" s="142"/>
      <c r="M155" s="142"/>
      <c r="N155" s="131" t="n">
        <f aca="false">G155+J155+M155+$N$7</f>
        <v>5.5275</v>
      </c>
      <c r="O155" s="131" t="n">
        <f aca="false">O154</f>
        <v>3</v>
      </c>
      <c r="P155" s="131"/>
      <c r="Q155" s="141" t="n">
        <f aca="false">Q154</f>
        <v>0.17</v>
      </c>
      <c r="R155" s="129" t="n">
        <f aca="false">Q155+Summary!C$25</f>
        <v>0.17</v>
      </c>
      <c r="S155" s="129"/>
      <c r="T155" s="132" t="n">
        <f aca="false">X155</f>
        <v>44593</v>
      </c>
      <c r="U155" s="133" t="n">
        <f aca="false">T155-$C$3</f>
        <v>7588</v>
      </c>
      <c r="W155" s="61" t="n">
        <f aca="false">A156-A155</f>
        <v>28</v>
      </c>
      <c r="X155" s="135" t="n">
        <f aca="false">CHOOSE(F$3,A156+24,A155)</f>
        <v>44593</v>
      </c>
      <c r="Y155" s="61" t="n">
        <f aca="false">X155-C$3</f>
        <v>7588</v>
      </c>
      <c r="Z155" s="136" t="n">
        <f aca="false">VLOOKUP($A155,[1]!CurveTable,MATCH($Z$4,[1]!CurveType,0))</f>
        <v>0.0672411566688083</v>
      </c>
      <c r="AA155" s="137" t="n">
        <f aca="false">1/(1+CHOOSE(F$3,(Z156+($K$3/10000))/2,(Z155+($K$3/10000))/2))^(2*Y155/365.25)</f>
        <v>0.253104428743472</v>
      </c>
      <c r="AB155" s="61" t="n">
        <f aca="false">IF(AND(mthbeg&lt;=A155,mthend&gt;=A155),1,0)</f>
        <v>1</v>
      </c>
      <c r="AC155" s="61" t="n">
        <f aca="false">W155*AB155</f>
        <v>28</v>
      </c>
      <c r="AD155" s="121" t="n">
        <f aca="false">$D155*E155</f>
        <v>8471525.28000559</v>
      </c>
      <c r="AE155" s="121" t="n">
        <f aca="false">$D155*F155</f>
        <v>0</v>
      </c>
      <c r="AF155" s="121" t="n">
        <f aca="false">$D155*G155</f>
        <v>8471525.28000559</v>
      </c>
      <c r="AG155" s="121" t="n">
        <f aca="false">$D155*H155</f>
        <v>0</v>
      </c>
      <c r="AH155" s="121" t="n">
        <f aca="false">$D155*I155</f>
        <v>0</v>
      </c>
      <c r="AI155" s="121" t="n">
        <f aca="false">$D155*J155</f>
        <v>0</v>
      </c>
      <c r="AJ155" s="121" t="n">
        <f aca="false">$D155*K155</f>
        <v>0</v>
      </c>
      <c r="AK155" s="121" t="n">
        <f aca="false">$D155*L155</f>
        <v>0</v>
      </c>
      <c r="AL155" s="121" t="n">
        <f aca="false">$D155*M155</f>
        <v>0</v>
      </c>
      <c r="AO155" s="75" t="e">
        <f aca="false">EURO(N155,O155,Z155,Z155,R155,U155,0,0)</f>
        <v>#NAME?</v>
      </c>
      <c r="AP155" s="138" t="e">
        <f aca="false">AO155*C155</f>
        <v>#NAME?</v>
      </c>
      <c r="AQ155" s="60" t="e">
        <f aca="false">-EURO(N155,O155,Z155,Z155,R155,U155,0,1)</f>
        <v>#NAME?</v>
      </c>
    </row>
    <row r="156" customFormat="false" ht="12.75" hidden="false" customHeight="false" outlineLevel="0" collapsed="false">
      <c r="A156" s="127" t="n">
        <f aca="false">EDATE(A155,1)</f>
        <v>44621</v>
      </c>
      <c r="B156" s="128" t="n">
        <f aca="false">B155</f>
        <v>205479</v>
      </c>
      <c r="C156" s="116" t="n">
        <f aca="false">IF(AB156=0,0,IF(AND(AB156=1,$H$3=1),B156*W156,IF($H$3=2,B156,"N/A")))</f>
        <v>6369849</v>
      </c>
      <c r="D156" s="116" t="n">
        <f aca="false">C156*AA156</f>
        <v>1603880.05037356</v>
      </c>
      <c r="E156" s="129" t="n">
        <f aca="false">VLOOKUP($A156,[1]!CurveTable,MATCH($E$4,[1]!CurveType,0))</f>
        <v>5.6785</v>
      </c>
      <c r="F156" s="130"/>
      <c r="G156" s="131" t="n">
        <f aca="false">E156</f>
        <v>5.6785</v>
      </c>
      <c r="H156" s="129" t="n">
        <f aca="false">H155</f>
        <v>0</v>
      </c>
      <c r="I156" s="131"/>
      <c r="J156" s="131" t="n">
        <f aca="false">H156</f>
        <v>0</v>
      </c>
      <c r="K156" s="142"/>
      <c r="L156" s="142"/>
      <c r="M156" s="142"/>
      <c r="N156" s="131" t="n">
        <f aca="false">G156+J156+M156+$N$7</f>
        <v>5.3885</v>
      </c>
      <c r="O156" s="131" t="n">
        <f aca="false">O155</f>
        <v>3</v>
      </c>
      <c r="P156" s="131"/>
      <c r="Q156" s="141" t="n">
        <f aca="false">Q155</f>
        <v>0.17</v>
      </c>
      <c r="R156" s="129" t="n">
        <f aca="false">Q156+Summary!C$25</f>
        <v>0.17</v>
      </c>
      <c r="S156" s="129"/>
      <c r="T156" s="132" t="n">
        <f aca="false">X156</f>
        <v>44621</v>
      </c>
      <c r="U156" s="133" t="n">
        <f aca="false">T156-$C$3</f>
        <v>7616</v>
      </c>
      <c r="W156" s="61" t="n">
        <f aca="false">A157-A156</f>
        <v>31</v>
      </c>
      <c r="X156" s="135" t="n">
        <f aca="false">CHOOSE(F$3,A157+24,A156)</f>
        <v>44621</v>
      </c>
      <c r="Y156" s="61" t="n">
        <f aca="false">X156-C$3</f>
        <v>7616</v>
      </c>
      <c r="Z156" s="136" t="n">
        <f aca="false">VLOOKUP($A156,[1]!CurveTable,MATCH($Z$4,[1]!CurveType,0))</f>
        <v>0.0672474515573494</v>
      </c>
      <c r="AA156" s="137" t="n">
        <f aca="false">1/(1+CHOOSE(F$3,(Z157+($K$3/10000))/2,(Z156+($K$3/10000))/2))^(2*Y156/365.25)</f>
        <v>0.251792475830049</v>
      </c>
      <c r="AB156" s="61" t="n">
        <f aca="false">IF(AND(mthbeg&lt;=A156,mthend&gt;=A156),1,0)</f>
        <v>1</v>
      </c>
      <c r="AC156" s="61" t="n">
        <f aca="false">W156*AB156</f>
        <v>31</v>
      </c>
      <c r="AD156" s="121" t="n">
        <f aca="false">$D156*E156</f>
        <v>9107632.86604628</v>
      </c>
      <c r="AE156" s="121" t="n">
        <f aca="false">$D156*F156</f>
        <v>0</v>
      </c>
      <c r="AF156" s="121" t="n">
        <f aca="false">$D156*G156</f>
        <v>9107632.86604628</v>
      </c>
      <c r="AG156" s="121" t="n">
        <f aca="false">$D156*H156</f>
        <v>0</v>
      </c>
      <c r="AH156" s="121" t="n">
        <f aca="false">$D156*I156</f>
        <v>0</v>
      </c>
      <c r="AI156" s="121" t="n">
        <f aca="false">$D156*J156</f>
        <v>0</v>
      </c>
      <c r="AJ156" s="121" t="n">
        <f aca="false">$D156*K156</f>
        <v>0</v>
      </c>
      <c r="AK156" s="121" t="n">
        <f aca="false">$D156*L156</f>
        <v>0</v>
      </c>
      <c r="AL156" s="121" t="n">
        <f aca="false">$D156*M156</f>
        <v>0</v>
      </c>
      <c r="AO156" s="75" t="e">
        <f aca="false">EURO(N156,O156,Z156,Z156,R156,U156,0,0)</f>
        <v>#NAME?</v>
      </c>
      <c r="AP156" s="138" t="e">
        <f aca="false">AO156*C156</f>
        <v>#NAME?</v>
      </c>
      <c r="AQ156" s="60" t="e">
        <f aca="false">-EURO(N156,O156,Z156,Z156,R156,U156,0,1)</f>
        <v>#NAME?</v>
      </c>
    </row>
    <row r="157" customFormat="false" ht="12.75" hidden="false" customHeight="false" outlineLevel="0" collapsed="false">
      <c r="A157" s="127" t="n">
        <f aca="false">EDATE(A156,1)</f>
        <v>44652</v>
      </c>
      <c r="B157" s="128" t="n">
        <f aca="false">B156</f>
        <v>205479</v>
      </c>
      <c r="C157" s="116" t="n">
        <f aca="false">IF(AB157=0,0,IF(AND(AB157=1,$H$3=1),B157*W157,IF($H$3=2,B157,"N/A")))</f>
        <v>6164370</v>
      </c>
      <c r="D157" s="116" t="n">
        <f aca="false">C157*AA157</f>
        <v>1543235.32688359</v>
      </c>
      <c r="E157" s="129" t="n">
        <f aca="false">VLOOKUP($A157,[1]!CurveTable,MATCH($E$4,[1]!CurveType,0))</f>
        <v>5.5085</v>
      </c>
      <c r="F157" s="130"/>
      <c r="G157" s="131" t="n">
        <f aca="false">E157</f>
        <v>5.5085</v>
      </c>
      <c r="H157" s="129" t="n">
        <f aca="false">H156</f>
        <v>0</v>
      </c>
      <c r="I157" s="131"/>
      <c r="J157" s="131" t="n">
        <f aca="false">H157</f>
        <v>0</v>
      </c>
      <c r="K157" s="142"/>
      <c r="L157" s="142"/>
      <c r="M157" s="142"/>
      <c r="N157" s="131" t="n">
        <f aca="false">G157+J157+M157+$N$7</f>
        <v>5.2185</v>
      </c>
      <c r="O157" s="131" t="n">
        <f aca="false">O156</f>
        <v>3</v>
      </c>
      <c r="P157" s="131"/>
      <c r="Q157" s="141" t="n">
        <f aca="false">Q156</f>
        <v>0.17</v>
      </c>
      <c r="R157" s="129" t="n">
        <f aca="false">Q157+Summary!C$25</f>
        <v>0.17</v>
      </c>
      <c r="S157" s="129"/>
      <c r="T157" s="132" t="n">
        <f aca="false">X157</f>
        <v>44652</v>
      </c>
      <c r="U157" s="133" t="n">
        <f aca="false">T157-$C$3</f>
        <v>7647</v>
      </c>
      <c r="W157" s="61" t="n">
        <f aca="false">A158-A157</f>
        <v>30</v>
      </c>
      <c r="X157" s="135" t="n">
        <f aca="false">CHOOSE(F$3,A158+24,A157)</f>
        <v>44652</v>
      </c>
      <c r="Y157" s="61" t="n">
        <f aca="false">X157-C$3</f>
        <v>7647</v>
      </c>
      <c r="Z157" s="136" t="n">
        <f aca="false">VLOOKUP($A157,[1]!CurveTable,MATCH($Z$4,[1]!CurveType,0))</f>
        <v>0.0672544208982493</v>
      </c>
      <c r="AA157" s="137" t="n">
        <f aca="false">1/(1+CHOOSE(F$3,(Z158+($K$3/10000))/2,(Z157+($K$3/10000))/2))^(2*Y157/365.25)</f>
        <v>0.250347614903646</v>
      </c>
      <c r="AB157" s="61" t="n">
        <f aca="false">IF(AND(mthbeg&lt;=A157,mthend&gt;=A157),1,0)</f>
        <v>1</v>
      </c>
      <c r="AC157" s="61" t="n">
        <f aca="false">W157*AB157</f>
        <v>30</v>
      </c>
      <c r="AD157" s="121" t="n">
        <f aca="false">$D157*E157</f>
        <v>8500911.79813826</v>
      </c>
      <c r="AE157" s="121" t="n">
        <f aca="false">$D157*F157</f>
        <v>0</v>
      </c>
      <c r="AF157" s="121" t="n">
        <f aca="false">$D157*G157</f>
        <v>8500911.79813826</v>
      </c>
      <c r="AG157" s="121" t="n">
        <f aca="false">$D157*H157</f>
        <v>0</v>
      </c>
      <c r="AH157" s="121" t="n">
        <f aca="false">$D157*I157</f>
        <v>0</v>
      </c>
      <c r="AI157" s="121" t="n">
        <f aca="false">$D157*J157</f>
        <v>0</v>
      </c>
      <c r="AJ157" s="121" t="n">
        <f aca="false">$D157*K157</f>
        <v>0</v>
      </c>
      <c r="AK157" s="121" t="n">
        <f aca="false">$D157*L157</f>
        <v>0</v>
      </c>
      <c r="AL157" s="121" t="n">
        <f aca="false">$D157*M157</f>
        <v>0</v>
      </c>
      <c r="AO157" s="75" t="e">
        <f aca="false">EURO(N157,O157,Z157,Z157,R157,U157,0,0)</f>
        <v>#NAME?</v>
      </c>
      <c r="AP157" s="138" t="e">
        <f aca="false">AO157*C157</f>
        <v>#NAME?</v>
      </c>
      <c r="AQ157" s="60" t="e">
        <f aca="false">-EURO(N157,O157,Z157,Z157,R157,U157,0,1)</f>
        <v>#NAME?</v>
      </c>
    </row>
    <row r="158" customFormat="false" ht="12.75" hidden="false" customHeight="false" outlineLevel="0" collapsed="false">
      <c r="A158" s="127" t="n">
        <f aca="false">EDATE(A157,1)</f>
        <v>44682</v>
      </c>
      <c r="B158" s="128" t="n">
        <f aca="false">B157</f>
        <v>205479</v>
      </c>
      <c r="C158" s="116" t="n">
        <f aca="false">IF(AB158=0,0,IF(AND(AB158=1,$H$3=1),B158*W158,IF($H$3=2,B158,"N/A")))</f>
        <v>6369849</v>
      </c>
      <c r="D158" s="116" t="n">
        <f aca="false">C158*AA158</f>
        <v>1585818.40751359</v>
      </c>
      <c r="E158" s="129" t="n">
        <f aca="false">VLOOKUP($A158,[1]!CurveTable,MATCH($E$4,[1]!CurveType,0))</f>
        <v>5.5675</v>
      </c>
      <c r="F158" s="130"/>
      <c r="G158" s="131" t="n">
        <f aca="false">E158</f>
        <v>5.5675</v>
      </c>
      <c r="H158" s="129" t="n">
        <f aca="false">H157</f>
        <v>0</v>
      </c>
      <c r="I158" s="131"/>
      <c r="J158" s="131" t="n">
        <f aca="false">H158</f>
        <v>0</v>
      </c>
      <c r="K158" s="142"/>
      <c r="L158" s="142"/>
      <c r="M158" s="142"/>
      <c r="N158" s="131" t="n">
        <f aca="false">G158+J158+M158+$N$7</f>
        <v>5.2775</v>
      </c>
      <c r="O158" s="131" t="n">
        <f aca="false">O157</f>
        <v>3</v>
      </c>
      <c r="P158" s="131"/>
      <c r="Q158" s="141" t="n">
        <f aca="false">Q157</f>
        <v>0.17</v>
      </c>
      <c r="R158" s="129" t="n">
        <f aca="false">Q158+Summary!C$25</f>
        <v>0.17</v>
      </c>
      <c r="S158" s="129"/>
      <c r="T158" s="132" t="n">
        <f aca="false">X158</f>
        <v>44682</v>
      </c>
      <c r="U158" s="133" t="n">
        <f aca="false">T158-$C$3</f>
        <v>7677</v>
      </c>
      <c r="W158" s="61" t="n">
        <f aca="false">A159-A158</f>
        <v>31</v>
      </c>
      <c r="X158" s="135" t="n">
        <f aca="false">CHOOSE(F$3,A159+24,A158)</f>
        <v>44682</v>
      </c>
      <c r="Y158" s="61" t="n">
        <f aca="false">X158-C$3</f>
        <v>7677</v>
      </c>
      <c r="Z158" s="136" t="n">
        <f aca="false">VLOOKUP($A158,[1]!CurveTable,MATCH($Z$4,[1]!CurveType,0))</f>
        <v>0.0672611654217161</v>
      </c>
      <c r="AA158" s="137" t="n">
        <f aca="false">1/(1+CHOOSE(F$3,(Z159+($K$3/10000))/2,(Z158+($K$3/10000))/2))^(2*Y158/365.25)</f>
        <v>0.248956985874169</v>
      </c>
      <c r="AB158" s="61" t="n">
        <f aca="false">IF(AND(mthbeg&lt;=A158,mthend&gt;=A158),1,0)</f>
        <v>1</v>
      </c>
      <c r="AC158" s="61" t="n">
        <f aca="false">W158*AB158</f>
        <v>31</v>
      </c>
      <c r="AD158" s="121" t="n">
        <f aca="false">$D158*E158</f>
        <v>8829043.98383191</v>
      </c>
      <c r="AE158" s="121" t="n">
        <f aca="false">$D158*F158</f>
        <v>0</v>
      </c>
      <c r="AF158" s="121" t="n">
        <f aca="false">$D158*G158</f>
        <v>8829043.98383191</v>
      </c>
      <c r="AG158" s="121" t="n">
        <f aca="false">$D158*H158</f>
        <v>0</v>
      </c>
      <c r="AH158" s="121" t="n">
        <f aca="false">$D158*I158</f>
        <v>0</v>
      </c>
      <c r="AI158" s="121" t="n">
        <f aca="false">$D158*J158</f>
        <v>0</v>
      </c>
      <c r="AJ158" s="121" t="n">
        <f aca="false">$D158*K158</f>
        <v>0</v>
      </c>
      <c r="AK158" s="121" t="n">
        <f aca="false">$D158*L158</f>
        <v>0</v>
      </c>
      <c r="AL158" s="121" t="n">
        <f aca="false">$D158*M158</f>
        <v>0</v>
      </c>
      <c r="AO158" s="75" t="e">
        <f aca="false">EURO(N158,O158,Z158,Z158,R158,U158,0,0)</f>
        <v>#NAME?</v>
      </c>
      <c r="AP158" s="138" t="e">
        <f aca="false">AO158*C158</f>
        <v>#NAME?</v>
      </c>
      <c r="AQ158" s="60" t="e">
        <f aca="false">-EURO(N158,O158,Z158,Z158,R158,U158,0,1)</f>
        <v>#NAME?</v>
      </c>
    </row>
    <row r="159" customFormat="false" ht="12.75" hidden="false" customHeight="false" outlineLevel="0" collapsed="false">
      <c r="A159" s="127" t="n">
        <f aca="false">EDATE(A158,1)</f>
        <v>44713</v>
      </c>
      <c r="B159" s="128" t="n">
        <f aca="false">B158</f>
        <v>205479</v>
      </c>
      <c r="C159" s="116" t="n">
        <f aca="false">IF(AB159=0,0,IF(AND(AB159=1,$H$3=1),B159*W159,IF($H$3=2,B159,"N/A")))</f>
        <v>6164370</v>
      </c>
      <c r="D159" s="116" t="n">
        <f aca="false">C159*AA159</f>
        <v>1525853.18245582</v>
      </c>
      <c r="E159" s="129" t="n">
        <f aca="false">VLOOKUP($A159,[1]!CurveTable,MATCH($E$4,[1]!CurveType,0))</f>
        <v>5.6075</v>
      </c>
      <c r="F159" s="130"/>
      <c r="G159" s="131" t="n">
        <f aca="false">E159</f>
        <v>5.6075</v>
      </c>
      <c r="H159" s="129" t="n">
        <f aca="false">H158</f>
        <v>0</v>
      </c>
      <c r="I159" s="131"/>
      <c r="J159" s="131" t="n">
        <f aca="false">H159</f>
        <v>0</v>
      </c>
      <c r="K159" s="142"/>
      <c r="L159" s="142"/>
      <c r="M159" s="142"/>
      <c r="N159" s="131" t="n">
        <f aca="false">G159+J159+M159+$N$7</f>
        <v>5.3175</v>
      </c>
      <c r="O159" s="131" t="n">
        <f aca="false">O158</f>
        <v>3</v>
      </c>
      <c r="P159" s="131"/>
      <c r="Q159" s="141" t="n">
        <f aca="false">Q158</f>
        <v>0.17</v>
      </c>
      <c r="R159" s="129" t="n">
        <f aca="false">Q159+Summary!C$25</f>
        <v>0.17</v>
      </c>
      <c r="S159" s="129"/>
      <c r="T159" s="132" t="n">
        <f aca="false">X159</f>
        <v>44713</v>
      </c>
      <c r="U159" s="133" t="n">
        <f aca="false">T159-$C$3</f>
        <v>7708</v>
      </c>
      <c r="W159" s="61" t="n">
        <f aca="false">A160-A159</f>
        <v>30</v>
      </c>
      <c r="X159" s="135" t="n">
        <f aca="false">CHOOSE(F$3,A160+24,A159)</f>
        <v>44713</v>
      </c>
      <c r="Y159" s="61" t="n">
        <f aca="false">X159-C$3</f>
        <v>7708</v>
      </c>
      <c r="Z159" s="136" t="n">
        <f aca="false">VLOOKUP($A159,[1]!CurveTable,MATCH($Z$4,[1]!CurveType,0))</f>
        <v>0.0672681347626476</v>
      </c>
      <c r="AA159" s="137" t="n">
        <f aca="false">1/(1+CHOOSE(F$3,(Z160+($K$3/10000))/2,(Z159+($K$3/10000))/2))^(2*Y159/365.25)</f>
        <v>0.247527838604078</v>
      </c>
      <c r="AB159" s="61" t="n">
        <f aca="false">IF(AND(mthbeg&lt;=A159,mthend&gt;=A159),1,0)</f>
        <v>1</v>
      </c>
      <c r="AC159" s="61" t="n">
        <f aca="false">W159*AB159</f>
        <v>30</v>
      </c>
      <c r="AD159" s="121" t="n">
        <f aca="false">$D159*E159</f>
        <v>8556221.72062101</v>
      </c>
      <c r="AE159" s="121" t="n">
        <f aca="false">$D159*F159</f>
        <v>0</v>
      </c>
      <c r="AF159" s="121" t="n">
        <f aca="false">$D159*G159</f>
        <v>8556221.72062101</v>
      </c>
      <c r="AG159" s="121" t="n">
        <f aca="false">$D159*H159</f>
        <v>0</v>
      </c>
      <c r="AH159" s="121" t="n">
        <f aca="false">$D159*I159</f>
        <v>0</v>
      </c>
      <c r="AI159" s="121" t="n">
        <f aca="false">$D159*J159</f>
        <v>0</v>
      </c>
      <c r="AJ159" s="121" t="n">
        <f aca="false">$D159*K159</f>
        <v>0</v>
      </c>
      <c r="AK159" s="121" t="n">
        <f aca="false">$D159*L159</f>
        <v>0</v>
      </c>
      <c r="AL159" s="121" t="n">
        <f aca="false">$D159*M159</f>
        <v>0</v>
      </c>
      <c r="AO159" s="75" t="e">
        <f aca="false">EURO(N159,O159,Z159,Z159,R159,U159,0,0)</f>
        <v>#NAME?</v>
      </c>
      <c r="AP159" s="138" t="e">
        <f aca="false">AO159*C159</f>
        <v>#NAME?</v>
      </c>
      <c r="AQ159" s="60" t="e">
        <f aca="false">-EURO(N159,O159,Z159,Z159,R159,U159,0,1)</f>
        <v>#NAME?</v>
      </c>
    </row>
    <row r="160" customFormat="false" ht="12.75" hidden="false" customHeight="false" outlineLevel="0" collapsed="false">
      <c r="A160" s="127" t="n">
        <f aca="false">EDATE(A159,1)</f>
        <v>44743</v>
      </c>
      <c r="B160" s="128" t="n">
        <f aca="false">B159</f>
        <v>205479</v>
      </c>
      <c r="C160" s="116" t="n">
        <f aca="false">IF(AB160=0,0,IF(AND(AB160=1,$H$3=1),B160*W160,IF($H$3=2,B160,"N/A")))</f>
        <v>6369849</v>
      </c>
      <c r="D160" s="116" t="n">
        <f aca="false">C160*AA160</f>
        <v>1567953.21503587</v>
      </c>
      <c r="E160" s="129" t="n">
        <f aca="false">VLOOKUP($A160,[1]!CurveTable,MATCH($E$4,[1]!CurveType,0))</f>
        <v>5.6525</v>
      </c>
      <c r="F160" s="130"/>
      <c r="G160" s="131" t="n">
        <f aca="false">E160</f>
        <v>5.6525</v>
      </c>
      <c r="H160" s="129" t="n">
        <f aca="false">H159</f>
        <v>0</v>
      </c>
      <c r="I160" s="131"/>
      <c r="J160" s="131" t="n">
        <f aca="false">H160</f>
        <v>0</v>
      </c>
      <c r="K160" s="142"/>
      <c r="L160" s="142"/>
      <c r="M160" s="142"/>
      <c r="N160" s="131" t="n">
        <f aca="false">G160+J160+M160+$N$7</f>
        <v>5.3625</v>
      </c>
      <c r="O160" s="131" t="n">
        <f aca="false">O159</f>
        <v>3</v>
      </c>
      <c r="P160" s="131"/>
      <c r="Q160" s="141" t="n">
        <f aca="false">Q159</f>
        <v>0.17</v>
      </c>
      <c r="R160" s="129" t="n">
        <f aca="false">Q160+Summary!C$25</f>
        <v>0.17</v>
      </c>
      <c r="S160" s="129"/>
      <c r="T160" s="132" t="n">
        <f aca="false">X160</f>
        <v>44743</v>
      </c>
      <c r="U160" s="133" t="n">
        <f aca="false">T160-$C$3</f>
        <v>7738</v>
      </c>
      <c r="W160" s="61" t="n">
        <f aca="false">A161-A160</f>
        <v>31</v>
      </c>
      <c r="X160" s="135" t="n">
        <f aca="false">CHOOSE(F$3,A161+24,A160)</f>
        <v>44743</v>
      </c>
      <c r="Y160" s="61" t="n">
        <f aca="false">X160-C$3</f>
        <v>7738</v>
      </c>
      <c r="Z160" s="136" t="n">
        <f aca="false">VLOOKUP($A160,[1]!CurveTable,MATCH($Z$4,[1]!CurveType,0))</f>
        <v>0.0672748792861455</v>
      </c>
      <c r="AA160" s="137" t="n">
        <f aca="false">1/(1+CHOOSE(F$3,(Z161+($K$3/10000))/2,(Z160+($K$3/10000))/2))^(2*Y160/365.25)</f>
        <v>0.246152336583783</v>
      </c>
      <c r="AB160" s="61" t="n">
        <f aca="false">IF(AND(mthbeg&lt;=A160,mthend&gt;=A160),1,0)</f>
        <v>1</v>
      </c>
      <c r="AC160" s="61" t="n">
        <f aca="false">W160*AB160</f>
        <v>31</v>
      </c>
      <c r="AD160" s="121" t="n">
        <f aca="false">$D160*E160</f>
        <v>8862855.54799028</v>
      </c>
      <c r="AE160" s="121" t="n">
        <f aca="false">$D160*F160</f>
        <v>0</v>
      </c>
      <c r="AF160" s="121" t="n">
        <f aca="false">$D160*G160</f>
        <v>8862855.54799028</v>
      </c>
      <c r="AG160" s="121" t="n">
        <f aca="false">$D160*H160</f>
        <v>0</v>
      </c>
      <c r="AH160" s="121" t="n">
        <f aca="false">$D160*I160</f>
        <v>0</v>
      </c>
      <c r="AI160" s="121" t="n">
        <f aca="false">$D160*J160</f>
        <v>0</v>
      </c>
      <c r="AJ160" s="121" t="n">
        <f aca="false">$D160*K160</f>
        <v>0</v>
      </c>
      <c r="AK160" s="121" t="n">
        <f aca="false">$D160*L160</f>
        <v>0</v>
      </c>
      <c r="AL160" s="121" t="n">
        <f aca="false">$D160*M160</f>
        <v>0</v>
      </c>
      <c r="AO160" s="75" t="e">
        <f aca="false">EURO(N160,O160,Z160,Z160,R160,U160,0,0)</f>
        <v>#NAME?</v>
      </c>
      <c r="AP160" s="138" t="e">
        <f aca="false">AO160*C160</f>
        <v>#NAME?</v>
      </c>
      <c r="AQ160" s="60" t="e">
        <f aca="false">-EURO(N160,O160,Z160,Z160,R160,U160,0,1)</f>
        <v>#NAME?</v>
      </c>
    </row>
    <row r="161" customFormat="false" ht="13.5" hidden="false" customHeight="false" outlineLevel="0" collapsed="false">
      <c r="A161" s="127" t="n">
        <f aca="false">EDATE(A160,1)</f>
        <v>44774</v>
      </c>
      <c r="B161" s="128" t="n">
        <f aca="false">B160</f>
        <v>205479</v>
      </c>
      <c r="C161" s="116" t="n">
        <f aca="false">IF(AB161=0,0,IF(AND(AB161=1,$H$3=1),B161*W161,IF($H$3=2,B161,"N/A")))</f>
        <v>6369849</v>
      </c>
      <c r="D161" s="116" t="n">
        <f aca="false">C161*AA161</f>
        <v>1558948.80907092</v>
      </c>
      <c r="E161" s="129" t="n">
        <f aca="false">VLOOKUP($A161,[1]!CurveTable,MATCH($E$4,[1]!CurveType,0))</f>
        <v>5.6875</v>
      </c>
      <c r="F161" s="130"/>
      <c r="G161" s="131" t="n">
        <f aca="false">E161</f>
        <v>5.6875</v>
      </c>
      <c r="H161" s="129" t="n">
        <f aca="false">H160</f>
        <v>0</v>
      </c>
      <c r="I161" s="131"/>
      <c r="J161" s="131" t="n">
        <f aca="false">H161</f>
        <v>0</v>
      </c>
      <c r="K161" s="142"/>
      <c r="L161" s="142"/>
      <c r="M161" s="142"/>
      <c r="N161" s="131" t="n">
        <f aca="false">G161+J161+M161+$N$7</f>
        <v>5.3975</v>
      </c>
      <c r="O161" s="131" t="n">
        <f aca="false">O160</f>
        <v>3</v>
      </c>
      <c r="P161" s="131"/>
      <c r="Q161" s="141" t="n">
        <f aca="false">Q160</f>
        <v>0.17</v>
      </c>
      <c r="R161" s="129" t="n">
        <f aca="false">Q161+Summary!C$25</f>
        <v>0.17</v>
      </c>
      <c r="S161" s="129"/>
      <c r="T161" s="132" t="n">
        <f aca="false">X161</f>
        <v>44774</v>
      </c>
      <c r="U161" s="133" t="n">
        <f aca="false">T161-$C$3</f>
        <v>7769</v>
      </c>
      <c r="W161" s="61" t="n">
        <f aca="false">A162-A161</f>
        <v>31</v>
      </c>
      <c r="X161" s="135" t="n">
        <f aca="false">CHOOSE(F$3,A162+24,A161)</f>
        <v>44774</v>
      </c>
      <c r="Y161" s="61" t="n">
        <f aca="false">X161-C$3</f>
        <v>7769</v>
      </c>
      <c r="Z161" s="136" t="n">
        <f aca="false">VLOOKUP($A161,[1]!CurveTable,MATCH($Z$4,[1]!CurveType,0))</f>
        <v>0.0672818486271085</v>
      </c>
      <c r="AA161" s="137" t="n">
        <f aca="false">1/(1+CHOOSE(F$3,(Z162+($K$3/10000))/2,(Z161+($K$3/10000))/2))^(2*Y161/365.25)</f>
        <v>0.24473873855894</v>
      </c>
      <c r="AB161" s="61" t="n">
        <f aca="false">IF(AND(mthbeg&lt;=A161,mthend&gt;=A161),1,0)</f>
        <v>1</v>
      </c>
      <c r="AC161" s="61" t="n">
        <f aca="false">W161*AB161</f>
        <v>31</v>
      </c>
      <c r="AD161" s="121" t="n">
        <f aca="false">$D161*E161</f>
        <v>8866521.35159088</v>
      </c>
      <c r="AE161" s="121" t="n">
        <f aca="false">$D161*F161</f>
        <v>0</v>
      </c>
      <c r="AF161" s="121" t="n">
        <f aca="false">$D161*G161</f>
        <v>8866521.35159088</v>
      </c>
      <c r="AG161" s="121" t="n">
        <f aca="false">$D161*H161</f>
        <v>0</v>
      </c>
      <c r="AH161" s="121" t="n">
        <f aca="false">$D161*I161</f>
        <v>0</v>
      </c>
      <c r="AI161" s="121" t="n">
        <f aca="false">$D161*J161</f>
        <v>0</v>
      </c>
      <c r="AJ161" s="121" t="n">
        <f aca="false">$D161*K161</f>
        <v>0</v>
      </c>
      <c r="AK161" s="121" t="n">
        <f aca="false">$D161*L161</f>
        <v>0</v>
      </c>
      <c r="AL161" s="121" t="n">
        <f aca="false">$D161*M161</f>
        <v>0</v>
      </c>
      <c r="AO161" s="75" t="e">
        <f aca="false">EURO(N161,O161,Z161,Z161,R161,U161,0,0)</f>
        <v>#NAME?</v>
      </c>
      <c r="AP161" s="138" t="e">
        <f aca="false">AO161*C161</f>
        <v>#NAME?</v>
      </c>
      <c r="AQ161" s="60" t="e">
        <f aca="false">-EURO(N161,O161,Z161,Z161,R161,U161,0,1)</f>
        <v>#NAME?</v>
      </c>
    </row>
    <row r="162" customFormat="false" ht="12.75" hidden="false" customHeight="false" outlineLevel="0" collapsed="false">
      <c r="A162" s="127" t="n">
        <f aca="false">EDATE(A161,1)</f>
        <v>44805</v>
      </c>
      <c r="B162" s="128" t="n">
        <f aca="false">B161</f>
        <v>205479</v>
      </c>
      <c r="C162" s="116" t="n">
        <f aca="false">IF(AB162=0,0,IF(AND(AB162=1,$H$3=1),B162*W162,IF($H$3=2,B162,"N/A")))</f>
        <v>6164370</v>
      </c>
      <c r="D162" s="116" t="n">
        <f aca="false">C162*AA162</f>
        <v>1498661.60502041</v>
      </c>
      <c r="E162" s="140" t="n">
        <f aca="false">E150*1.02</f>
        <v>5.69925</v>
      </c>
      <c r="F162" s="130"/>
      <c r="G162" s="131" t="n">
        <f aca="false">E162</f>
        <v>5.69925</v>
      </c>
      <c r="H162" s="129" t="n">
        <f aca="false">H161</f>
        <v>0</v>
      </c>
      <c r="I162" s="131"/>
      <c r="J162" s="131" t="n">
        <f aca="false">H162</f>
        <v>0</v>
      </c>
      <c r="K162" s="142"/>
      <c r="L162" s="142"/>
      <c r="M162" s="142"/>
      <c r="N162" s="131" t="n">
        <f aca="false">G162+J162+M162+$N$7</f>
        <v>5.40925</v>
      </c>
      <c r="O162" s="131" t="n">
        <f aca="false">O161</f>
        <v>3</v>
      </c>
      <c r="P162" s="131"/>
      <c r="Q162" s="141" t="n">
        <f aca="false">Q161</f>
        <v>0.17</v>
      </c>
      <c r="R162" s="129" t="n">
        <f aca="false">Q162+Summary!C$25</f>
        <v>0.17</v>
      </c>
      <c r="S162" s="129"/>
      <c r="T162" s="132" t="n">
        <f aca="false">X162</f>
        <v>44805</v>
      </c>
      <c r="U162" s="133" t="n">
        <f aca="false">T162-$C$3</f>
        <v>7800</v>
      </c>
      <c r="W162" s="61" t="n">
        <f aca="false">A163-A162</f>
        <v>30</v>
      </c>
      <c r="X162" s="135" t="n">
        <f aca="false">CHOOSE(F$3,A163+24,A162)</f>
        <v>44805</v>
      </c>
      <c r="Y162" s="61" t="n">
        <f aca="false">X162-C$3</f>
        <v>7800</v>
      </c>
      <c r="Z162" s="140" t="n">
        <f aca="false">Z161+0.00005</f>
        <v>0.0673318486271085</v>
      </c>
      <c r="AA162" s="137" t="n">
        <f aca="false">1/(1+CHOOSE(F$3,(Z163+($K$3/10000))/2,(Z162+($K$3/10000))/2))^(2*Y162/365.25)</f>
        <v>0.243116750782384</v>
      </c>
      <c r="AB162" s="61" t="n">
        <f aca="false">IF(AND(mthbeg&lt;=A162,mthend&gt;=A162),1,0)</f>
        <v>1</v>
      </c>
      <c r="AC162" s="61" t="n">
        <f aca="false">W162*AB162</f>
        <v>30</v>
      </c>
      <c r="AD162" s="121" t="n">
        <f aca="false">$D162*E162</f>
        <v>8541247.15241255</v>
      </c>
      <c r="AE162" s="121" t="n">
        <f aca="false">$D162*F162</f>
        <v>0</v>
      </c>
      <c r="AF162" s="121" t="n">
        <f aca="false">$D162*G162</f>
        <v>8541247.15241255</v>
      </c>
      <c r="AG162" s="121" t="n">
        <f aca="false">$D162*H162</f>
        <v>0</v>
      </c>
      <c r="AH162" s="121" t="n">
        <f aca="false">$D162*I162</f>
        <v>0</v>
      </c>
      <c r="AI162" s="121" t="n">
        <f aca="false">$D162*J162</f>
        <v>0</v>
      </c>
      <c r="AJ162" s="121" t="n">
        <f aca="false">$D162*K162</f>
        <v>0</v>
      </c>
      <c r="AK162" s="121" t="n">
        <f aca="false">$D162*L162</f>
        <v>0</v>
      </c>
      <c r="AL162" s="121" t="n">
        <f aca="false">$D162*M162</f>
        <v>0</v>
      </c>
      <c r="AO162" s="75" t="e">
        <f aca="false">EURO(N162,O162,Z162,Z162,R162,U162,0,0)</f>
        <v>#NAME?</v>
      </c>
      <c r="AP162" s="138" t="e">
        <f aca="false">AO162*C162</f>
        <v>#NAME?</v>
      </c>
      <c r="AQ162" s="60" t="e">
        <f aca="false">-EURO(N162,O162,Z162,Z162,R162,U162,0,1)</f>
        <v>#NAME?</v>
      </c>
    </row>
    <row r="163" customFormat="false" ht="12.75" hidden="false" customHeight="false" outlineLevel="0" collapsed="false">
      <c r="A163" s="127" t="n">
        <f aca="false">EDATE(A162,1)</f>
        <v>44835</v>
      </c>
      <c r="B163" s="128" t="n">
        <f aca="false">B162</f>
        <v>205479</v>
      </c>
      <c r="C163" s="116" t="n">
        <f aca="false">IF(AB163=0,0,IF(AND(AB163=1,$H$3=1),B163*W163,IF($H$3=2,B163,"N/A")))</f>
        <v>6369849</v>
      </c>
      <c r="D163" s="116" t="n">
        <f aca="false">C163*AA163</f>
        <v>1538620.19996798</v>
      </c>
      <c r="E163" s="141" t="n">
        <f aca="false">E151*1.02</f>
        <v>5.72985</v>
      </c>
      <c r="F163" s="130"/>
      <c r="G163" s="131" t="n">
        <f aca="false">E163</f>
        <v>5.72985</v>
      </c>
      <c r="H163" s="129" t="n">
        <f aca="false">H162</f>
        <v>0</v>
      </c>
      <c r="I163" s="131"/>
      <c r="J163" s="131" t="n">
        <f aca="false">H163</f>
        <v>0</v>
      </c>
      <c r="K163" s="142"/>
      <c r="L163" s="142"/>
      <c r="M163" s="142"/>
      <c r="N163" s="131" t="n">
        <f aca="false">G163+J163+M163+$N$7</f>
        <v>5.43985</v>
      </c>
      <c r="O163" s="131" t="n">
        <f aca="false">O162</f>
        <v>3</v>
      </c>
      <c r="P163" s="131"/>
      <c r="Q163" s="141" t="n">
        <f aca="false">Q162</f>
        <v>0.17</v>
      </c>
      <c r="R163" s="129" t="n">
        <f aca="false">Q163+Summary!C$25</f>
        <v>0.17</v>
      </c>
      <c r="S163" s="129"/>
      <c r="T163" s="132" t="n">
        <f aca="false">X163</f>
        <v>44835</v>
      </c>
      <c r="U163" s="133" t="n">
        <f aca="false">T163-$C$3</f>
        <v>7830</v>
      </c>
      <c r="W163" s="61" t="n">
        <f aca="false">A164-A163</f>
        <v>31</v>
      </c>
      <c r="X163" s="135" t="n">
        <f aca="false">CHOOSE(F$3,A164+24,A163)</f>
        <v>44835</v>
      </c>
      <c r="Y163" s="61" t="n">
        <f aca="false">X163-C$3</f>
        <v>7830</v>
      </c>
      <c r="Z163" s="141" t="n">
        <f aca="false">Z162+0.00005</f>
        <v>0.0673818486271085</v>
      </c>
      <c r="AA163" s="137" t="n">
        <f aca="false">1/(1+CHOOSE(F$3,(Z164+($K$3/10000))/2,(Z163+($K$3/10000))/2))^(2*Y163/365.25)</f>
        <v>0.241547358495937</v>
      </c>
      <c r="AB163" s="61" t="n">
        <f aca="false">IF(AND(mthbeg&lt;=A163,mthend&gt;=A163),1,0)</f>
        <v>1</v>
      </c>
      <c r="AC163" s="61" t="n">
        <f aca="false">W163*AB163</f>
        <v>31</v>
      </c>
      <c r="AD163" s="121" t="n">
        <f aca="false">$D163*E163</f>
        <v>8816062.95278655</v>
      </c>
      <c r="AE163" s="121" t="n">
        <f aca="false">$D163*F163</f>
        <v>0</v>
      </c>
      <c r="AF163" s="121" t="n">
        <f aca="false">$D163*G163</f>
        <v>8816062.95278655</v>
      </c>
      <c r="AG163" s="121" t="n">
        <f aca="false">$D163*H163</f>
        <v>0</v>
      </c>
      <c r="AH163" s="121" t="n">
        <f aca="false">$D163*I163</f>
        <v>0</v>
      </c>
      <c r="AI163" s="121" t="n">
        <f aca="false">$D163*J163</f>
        <v>0</v>
      </c>
      <c r="AJ163" s="121" t="n">
        <f aca="false">$D163*K163</f>
        <v>0</v>
      </c>
      <c r="AK163" s="121" t="n">
        <f aca="false">$D163*L163</f>
        <v>0</v>
      </c>
      <c r="AL163" s="121" t="n">
        <f aca="false">$D163*M163</f>
        <v>0</v>
      </c>
      <c r="AO163" s="75" t="e">
        <f aca="false">EURO(N163,O163,Z163,Z163,R163,U163,0,0)</f>
        <v>#NAME?</v>
      </c>
      <c r="AP163" s="138" t="e">
        <f aca="false">AO163*C163</f>
        <v>#NAME?</v>
      </c>
      <c r="AQ163" s="60" t="e">
        <f aca="false">-EURO(N163,O163,Z163,Z163,R163,U163,0,1)</f>
        <v>#NAME?</v>
      </c>
    </row>
    <row r="164" customFormat="false" ht="12.75" hidden="false" customHeight="false" outlineLevel="0" collapsed="false">
      <c r="A164" s="127" t="n">
        <f aca="false">EDATE(A163,1)</f>
        <v>44866</v>
      </c>
      <c r="B164" s="128" t="n">
        <f aca="false">B163</f>
        <v>205479</v>
      </c>
      <c r="C164" s="116" t="n">
        <f aca="false">IF(AB164=0,0,IF(AND(AB164=1,$H$3=1),B164*W164,IF($H$3=2,B164,"N/A")))</f>
        <v>6164370</v>
      </c>
      <c r="D164" s="116" t="n">
        <f aca="false">C164*AA164</f>
        <v>1479095.118427</v>
      </c>
      <c r="E164" s="141" t="n">
        <f aca="false">E152*1.02</f>
        <v>5.84205</v>
      </c>
      <c r="F164" s="130"/>
      <c r="G164" s="131" t="n">
        <f aca="false">E164</f>
        <v>5.84205</v>
      </c>
      <c r="H164" s="129" t="n">
        <f aca="false">H163</f>
        <v>0</v>
      </c>
      <c r="I164" s="131"/>
      <c r="J164" s="131" t="n">
        <f aca="false">H164</f>
        <v>0</v>
      </c>
      <c r="K164" s="142"/>
      <c r="L164" s="142"/>
      <c r="M164" s="142"/>
      <c r="N164" s="131" t="n">
        <f aca="false">G164+J164+M164+$N$7</f>
        <v>5.55205</v>
      </c>
      <c r="O164" s="131" t="n">
        <f aca="false">O163</f>
        <v>3</v>
      </c>
      <c r="P164" s="131"/>
      <c r="Q164" s="141" t="n">
        <f aca="false">Q163</f>
        <v>0.17</v>
      </c>
      <c r="R164" s="129" t="n">
        <f aca="false">Q164+Summary!C$25</f>
        <v>0.17</v>
      </c>
      <c r="S164" s="129"/>
      <c r="T164" s="132" t="n">
        <f aca="false">X164</f>
        <v>44866</v>
      </c>
      <c r="U164" s="133" t="n">
        <f aca="false">T164-$C$3</f>
        <v>7861</v>
      </c>
      <c r="W164" s="61" t="n">
        <f aca="false">A165-A164</f>
        <v>30</v>
      </c>
      <c r="X164" s="135" t="n">
        <f aca="false">CHOOSE(F$3,A165+24,A164)</f>
        <v>44866</v>
      </c>
      <c r="Y164" s="61" t="n">
        <f aca="false">X164-C$3</f>
        <v>7861</v>
      </c>
      <c r="Z164" s="141" t="n">
        <f aca="false">Z163+0.00005</f>
        <v>0.0674318486271085</v>
      </c>
      <c r="AA164" s="137" t="n">
        <f aca="false">1/(1+CHOOSE(F$3,(Z165+($K$3/10000))/2,(Z164+($K$3/10000))/2))^(2*Y164/365.25)</f>
        <v>0.239942624863044</v>
      </c>
      <c r="AB164" s="61" t="n">
        <f aca="false">IF(AND(mthbeg&lt;=A164,mthend&gt;=A164),1,0)</f>
        <v>1</v>
      </c>
      <c r="AC164" s="61" t="n">
        <f aca="false">W164*AB164</f>
        <v>30</v>
      </c>
      <c r="AD164" s="121" t="n">
        <f aca="false">$D164*E164</f>
        <v>8640947.63660647</v>
      </c>
      <c r="AE164" s="121" t="n">
        <f aca="false">$D164*F164</f>
        <v>0</v>
      </c>
      <c r="AF164" s="121" t="n">
        <f aca="false">$D164*G164</f>
        <v>8640947.63660647</v>
      </c>
      <c r="AG164" s="121" t="n">
        <f aca="false">$D164*H164</f>
        <v>0</v>
      </c>
      <c r="AH164" s="121" t="n">
        <f aca="false">$D164*I164</f>
        <v>0</v>
      </c>
      <c r="AI164" s="121" t="n">
        <f aca="false">$D164*J164</f>
        <v>0</v>
      </c>
      <c r="AJ164" s="121" t="n">
        <f aca="false">$D164*K164</f>
        <v>0</v>
      </c>
      <c r="AK164" s="121" t="n">
        <f aca="false">$D164*L164</f>
        <v>0</v>
      </c>
      <c r="AL164" s="121" t="n">
        <f aca="false">$D164*M164</f>
        <v>0</v>
      </c>
      <c r="AO164" s="75" t="e">
        <f aca="false">EURO(N164,O164,Z164,Z164,R164,U164,0,0)</f>
        <v>#NAME?</v>
      </c>
      <c r="AP164" s="138" t="e">
        <f aca="false">AO164*C164</f>
        <v>#NAME?</v>
      </c>
      <c r="AQ164" s="60" t="e">
        <f aca="false">-EURO(N164,O164,Z164,Z164,R164,U164,0,1)</f>
        <v>#NAME?</v>
      </c>
    </row>
    <row r="165" customFormat="false" ht="12.75" hidden="false" customHeight="false" outlineLevel="0" collapsed="false">
      <c r="A165" s="127" t="n">
        <f aca="false">EDATE(A164,1)</f>
        <v>44896</v>
      </c>
      <c r="B165" s="128" t="n">
        <f aca="false">B164</f>
        <v>205479</v>
      </c>
      <c r="C165" s="116" t="n">
        <f aca="false">IF(AB165=0,0,IF(AND(AB165=1,$H$3=1),B165*W165,IF($H$3=2,B165,"N/A")))</f>
        <v>6369849</v>
      </c>
      <c r="D165" s="116" t="n">
        <f aca="false">C165*AA165</f>
        <v>1518507.75865533</v>
      </c>
      <c r="E165" s="141" t="n">
        <f aca="false">E153*1.02</f>
        <v>5.96445</v>
      </c>
      <c r="F165" s="130"/>
      <c r="G165" s="131" t="n">
        <f aca="false">E165</f>
        <v>5.96445</v>
      </c>
      <c r="H165" s="129" t="n">
        <f aca="false">H164</f>
        <v>0</v>
      </c>
      <c r="I165" s="131"/>
      <c r="J165" s="131" t="n">
        <f aca="false">H165</f>
        <v>0</v>
      </c>
      <c r="K165" s="142"/>
      <c r="L165" s="142"/>
      <c r="M165" s="142"/>
      <c r="N165" s="131" t="n">
        <f aca="false">G165+J165+M165+$N$7</f>
        <v>5.67445</v>
      </c>
      <c r="O165" s="131" t="n">
        <f aca="false">O164</f>
        <v>3</v>
      </c>
      <c r="P165" s="131"/>
      <c r="Q165" s="141" t="n">
        <f aca="false">Q164</f>
        <v>0.17</v>
      </c>
      <c r="R165" s="129" t="n">
        <f aca="false">Q165+Summary!C$25</f>
        <v>0.17</v>
      </c>
      <c r="S165" s="129"/>
      <c r="T165" s="132" t="n">
        <f aca="false">X165</f>
        <v>44896</v>
      </c>
      <c r="U165" s="133" t="n">
        <f aca="false">T165-$C$3</f>
        <v>7891</v>
      </c>
      <c r="W165" s="61" t="n">
        <f aca="false">A166-A165</f>
        <v>31</v>
      </c>
      <c r="X165" s="135" t="n">
        <f aca="false">CHOOSE(F$3,A166+24,A165)</f>
        <v>44896</v>
      </c>
      <c r="Y165" s="61" t="n">
        <f aca="false">X165-C$3</f>
        <v>7891</v>
      </c>
      <c r="Z165" s="141" t="n">
        <f aca="false">Z164+0.00005</f>
        <v>0.0674818486271085</v>
      </c>
      <c r="AA165" s="137" t="n">
        <f aca="false">1/(1+CHOOSE(F$3,(Z166+($K$3/10000))/2,(Z165+($K$3/10000))/2))^(2*Y165/365.25)</f>
        <v>0.238389914526283</v>
      </c>
      <c r="AB165" s="61" t="n">
        <f aca="false">IF(AND(mthbeg&lt;=A165,mthend&gt;=A165),1,0)</f>
        <v>1</v>
      </c>
      <c r="AC165" s="61" t="n">
        <f aca="false">W165*AB165</f>
        <v>31</v>
      </c>
      <c r="AD165" s="121" t="n">
        <f aca="false">$D165*E165</f>
        <v>9057063.60111179</v>
      </c>
      <c r="AE165" s="121" t="n">
        <f aca="false">$D165*F165</f>
        <v>0</v>
      </c>
      <c r="AF165" s="121" t="n">
        <f aca="false">$D165*G165</f>
        <v>9057063.60111179</v>
      </c>
      <c r="AG165" s="121" t="n">
        <f aca="false">$D165*H165</f>
        <v>0</v>
      </c>
      <c r="AH165" s="121" t="n">
        <f aca="false">$D165*I165</f>
        <v>0</v>
      </c>
      <c r="AI165" s="121" t="n">
        <f aca="false">$D165*J165</f>
        <v>0</v>
      </c>
      <c r="AJ165" s="121" t="n">
        <f aca="false">$D165*K165</f>
        <v>0</v>
      </c>
      <c r="AK165" s="121" t="n">
        <f aca="false">$D165*L165</f>
        <v>0</v>
      </c>
      <c r="AL165" s="121" t="n">
        <f aca="false">$D165*M165</f>
        <v>0</v>
      </c>
      <c r="AO165" s="75" t="e">
        <f aca="false">EURO(N165,O165,Z165,Z165,R165,U165,0,0)</f>
        <v>#NAME?</v>
      </c>
      <c r="AP165" s="138" t="e">
        <f aca="false">AO165*C165</f>
        <v>#NAME?</v>
      </c>
      <c r="AQ165" s="60" t="e">
        <f aca="false">-EURO(N165,O165,Z165,Z165,R165,U165,0,1)</f>
        <v>#NAME?</v>
      </c>
    </row>
    <row r="166" customFormat="false" ht="12.75" hidden="false" customHeight="false" outlineLevel="0" collapsed="false">
      <c r="A166" s="127" t="n">
        <f aca="false">EDATE(A165,1)</f>
        <v>44927</v>
      </c>
      <c r="B166" s="128" t="n">
        <f aca="false">B165</f>
        <v>205479</v>
      </c>
      <c r="C166" s="116" t="n">
        <f aca="false">IF(AB166=0,0,IF(AND(AB166=1,$H$3=1),B166*W166,IF($H$3=2,B166,"N/A")))</f>
        <v>6369849</v>
      </c>
      <c r="D166" s="116" t="n">
        <f aca="false">C166*AA166</f>
        <v>1508394.97243324</v>
      </c>
      <c r="E166" s="141" t="n">
        <f aca="false">E154*1.02</f>
        <v>6.05625</v>
      </c>
      <c r="F166" s="130"/>
      <c r="G166" s="131" t="n">
        <f aca="false">E166</f>
        <v>6.05625</v>
      </c>
      <c r="H166" s="129" t="n">
        <f aca="false">H165</f>
        <v>0</v>
      </c>
      <c r="I166" s="131"/>
      <c r="J166" s="131" t="n">
        <f aca="false">H166</f>
        <v>0</v>
      </c>
      <c r="K166" s="142"/>
      <c r="L166" s="142"/>
      <c r="M166" s="142"/>
      <c r="N166" s="131" t="n">
        <f aca="false">G166+J166+M166+$N$7</f>
        <v>5.76625</v>
      </c>
      <c r="O166" s="131" t="n">
        <f aca="false">O165</f>
        <v>3</v>
      </c>
      <c r="P166" s="131"/>
      <c r="Q166" s="141" t="n">
        <f aca="false">Q165</f>
        <v>0.17</v>
      </c>
      <c r="R166" s="129" t="n">
        <f aca="false">Q166+Summary!C$25</f>
        <v>0.17</v>
      </c>
      <c r="S166" s="129"/>
      <c r="T166" s="132" t="n">
        <f aca="false">X166</f>
        <v>44927</v>
      </c>
      <c r="U166" s="133" t="n">
        <f aca="false">T166-$C$3</f>
        <v>7922</v>
      </c>
      <c r="W166" s="61" t="n">
        <f aca="false">A167-A166</f>
        <v>31</v>
      </c>
      <c r="X166" s="135" t="n">
        <f aca="false">CHOOSE(F$3,A167+24,A166)</f>
        <v>44927</v>
      </c>
      <c r="Y166" s="61" t="n">
        <f aca="false">X166-C$3</f>
        <v>7922</v>
      </c>
      <c r="Z166" s="141" t="n">
        <f aca="false">Z165+0.00005</f>
        <v>0.0675318486271085</v>
      </c>
      <c r="AA166" s="137" t="n">
        <f aca="false">1/(1+CHOOSE(F$3,(Z167+($K$3/10000))/2,(Z166+($K$3/10000))/2))^(2*Y166/365.25)</f>
        <v>0.236802312336327</v>
      </c>
      <c r="AB166" s="61" t="n">
        <f aca="false">IF(AND(mthbeg&lt;=A166,mthend&gt;=A166),1,0)</f>
        <v>1</v>
      </c>
      <c r="AC166" s="61" t="n">
        <f aca="false">W166*AB166</f>
        <v>31</v>
      </c>
      <c r="AD166" s="121" t="n">
        <f aca="false">$D166*E166</f>
        <v>9135217.05179879</v>
      </c>
      <c r="AE166" s="121" t="n">
        <f aca="false">$D166*F166</f>
        <v>0</v>
      </c>
      <c r="AF166" s="121" t="n">
        <f aca="false">$D166*G166</f>
        <v>9135217.05179879</v>
      </c>
      <c r="AG166" s="121" t="n">
        <f aca="false">$D166*H166</f>
        <v>0</v>
      </c>
      <c r="AH166" s="121" t="n">
        <f aca="false">$D166*I166</f>
        <v>0</v>
      </c>
      <c r="AI166" s="121" t="n">
        <f aca="false">$D166*J166</f>
        <v>0</v>
      </c>
      <c r="AJ166" s="121" t="n">
        <f aca="false">$D166*K166</f>
        <v>0</v>
      </c>
      <c r="AK166" s="121" t="n">
        <f aca="false">$D166*L166</f>
        <v>0</v>
      </c>
      <c r="AL166" s="121" t="n">
        <f aca="false">$D166*M166</f>
        <v>0</v>
      </c>
      <c r="AO166" s="75" t="e">
        <f aca="false">EURO(N166,O166,Z166,Z166,R166,U166,0,0)</f>
        <v>#NAME?</v>
      </c>
      <c r="AP166" s="138" t="e">
        <f aca="false">AO166*C166</f>
        <v>#NAME?</v>
      </c>
      <c r="AQ166" s="60" t="e">
        <f aca="false">-EURO(N166,O166,Z166,Z166,R166,U166,0,1)</f>
        <v>#NAME?</v>
      </c>
    </row>
    <row r="167" customFormat="false" ht="12.75" hidden="false" customHeight="false" outlineLevel="0" collapsed="false">
      <c r="A167" s="127" t="n">
        <f aca="false">EDATE(A166,1)</f>
        <v>44958</v>
      </c>
      <c r="B167" s="128" t="n">
        <f aca="false">B166</f>
        <v>205479</v>
      </c>
      <c r="C167" s="116" t="n">
        <f aca="false">IF(AB167=0,0,IF(AND(AB167=1,$H$3=1),B167*W167,IF($H$3=2,B167,"N/A")))</f>
        <v>5753412</v>
      </c>
      <c r="D167" s="116" t="n">
        <f aca="false">C167*AA167</f>
        <v>1353336.88961122</v>
      </c>
      <c r="E167" s="141" t="n">
        <f aca="false">E155*1.02</f>
        <v>5.93385</v>
      </c>
      <c r="F167" s="130"/>
      <c r="G167" s="131" t="n">
        <f aca="false">E167</f>
        <v>5.93385</v>
      </c>
      <c r="H167" s="129" t="n">
        <f aca="false">H166</f>
        <v>0</v>
      </c>
      <c r="I167" s="131"/>
      <c r="J167" s="131" t="n">
        <f aca="false">H167</f>
        <v>0</v>
      </c>
      <c r="K167" s="142"/>
      <c r="L167" s="142"/>
      <c r="M167" s="142"/>
      <c r="N167" s="131" t="n">
        <f aca="false">G167+J167+M167+$N$7</f>
        <v>5.64385</v>
      </c>
      <c r="O167" s="131" t="n">
        <f aca="false">O166</f>
        <v>3</v>
      </c>
      <c r="P167" s="131"/>
      <c r="Q167" s="141" t="n">
        <f aca="false">Q166</f>
        <v>0.17</v>
      </c>
      <c r="R167" s="129" t="n">
        <f aca="false">Q167+Summary!C$25</f>
        <v>0.17</v>
      </c>
      <c r="S167" s="129"/>
      <c r="T167" s="132" t="n">
        <f aca="false">X167</f>
        <v>44958</v>
      </c>
      <c r="U167" s="133" t="n">
        <f aca="false">T167-$C$3</f>
        <v>7953</v>
      </c>
      <c r="W167" s="61" t="n">
        <f aca="false">A168-A167</f>
        <v>28</v>
      </c>
      <c r="X167" s="135" t="n">
        <f aca="false">CHOOSE(F$3,A168+24,A167)</f>
        <v>44958</v>
      </c>
      <c r="Y167" s="61" t="n">
        <f aca="false">X167-C$3</f>
        <v>7953</v>
      </c>
      <c r="Z167" s="141" t="n">
        <f aca="false">Z166+0.00005</f>
        <v>0.0675818486271085</v>
      </c>
      <c r="AA167" s="137" t="n">
        <f aca="false">1/(1+CHOOSE(F$3,(Z168+($K$3/10000))/2,(Z167+($K$3/10000))/2))^(2*Y167/365.25)</f>
        <v>0.235223357828576</v>
      </c>
      <c r="AB167" s="61" t="n">
        <f aca="false">IF(AND(mthbeg&lt;=A167,mthend&gt;=A167),1,0)</f>
        <v>1</v>
      </c>
      <c r="AC167" s="61" t="n">
        <f aca="false">W167*AB167</f>
        <v>28</v>
      </c>
      <c r="AD167" s="121" t="n">
        <f aca="false">$D167*E167</f>
        <v>8030498.10241956</v>
      </c>
      <c r="AE167" s="121" t="n">
        <f aca="false">$D167*F167</f>
        <v>0</v>
      </c>
      <c r="AF167" s="121" t="n">
        <f aca="false">$D167*G167</f>
        <v>8030498.10241956</v>
      </c>
      <c r="AG167" s="121" t="n">
        <f aca="false">$D167*H167</f>
        <v>0</v>
      </c>
      <c r="AH167" s="121" t="n">
        <f aca="false">$D167*I167</f>
        <v>0</v>
      </c>
      <c r="AI167" s="121" t="n">
        <f aca="false">$D167*J167</f>
        <v>0</v>
      </c>
      <c r="AJ167" s="121" t="n">
        <f aca="false">$D167*K167</f>
        <v>0</v>
      </c>
      <c r="AK167" s="121" t="n">
        <f aca="false">$D167*L167</f>
        <v>0</v>
      </c>
      <c r="AL167" s="121" t="n">
        <f aca="false">$D167*M167</f>
        <v>0</v>
      </c>
      <c r="AO167" s="75" t="e">
        <f aca="false">EURO(N167,O167,Z167,Z167,R167,U167,0,0)</f>
        <v>#NAME?</v>
      </c>
      <c r="AP167" s="138" t="e">
        <f aca="false">AO167*C167</f>
        <v>#NAME?</v>
      </c>
      <c r="AQ167" s="60" t="e">
        <f aca="false">-EURO(N167,O167,Z167,Z167,R167,U167,0,1)</f>
        <v>#NAME?</v>
      </c>
    </row>
    <row r="168" customFormat="false" ht="12.75" hidden="false" customHeight="false" outlineLevel="0" collapsed="false">
      <c r="A168" s="127" t="n">
        <f aca="false">EDATE(A167,1)</f>
        <v>44986</v>
      </c>
      <c r="B168" s="128" t="n">
        <f aca="false">B167</f>
        <v>205479</v>
      </c>
      <c r="C168" s="116" t="n">
        <f aca="false">IF(AB168=0,0,IF(AND(AB168=1,$H$3=1),B168*W168,IF($H$3=2,B168,"N/A")))</f>
        <v>6369849</v>
      </c>
      <c r="D168" s="116" t="n">
        <f aca="false">C168*AA168</f>
        <v>1489147.76749088</v>
      </c>
      <c r="E168" s="141" t="n">
        <f aca="false">E156*1.02</f>
        <v>5.79207</v>
      </c>
      <c r="F168" s="130"/>
      <c r="G168" s="131" t="n">
        <f aca="false">E168</f>
        <v>5.79207</v>
      </c>
      <c r="H168" s="129" t="n">
        <f aca="false">H167</f>
        <v>0</v>
      </c>
      <c r="I168" s="131"/>
      <c r="J168" s="131" t="n">
        <f aca="false">H168</f>
        <v>0</v>
      </c>
      <c r="K168" s="142"/>
      <c r="L168" s="142"/>
      <c r="M168" s="142"/>
      <c r="N168" s="131" t="n">
        <f aca="false">G168+J168+M168+$N$7</f>
        <v>5.50207</v>
      </c>
      <c r="O168" s="131" t="n">
        <f aca="false">O167</f>
        <v>3</v>
      </c>
      <c r="P168" s="131"/>
      <c r="Q168" s="141" t="n">
        <f aca="false">Q167</f>
        <v>0.17</v>
      </c>
      <c r="R168" s="129" t="n">
        <f aca="false">Q168+Summary!C$25</f>
        <v>0.17</v>
      </c>
      <c r="S168" s="129"/>
      <c r="T168" s="132" t="n">
        <f aca="false">X168</f>
        <v>44986</v>
      </c>
      <c r="U168" s="133" t="n">
        <f aca="false">T168-$C$3</f>
        <v>7981</v>
      </c>
      <c r="W168" s="61" t="n">
        <f aca="false">A169-A168</f>
        <v>31</v>
      </c>
      <c r="X168" s="135" t="n">
        <f aca="false">CHOOSE(F$3,A169+24,A168)</f>
        <v>44986</v>
      </c>
      <c r="Y168" s="61" t="n">
        <f aca="false">X168-C$3</f>
        <v>7981</v>
      </c>
      <c r="Z168" s="141" t="n">
        <f aca="false">Z167+0.00005</f>
        <v>0.0676318486271085</v>
      </c>
      <c r="AA168" s="137" t="n">
        <f aca="false">1/(1+CHOOSE(F$3,(Z169+($K$3/10000))/2,(Z168+($K$3/10000))/2))^(2*Y168/365.25)</f>
        <v>0.233780701472026</v>
      </c>
      <c r="AB168" s="61" t="n">
        <f aca="false">IF(AND(mthbeg&lt;=A168,mthend&gt;=A168),1,0)</f>
        <v>1</v>
      </c>
      <c r="AC168" s="61" t="n">
        <f aca="false">W168*AB168</f>
        <v>31</v>
      </c>
      <c r="AD168" s="121" t="n">
        <f aca="false">$D168*E168</f>
        <v>8625248.10965093</v>
      </c>
      <c r="AE168" s="121" t="n">
        <f aca="false">$D168*F168</f>
        <v>0</v>
      </c>
      <c r="AF168" s="121" t="n">
        <f aca="false">$D168*G168</f>
        <v>8625248.10965093</v>
      </c>
      <c r="AG168" s="121" t="n">
        <f aca="false">$D168*H168</f>
        <v>0</v>
      </c>
      <c r="AH168" s="121" t="n">
        <f aca="false">$D168*I168</f>
        <v>0</v>
      </c>
      <c r="AI168" s="121" t="n">
        <f aca="false">$D168*J168</f>
        <v>0</v>
      </c>
      <c r="AJ168" s="121" t="n">
        <f aca="false">$D168*K168</f>
        <v>0</v>
      </c>
      <c r="AK168" s="121" t="n">
        <f aca="false">$D168*L168</f>
        <v>0</v>
      </c>
      <c r="AL168" s="121" t="n">
        <f aca="false">$D168*M168</f>
        <v>0</v>
      </c>
      <c r="AO168" s="75" t="e">
        <f aca="false">EURO(N168,O168,Z168,Z168,R168,U168,0,0)</f>
        <v>#NAME?</v>
      </c>
      <c r="AP168" s="138" t="e">
        <f aca="false">AO168*C168</f>
        <v>#NAME?</v>
      </c>
      <c r="AQ168" s="60" t="e">
        <f aca="false">-EURO(N168,O168,Z168,Z168,R168,U168,0,1)</f>
        <v>#NAME?</v>
      </c>
    </row>
    <row r="169" customFormat="false" ht="12.75" hidden="false" customHeight="false" outlineLevel="0" collapsed="false">
      <c r="A169" s="127" t="n">
        <f aca="false">EDATE(A168,1)</f>
        <v>45017</v>
      </c>
      <c r="B169" s="128" t="n">
        <f aca="false">B168</f>
        <v>205479</v>
      </c>
      <c r="C169" s="116" t="n">
        <f aca="false">IF(AB169=0,0,IF(AND(AB169=1,$H$3=1),B169*W169,IF($H$3=2,B169,"N/A")))</f>
        <v>6164370</v>
      </c>
      <c r="D169" s="116" t="n">
        <f aca="false">C169*AA169</f>
        <v>1431478.81702869</v>
      </c>
      <c r="E169" s="141" t="n">
        <f aca="false">E157*1.02</f>
        <v>5.61867</v>
      </c>
      <c r="F169" s="130"/>
      <c r="G169" s="131" t="n">
        <f aca="false">E169</f>
        <v>5.61867</v>
      </c>
      <c r="H169" s="129" t="n">
        <f aca="false">H168</f>
        <v>0</v>
      </c>
      <c r="I169" s="131"/>
      <c r="J169" s="131" t="n">
        <f aca="false">H169</f>
        <v>0</v>
      </c>
      <c r="K169" s="142"/>
      <c r="L169" s="142"/>
      <c r="M169" s="142"/>
      <c r="N169" s="131" t="n">
        <f aca="false">G169+J169+M169+$N$7</f>
        <v>5.32867</v>
      </c>
      <c r="O169" s="131" t="n">
        <f aca="false">O168</f>
        <v>3</v>
      </c>
      <c r="P169" s="131"/>
      <c r="Q169" s="141" t="n">
        <f aca="false">Q168</f>
        <v>0.17</v>
      </c>
      <c r="R169" s="129" t="n">
        <f aca="false">Q169+Summary!C$25</f>
        <v>0.17</v>
      </c>
      <c r="S169" s="129"/>
      <c r="T169" s="132" t="n">
        <f aca="false">X169</f>
        <v>45017</v>
      </c>
      <c r="U169" s="133" t="n">
        <f aca="false">T169-$C$3</f>
        <v>8012</v>
      </c>
      <c r="W169" s="61" t="n">
        <f aca="false">A170-A169</f>
        <v>30</v>
      </c>
      <c r="X169" s="135" t="n">
        <f aca="false">CHOOSE(F$3,A170+24,A169)</f>
        <v>45017</v>
      </c>
      <c r="Y169" s="61" t="n">
        <f aca="false">X169-C$3</f>
        <v>8012</v>
      </c>
      <c r="Z169" s="141" t="n">
        <f aca="false">Z168+0.00005</f>
        <v>0.0676818486271085</v>
      </c>
      <c r="AA169" s="137" t="n">
        <f aca="false">1/(1+CHOOSE(F$3,(Z170+($K$3/10000))/2,(Z169+($K$3/10000))/2))^(2*Y169/365.25)</f>
        <v>0.232218185642441</v>
      </c>
      <c r="AB169" s="61" t="n">
        <f aca="false">IF(AND(mthbeg&lt;=A169,mthend&gt;=A169),1,0)</f>
        <v>1</v>
      </c>
      <c r="AC169" s="61" t="n">
        <f aca="false">W169*AB169</f>
        <v>30</v>
      </c>
      <c r="AD169" s="121" t="n">
        <f aca="false">$D169*E169</f>
        <v>8043007.08487461</v>
      </c>
      <c r="AE169" s="121" t="n">
        <f aca="false">$D169*F169</f>
        <v>0</v>
      </c>
      <c r="AF169" s="121" t="n">
        <f aca="false">$D169*G169</f>
        <v>8043007.08487461</v>
      </c>
      <c r="AG169" s="121" t="n">
        <f aca="false">$D169*H169</f>
        <v>0</v>
      </c>
      <c r="AH169" s="121" t="n">
        <f aca="false">$D169*I169</f>
        <v>0</v>
      </c>
      <c r="AI169" s="121" t="n">
        <f aca="false">$D169*J169</f>
        <v>0</v>
      </c>
      <c r="AJ169" s="121" t="n">
        <f aca="false">$D169*K169</f>
        <v>0</v>
      </c>
      <c r="AK169" s="121" t="n">
        <f aca="false">$D169*L169</f>
        <v>0</v>
      </c>
      <c r="AL169" s="121" t="n">
        <f aca="false">$D169*M169</f>
        <v>0</v>
      </c>
      <c r="AO169" s="75" t="e">
        <f aca="false">EURO(N169,O169,Z169,Z169,R169,U169,0,0)</f>
        <v>#NAME?</v>
      </c>
      <c r="AP169" s="138" t="e">
        <f aca="false">AO169*C169</f>
        <v>#NAME?</v>
      </c>
      <c r="AQ169" s="60" t="e">
        <f aca="false">-EURO(N169,O169,Z169,Z169,R169,U169,0,1)</f>
        <v>#NAME?</v>
      </c>
    </row>
    <row r="170" customFormat="false" ht="12.75" hidden="false" customHeight="false" outlineLevel="0" collapsed="false">
      <c r="A170" s="127" t="n">
        <f aca="false">EDATE(A169,1)</f>
        <v>45047</v>
      </c>
      <c r="B170" s="128" t="n">
        <f aca="false">B169</f>
        <v>205479</v>
      </c>
      <c r="C170" s="116" t="n">
        <f aca="false">IF(AB170=0,0,IF(AND(AB170=1,$H$3=1),B170*W170,IF($H$3=2,B170,"N/A")))</f>
        <v>6369849</v>
      </c>
      <c r="D170" s="116" t="n">
        <f aca="false">C170*AA170</f>
        <v>1469564.26397041</v>
      </c>
      <c r="E170" s="141" t="n">
        <f aca="false">E158*1.02</f>
        <v>5.67885</v>
      </c>
      <c r="F170" s="130"/>
      <c r="G170" s="131" t="n">
        <f aca="false">E170</f>
        <v>5.67885</v>
      </c>
      <c r="H170" s="129" t="n">
        <f aca="false">H169</f>
        <v>0</v>
      </c>
      <c r="I170" s="131"/>
      <c r="J170" s="131" t="n">
        <f aca="false">H170</f>
        <v>0</v>
      </c>
      <c r="K170" s="142"/>
      <c r="L170" s="142"/>
      <c r="M170" s="142"/>
      <c r="N170" s="131" t="n">
        <f aca="false">G170+J170+M170+$N$7</f>
        <v>5.38885</v>
      </c>
      <c r="O170" s="131" t="n">
        <f aca="false">O169</f>
        <v>3</v>
      </c>
      <c r="P170" s="131"/>
      <c r="Q170" s="141" t="n">
        <f aca="false">Q169</f>
        <v>0.17</v>
      </c>
      <c r="R170" s="129" t="n">
        <f aca="false">Q170+Summary!C$25</f>
        <v>0.17</v>
      </c>
      <c r="S170" s="129"/>
      <c r="T170" s="132" t="n">
        <f aca="false">X170</f>
        <v>45047</v>
      </c>
      <c r="U170" s="133" t="n">
        <f aca="false">T170-$C$3</f>
        <v>8042</v>
      </c>
      <c r="W170" s="61" t="n">
        <f aca="false">A171-A170</f>
        <v>31</v>
      </c>
      <c r="X170" s="135" t="n">
        <f aca="false">CHOOSE(F$3,A171+24,A170)</f>
        <v>45047</v>
      </c>
      <c r="Y170" s="61" t="n">
        <f aca="false">X170-C$3</f>
        <v>8042</v>
      </c>
      <c r="Z170" s="141" t="n">
        <f aca="false">Z169+0.00005</f>
        <v>0.0677318486271085</v>
      </c>
      <c r="AA170" s="137" t="n">
        <f aca="false">1/(1+CHOOSE(F$3,(Z171+($K$3/10000))/2,(Z170+($K$3/10000))/2))^(2*Y170/365.25)</f>
        <v>0.230706295230924</v>
      </c>
      <c r="AB170" s="61" t="n">
        <f aca="false">IF(AND(mthbeg&lt;=A170,mthend&gt;=A170),1,0)</f>
        <v>1</v>
      </c>
      <c r="AC170" s="61" t="n">
        <f aca="false">W170*AB170</f>
        <v>31</v>
      </c>
      <c r="AD170" s="121" t="n">
        <f aca="false">$D170*E170</f>
        <v>8345435.02044833</v>
      </c>
      <c r="AE170" s="121" t="n">
        <f aca="false">$D170*F170</f>
        <v>0</v>
      </c>
      <c r="AF170" s="121" t="n">
        <f aca="false">$D170*G170</f>
        <v>8345435.02044833</v>
      </c>
      <c r="AG170" s="121" t="n">
        <f aca="false">$D170*H170</f>
        <v>0</v>
      </c>
      <c r="AH170" s="121" t="n">
        <f aca="false">$D170*I170</f>
        <v>0</v>
      </c>
      <c r="AI170" s="121" t="n">
        <f aca="false">$D170*J170</f>
        <v>0</v>
      </c>
      <c r="AJ170" s="121" t="n">
        <f aca="false">$D170*K170</f>
        <v>0</v>
      </c>
      <c r="AK170" s="121" t="n">
        <f aca="false">$D170*L170</f>
        <v>0</v>
      </c>
      <c r="AL170" s="121" t="n">
        <f aca="false">$D170*M170</f>
        <v>0</v>
      </c>
      <c r="AO170" s="75" t="e">
        <f aca="false">EURO(N170,O170,Z170,Z170,R170,U170,0,0)</f>
        <v>#NAME?</v>
      </c>
      <c r="AP170" s="138" t="e">
        <f aca="false">AO170*C170</f>
        <v>#NAME?</v>
      </c>
      <c r="AQ170" s="60" t="e">
        <f aca="false">-EURO(N170,O170,Z170,Z170,R170,U170,0,1)</f>
        <v>#NAME?</v>
      </c>
    </row>
    <row r="171" customFormat="false" ht="12.75" hidden="false" customHeight="false" outlineLevel="0" collapsed="false">
      <c r="A171" s="127" t="n">
        <f aca="false">EDATE(A170,1)</f>
        <v>45078</v>
      </c>
      <c r="B171" s="128" t="n">
        <f aca="false">B170</f>
        <v>205479</v>
      </c>
      <c r="C171" s="116" t="n">
        <f aca="false">IF(AB171=0,0,IF(AND(AB171=1,$H$3=1),B171*W171,IF($H$3=2,B171,"N/A")))</f>
        <v>6164370</v>
      </c>
      <c r="D171" s="116" t="n">
        <f aca="false">C171*AA171</f>
        <v>1412630.77279333</v>
      </c>
      <c r="E171" s="141" t="n">
        <f aca="false">E159*1.02</f>
        <v>5.71965</v>
      </c>
      <c r="F171" s="130"/>
      <c r="G171" s="131" t="n">
        <f aca="false">E171</f>
        <v>5.71965</v>
      </c>
      <c r="H171" s="129" t="n">
        <f aca="false">H170</f>
        <v>0</v>
      </c>
      <c r="I171" s="131"/>
      <c r="J171" s="131" t="n">
        <f aca="false">H171</f>
        <v>0</v>
      </c>
      <c r="K171" s="142"/>
      <c r="L171" s="142"/>
      <c r="M171" s="142"/>
      <c r="N171" s="131" t="n">
        <f aca="false">G171+J171+M171+$N$7</f>
        <v>5.42965</v>
      </c>
      <c r="O171" s="131" t="n">
        <f aca="false">O170</f>
        <v>3</v>
      </c>
      <c r="P171" s="131"/>
      <c r="Q171" s="141" t="n">
        <f aca="false">Q170</f>
        <v>0.17</v>
      </c>
      <c r="R171" s="129" t="n">
        <f aca="false">Q171+Summary!C$25</f>
        <v>0.17</v>
      </c>
      <c r="S171" s="129"/>
      <c r="T171" s="132" t="n">
        <f aca="false">X171</f>
        <v>45078</v>
      </c>
      <c r="U171" s="133" t="n">
        <f aca="false">T171-$C$3</f>
        <v>8073</v>
      </c>
      <c r="W171" s="61" t="n">
        <f aca="false">A172-A171</f>
        <v>30</v>
      </c>
      <c r="X171" s="135" t="n">
        <f aca="false">CHOOSE(F$3,A172+24,A171)</f>
        <v>45078</v>
      </c>
      <c r="Y171" s="61" t="n">
        <f aca="false">X171-C$3</f>
        <v>8073</v>
      </c>
      <c r="Z171" s="141" t="n">
        <f aca="false">Z170+0.00005</f>
        <v>0.0677818486271084</v>
      </c>
      <c r="AA171" s="137" t="n">
        <f aca="false">1/(1+CHOOSE(F$3,(Z172+($K$3/10000))/2,(Z171+($K$3/10000))/2))^(2*Y171/365.25)</f>
        <v>0.229160607295366</v>
      </c>
      <c r="AB171" s="61" t="n">
        <f aca="false">IF(AND(mthbeg&lt;=A171,mthend&gt;=A171),1,0)</f>
        <v>1</v>
      </c>
      <c r="AC171" s="61" t="n">
        <f aca="false">W171*AB171</f>
        <v>30</v>
      </c>
      <c r="AD171" s="121" t="n">
        <f aca="false">$D171*E171</f>
        <v>8079753.59960739</v>
      </c>
      <c r="AE171" s="121" t="n">
        <f aca="false">$D171*F171</f>
        <v>0</v>
      </c>
      <c r="AF171" s="121" t="n">
        <f aca="false">$D171*G171</f>
        <v>8079753.59960739</v>
      </c>
      <c r="AG171" s="121" t="n">
        <f aca="false">$D171*H171</f>
        <v>0</v>
      </c>
      <c r="AH171" s="121" t="n">
        <f aca="false">$D171*I171</f>
        <v>0</v>
      </c>
      <c r="AI171" s="121" t="n">
        <f aca="false">$D171*J171</f>
        <v>0</v>
      </c>
      <c r="AJ171" s="121" t="n">
        <f aca="false">$D171*K171</f>
        <v>0</v>
      </c>
      <c r="AK171" s="121" t="n">
        <f aca="false">$D171*L171</f>
        <v>0</v>
      </c>
      <c r="AL171" s="121" t="n">
        <f aca="false">$D171*M171</f>
        <v>0</v>
      </c>
      <c r="AO171" s="75" t="e">
        <f aca="false">EURO(N171,O171,Z171,Z171,R171,U171,0,0)</f>
        <v>#NAME?</v>
      </c>
      <c r="AP171" s="138" t="e">
        <f aca="false">AO171*C171</f>
        <v>#NAME?</v>
      </c>
      <c r="AQ171" s="60" t="e">
        <f aca="false">-EURO(N171,O171,Z171,Z171,R171,U171,0,1)</f>
        <v>#NAME?</v>
      </c>
    </row>
    <row r="172" customFormat="false" ht="12.75" hidden="false" customHeight="false" outlineLevel="0" collapsed="false">
      <c r="A172" s="127" t="n">
        <f aca="false">EDATE(A171,1)</f>
        <v>45108</v>
      </c>
      <c r="B172" s="128" t="n">
        <f aca="false">B171</f>
        <v>205479</v>
      </c>
      <c r="C172" s="116" t="n">
        <f aca="false">IF(AB172=0,0,IF(AND(AB172=1,$H$3=1),B172*W172,IF($H$3=2,B172,"N/A")))</f>
        <v>6369849</v>
      </c>
      <c r="D172" s="116" t="n">
        <f aca="false">C172*AA172</f>
        <v>1450191.59576467</v>
      </c>
      <c r="E172" s="141" t="n">
        <f aca="false">E160*1.02</f>
        <v>5.76555</v>
      </c>
      <c r="F172" s="130"/>
      <c r="G172" s="131" t="n">
        <f aca="false">E172</f>
        <v>5.76555</v>
      </c>
      <c r="H172" s="129" t="n">
        <f aca="false">H171</f>
        <v>0</v>
      </c>
      <c r="I172" s="131"/>
      <c r="J172" s="131" t="n">
        <f aca="false">H172</f>
        <v>0</v>
      </c>
      <c r="K172" s="142"/>
      <c r="L172" s="142"/>
      <c r="M172" s="142"/>
      <c r="N172" s="131" t="n">
        <f aca="false">G172+J172+M172+$N$7</f>
        <v>5.47555</v>
      </c>
      <c r="O172" s="131" t="n">
        <f aca="false">O171</f>
        <v>3</v>
      </c>
      <c r="P172" s="131"/>
      <c r="Q172" s="141" t="n">
        <f aca="false">Q171</f>
        <v>0.17</v>
      </c>
      <c r="R172" s="129" t="n">
        <f aca="false">Q172+Summary!C$25</f>
        <v>0.17</v>
      </c>
      <c r="S172" s="129"/>
      <c r="T172" s="132" t="n">
        <f aca="false">X172</f>
        <v>45108</v>
      </c>
      <c r="U172" s="133" t="n">
        <f aca="false">T172-$C$3</f>
        <v>8103</v>
      </c>
      <c r="W172" s="61" t="n">
        <f aca="false">A173-A172</f>
        <v>31</v>
      </c>
      <c r="X172" s="135" t="n">
        <f aca="false">CHOOSE(F$3,A173+24,A172)</f>
        <v>45108</v>
      </c>
      <c r="Y172" s="61" t="n">
        <f aca="false">X172-C$3</f>
        <v>8103</v>
      </c>
      <c r="Z172" s="141" t="n">
        <f aca="false">Z171+0.00005</f>
        <v>0.0678318486271084</v>
      </c>
      <c r="AA172" s="137" t="n">
        <f aca="false">1/(1+CHOOSE(F$3,(Z173+($K$3/10000))/2,(Z172+($K$3/10000))/2))^(2*Y172/365.25)</f>
        <v>0.227664987940007</v>
      </c>
      <c r="AB172" s="61" t="n">
        <f aca="false">IF(AND(mthbeg&lt;=A172,mthend&gt;=A172),1,0)</f>
        <v>1</v>
      </c>
      <c r="AC172" s="61" t="n">
        <f aca="false">W172*AB172</f>
        <v>31</v>
      </c>
      <c r="AD172" s="121" t="n">
        <f aca="false">$D172*E172</f>
        <v>8361152.15496098</v>
      </c>
      <c r="AE172" s="121" t="n">
        <f aca="false">$D172*F172</f>
        <v>0</v>
      </c>
      <c r="AF172" s="121" t="n">
        <f aca="false">$D172*G172</f>
        <v>8361152.15496098</v>
      </c>
      <c r="AG172" s="121" t="n">
        <f aca="false">$D172*H172</f>
        <v>0</v>
      </c>
      <c r="AH172" s="121" t="n">
        <f aca="false">$D172*I172</f>
        <v>0</v>
      </c>
      <c r="AI172" s="121" t="n">
        <f aca="false">$D172*J172</f>
        <v>0</v>
      </c>
      <c r="AJ172" s="121" t="n">
        <f aca="false">$D172*K172</f>
        <v>0</v>
      </c>
      <c r="AK172" s="121" t="n">
        <f aca="false">$D172*L172</f>
        <v>0</v>
      </c>
      <c r="AL172" s="121" t="n">
        <f aca="false">$D172*M172</f>
        <v>0</v>
      </c>
      <c r="AO172" s="75" t="e">
        <f aca="false">EURO(N172,O172,Z172,Z172,R172,U172,0,0)</f>
        <v>#NAME?</v>
      </c>
      <c r="AP172" s="138" t="e">
        <f aca="false">AO172*C172</f>
        <v>#NAME?</v>
      </c>
      <c r="AQ172" s="60" t="e">
        <f aca="false">-EURO(N172,O172,Z172,Z172,R172,U172,0,1)</f>
        <v>#NAME?</v>
      </c>
    </row>
    <row r="173" customFormat="false" ht="12.75" hidden="false" customHeight="false" outlineLevel="0" collapsed="false">
      <c r="A173" s="127" t="n">
        <f aca="false">EDATE(A172,1)</f>
        <v>45139</v>
      </c>
      <c r="B173" s="128" t="n">
        <f aca="false">B172</f>
        <v>205479</v>
      </c>
      <c r="C173" s="116" t="n">
        <f aca="false">IF(AB173=0,0,IF(AND(AB173=1,$H$3=1),B173*W173,IF($H$3=2,B173,"N/A")))</f>
        <v>6369849</v>
      </c>
      <c r="D173" s="116" t="n">
        <f aca="false">C173*AA173</f>
        <v>1440452.20589379</v>
      </c>
      <c r="E173" s="141" t="n">
        <f aca="false">E161*1.02</f>
        <v>5.80125</v>
      </c>
      <c r="F173" s="130"/>
      <c r="G173" s="131" t="n">
        <f aca="false">E173</f>
        <v>5.80125</v>
      </c>
      <c r="H173" s="129" t="n">
        <f aca="false">H172</f>
        <v>0</v>
      </c>
      <c r="I173" s="131"/>
      <c r="J173" s="131" t="n">
        <f aca="false">H173</f>
        <v>0</v>
      </c>
      <c r="K173" s="142"/>
      <c r="L173" s="142"/>
      <c r="M173" s="142"/>
      <c r="N173" s="131" t="n">
        <f aca="false">G173+J173+M173+$N$7</f>
        <v>5.51125</v>
      </c>
      <c r="O173" s="131" t="n">
        <f aca="false">O172</f>
        <v>3</v>
      </c>
      <c r="P173" s="131"/>
      <c r="Q173" s="141" t="n">
        <f aca="false">Q172</f>
        <v>0.17</v>
      </c>
      <c r="R173" s="129" t="n">
        <f aca="false">Q173+Summary!C$25</f>
        <v>0.17</v>
      </c>
      <c r="S173" s="129"/>
      <c r="T173" s="132" t="n">
        <f aca="false">X173</f>
        <v>45139</v>
      </c>
      <c r="U173" s="133" t="n">
        <f aca="false">T173-$C$3</f>
        <v>8134</v>
      </c>
      <c r="W173" s="61" t="n">
        <f aca="false">A174-A173</f>
        <v>31</v>
      </c>
      <c r="X173" s="135" t="n">
        <f aca="false">CHOOSE(F$3,A174+24,A173)</f>
        <v>45139</v>
      </c>
      <c r="Y173" s="61" t="n">
        <f aca="false">X173-C$3</f>
        <v>8134</v>
      </c>
      <c r="Z173" s="141" t="n">
        <f aca="false">Z172+0.00005</f>
        <v>0.0678818486271084</v>
      </c>
      <c r="AA173" s="137" t="n">
        <f aca="false">1/(1+CHOOSE(F$3,(Z174+($K$3/10000))/2,(Z173+($K$3/10000))/2))^(2*Y173/365.25)</f>
        <v>0.22613600509114</v>
      </c>
      <c r="AB173" s="61" t="n">
        <f aca="false">IF(AND(mthbeg&lt;=A173,mthend&gt;=A173),1,0)</f>
        <v>1</v>
      </c>
      <c r="AC173" s="61" t="n">
        <f aca="false">W173*AB173</f>
        <v>31</v>
      </c>
      <c r="AD173" s="121" t="n">
        <f aca="false">$D173*E173</f>
        <v>8356423.35944137</v>
      </c>
      <c r="AE173" s="121" t="n">
        <f aca="false">$D173*F173</f>
        <v>0</v>
      </c>
      <c r="AF173" s="121" t="n">
        <f aca="false">$D173*G173</f>
        <v>8356423.35944137</v>
      </c>
      <c r="AG173" s="121" t="n">
        <f aca="false">$D173*H173</f>
        <v>0</v>
      </c>
      <c r="AH173" s="121" t="n">
        <f aca="false">$D173*I173</f>
        <v>0</v>
      </c>
      <c r="AI173" s="121" t="n">
        <f aca="false">$D173*J173</f>
        <v>0</v>
      </c>
      <c r="AJ173" s="121" t="n">
        <f aca="false">$D173*K173</f>
        <v>0</v>
      </c>
      <c r="AK173" s="121" t="n">
        <f aca="false">$D173*L173</f>
        <v>0</v>
      </c>
      <c r="AL173" s="121" t="n">
        <f aca="false">$D173*M173</f>
        <v>0</v>
      </c>
      <c r="AO173" s="75" t="e">
        <f aca="false">EURO(N173,O173,Z173,Z173,R173,U173,0,0)</f>
        <v>#NAME?</v>
      </c>
      <c r="AP173" s="138" t="e">
        <f aca="false">AO173*C173</f>
        <v>#NAME?</v>
      </c>
      <c r="AQ173" s="60" t="e">
        <f aca="false">-EURO(N173,O173,Z173,Z173,R173,U173,0,1)</f>
        <v>#NAME?</v>
      </c>
    </row>
    <row r="174" customFormat="false" ht="12.75" hidden="false" customHeight="false" outlineLevel="0" collapsed="false">
      <c r="A174" s="127" t="n">
        <f aca="false">EDATE(A173,1)</f>
        <v>45170</v>
      </c>
      <c r="B174" s="128" t="n">
        <f aca="false">B173</f>
        <v>205479</v>
      </c>
      <c r="C174" s="116" t="n">
        <f aca="false">IF(AB174=0,0,IF(AND(AB174=1,$H$3=1),B174*W174,IF($H$3=2,B174,"N/A")))</f>
        <v>6164370</v>
      </c>
      <c r="D174" s="116" t="n">
        <f aca="false">C174*AA174</f>
        <v>1384612.7589225</v>
      </c>
      <c r="E174" s="141" t="n">
        <f aca="false">E162*1.02</f>
        <v>5.813235</v>
      </c>
      <c r="F174" s="130"/>
      <c r="G174" s="131" t="n">
        <f aca="false">E174</f>
        <v>5.813235</v>
      </c>
      <c r="H174" s="129" t="n">
        <f aca="false">H173</f>
        <v>0</v>
      </c>
      <c r="I174" s="131"/>
      <c r="J174" s="131" t="n">
        <f aca="false">H174</f>
        <v>0</v>
      </c>
      <c r="K174" s="142"/>
      <c r="L174" s="142"/>
      <c r="M174" s="142"/>
      <c r="N174" s="131" t="n">
        <f aca="false">G174+J174+M174+$N$7</f>
        <v>5.523235</v>
      </c>
      <c r="O174" s="131" t="n">
        <f aca="false">O173</f>
        <v>3</v>
      </c>
      <c r="P174" s="131"/>
      <c r="Q174" s="141" t="n">
        <f aca="false">Q173</f>
        <v>0.17</v>
      </c>
      <c r="R174" s="129" t="n">
        <f aca="false">Q174+Summary!C$25</f>
        <v>0.17</v>
      </c>
      <c r="S174" s="129"/>
      <c r="T174" s="132" t="n">
        <f aca="false">X174</f>
        <v>45170</v>
      </c>
      <c r="U174" s="133" t="n">
        <f aca="false">T174-$C$3</f>
        <v>8165</v>
      </c>
      <c r="W174" s="61" t="n">
        <f aca="false">A175-A174</f>
        <v>30</v>
      </c>
      <c r="X174" s="135" t="n">
        <f aca="false">CHOOSE(F$3,A175+24,A174)</f>
        <v>45170</v>
      </c>
      <c r="Y174" s="61" t="n">
        <f aca="false">X174-C$3</f>
        <v>8165</v>
      </c>
      <c r="Z174" s="141" t="n">
        <f aca="false">Z173+0.00005</f>
        <v>0.0679318486271084</v>
      </c>
      <c r="AA174" s="137" t="n">
        <f aca="false">1/(1+CHOOSE(F$3,(Z175+($K$3/10000))/2,(Z174+($K$3/10000))/2))^(2*Y174/365.25)</f>
        <v>0.224615452823647</v>
      </c>
      <c r="AB174" s="61" t="n">
        <f aca="false">IF(AND(mthbeg&lt;=A174,mthend&gt;=A174),1,0)</f>
        <v>1</v>
      </c>
      <c r="AC174" s="61" t="n">
        <f aca="false">W174*AB174</f>
        <v>30</v>
      </c>
      <c r="AD174" s="121" t="n">
        <f aca="false">$D174*E174</f>
        <v>8049079.35161487</v>
      </c>
      <c r="AE174" s="121" t="n">
        <f aca="false">$D174*F174</f>
        <v>0</v>
      </c>
      <c r="AF174" s="121" t="n">
        <f aca="false">$D174*G174</f>
        <v>8049079.35161487</v>
      </c>
      <c r="AG174" s="121" t="n">
        <f aca="false">$D174*H174</f>
        <v>0</v>
      </c>
      <c r="AH174" s="121" t="n">
        <f aca="false">$D174*I174</f>
        <v>0</v>
      </c>
      <c r="AI174" s="121" t="n">
        <f aca="false">$D174*J174</f>
        <v>0</v>
      </c>
      <c r="AJ174" s="121" t="n">
        <f aca="false">$D174*K174</f>
        <v>0</v>
      </c>
      <c r="AK174" s="121" t="n">
        <f aca="false">$D174*L174</f>
        <v>0</v>
      </c>
      <c r="AL174" s="121" t="n">
        <f aca="false">$D174*M174</f>
        <v>0</v>
      </c>
      <c r="AO174" s="75" t="e">
        <f aca="false">EURO(N174,O174,Z174,Z174,R174,U174,0,0)</f>
        <v>#NAME?</v>
      </c>
      <c r="AP174" s="138" t="e">
        <f aca="false">AO174*C174</f>
        <v>#NAME?</v>
      </c>
      <c r="AQ174" s="60" t="e">
        <f aca="false">-EURO(N174,O174,Z174,Z174,R174,U174,0,1)</f>
        <v>#NAME?</v>
      </c>
    </row>
    <row r="175" customFormat="false" ht="12.75" hidden="false" customHeight="false" outlineLevel="0" collapsed="false">
      <c r="A175" s="127" t="n">
        <f aca="false">EDATE(A174,1)</f>
        <v>45200</v>
      </c>
      <c r="B175" s="128" t="n">
        <f aca="false">B174</f>
        <v>205479</v>
      </c>
      <c r="C175" s="116" t="n">
        <f aca="false">IF(AB175=0,0,IF(AND(AB175=1,$H$3=1),B175*W175,IF($H$3=2,B175,"N/A")))</f>
        <v>6369849</v>
      </c>
      <c r="D175" s="116" t="n">
        <f aca="false">C175*AA175</f>
        <v>1421394.46319868</v>
      </c>
      <c r="E175" s="141" t="n">
        <f aca="false">E163*1.02</f>
        <v>5.844447</v>
      </c>
      <c r="F175" s="130"/>
      <c r="G175" s="131" t="n">
        <f aca="false">E175</f>
        <v>5.844447</v>
      </c>
      <c r="H175" s="129" t="n">
        <f aca="false">H174</f>
        <v>0</v>
      </c>
      <c r="I175" s="131"/>
      <c r="J175" s="131" t="n">
        <f aca="false">H175</f>
        <v>0</v>
      </c>
      <c r="K175" s="142"/>
      <c r="L175" s="142"/>
      <c r="M175" s="142"/>
      <c r="N175" s="131" t="n">
        <f aca="false">G175+J175+M175+$N$7</f>
        <v>5.554447</v>
      </c>
      <c r="O175" s="131" t="n">
        <f aca="false">O174</f>
        <v>3</v>
      </c>
      <c r="P175" s="131"/>
      <c r="Q175" s="141" t="n">
        <f aca="false">Q174</f>
        <v>0.17</v>
      </c>
      <c r="R175" s="129" t="n">
        <f aca="false">Q175+Summary!C$25</f>
        <v>0.17</v>
      </c>
      <c r="S175" s="129"/>
      <c r="T175" s="132" t="n">
        <f aca="false">X175</f>
        <v>45200</v>
      </c>
      <c r="U175" s="133" t="n">
        <f aca="false">T175-$C$3</f>
        <v>8195</v>
      </c>
      <c r="W175" s="61" t="n">
        <f aca="false">A176-A175</f>
        <v>31</v>
      </c>
      <c r="X175" s="135" t="n">
        <f aca="false">CHOOSE(F$3,A176+24,A175)</f>
        <v>45200</v>
      </c>
      <c r="Y175" s="61" t="n">
        <f aca="false">X175-C$3</f>
        <v>8195</v>
      </c>
      <c r="Z175" s="141" t="n">
        <f aca="false">Z174+0.00005</f>
        <v>0.0679818486271084</v>
      </c>
      <c r="AA175" s="137" t="n">
        <f aca="false">1/(1+CHOOSE(F$3,(Z176+($K$3/10000))/2,(Z175+($K$3/10000))/2))^(2*Y175/365.25)</f>
        <v>0.223144137827864</v>
      </c>
      <c r="AB175" s="61" t="n">
        <f aca="false">IF(AND(mthbeg&lt;=A175,mthend&gt;=A175),1,0)</f>
        <v>1</v>
      </c>
      <c r="AC175" s="61" t="n">
        <f aca="false">W175*AB175</f>
        <v>31</v>
      </c>
      <c r="AD175" s="121" t="n">
        <f aca="false">$D175*E175</f>
        <v>8307264.60625814</v>
      </c>
      <c r="AE175" s="121" t="n">
        <f aca="false">$D175*F175</f>
        <v>0</v>
      </c>
      <c r="AF175" s="121" t="n">
        <f aca="false">$D175*G175</f>
        <v>8307264.60625814</v>
      </c>
      <c r="AG175" s="121" t="n">
        <f aca="false">$D175*H175</f>
        <v>0</v>
      </c>
      <c r="AH175" s="121" t="n">
        <f aca="false">$D175*I175</f>
        <v>0</v>
      </c>
      <c r="AI175" s="121" t="n">
        <f aca="false">$D175*J175</f>
        <v>0</v>
      </c>
      <c r="AJ175" s="121" t="n">
        <f aca="false">$D175*K175</f>
        <v>0</v>
      </c>
      <c r="AK175" s="121" t="n">
        <f aca="false">$D175*L175</f>
        <v>0</v>
      </c>
      <c r="AL175" s="121" t="n">
        <f aca="false">$D175*M175</f>
        <v>0</v>
      </c>
      <c r="AO175" s="75" t="e">
        <f aca="false">EURO(N175,O175,Z175,Z175,R175,U175,0,0)</f>
        <v>#NAME?</v>
      </c>
      <c r="AP175" s="138" t="e">
        <f aca="false">AO175*C175</f>
        <v>#NAME?</v>
      </c>
      <c r="AQ175" s="60" t="e">
        <f aca="false">-EURO(N175,O175,Z175,Z175,R175,U175,0,1)</f>
        <v>#NAME?</v>
      </c>
    </row>
    <row r="176" customFormat="false" ht="12.75" hidden="false" customHeight="false" outlineLevel="0" collapsed="false">
      <c r="A176" s="127" t="n">
        <f aca="false">EDATE(A175,1)</f>
        <v>45231</v>
      </c>
      <c r="B176" s="128" t="n">
        <f aca="false">B175</f>
        <v>205479</v>
      </c>
      <c r="C176" s="116" t="n">
        <f aca="false">IF(AB176=0,0,IF(AND(AB176=1,$H$3=1),B176*W176,IF($H$3=2,B176,"N/A")))</f>
        <v>6164370</v>
      </c>
      <c r="D176" s="116" t="n">
        <f aca="false">C176*AA176</f>
        <v>1366271.61619281</v>
      </c>
      <c r="E176" s="141" t="n">
        <f aca="false">E164*1.02</f>
        <v>5.958891</v>
      </c>
      <c r="F176" s="130"/>
      <c r="G176" s="131" t="n">
        <f aca="false">E176</f>
        <v>5.958891</v>
      </c>
      <c r="H176" s="129" t="n">
        <f aca="false">H175</f>
        <v>0</v>
      </c>
      <c r="I176" s="131"/>
      <c r="J176" s="131" t="n">
        <f aca="false">H176</f>
        <v>0</v>
      </c>
      <c r="K176" s="142"/>
      <c r="L176" s="142"/>
      <c r="M176" s="142"/>
      <c r="N176" s="131" t="n">
        <f aca="false">G176+J176+M176+$N$7</f>
        <v>5.668891</v>
      </c>
      <c r="O176" s="131" t="n">
        <f aca="false">O175</f>
        <v>3</v>
      </c>
      <c r="P176" s="131"/>
      <c r="Q176" s="141" t="n">
        <f aca="false">Q175</f>
        <v>0.17</v>
      </c>
      <c r="R176" s="129" t="n">
        <f aca="false">Q176+Summary!C$25</f>
        <v>0.17</v>
      </c>
      <c r="S176" s="129"/>
      <c r="T176" s="132" t="n">
        <f aca="false">X176</f>
        <v>45231</v>
      </c>
      <c r="U176" s="133" t="n">
        <f aca="false">T176-$C$3</f>
        <v>8226</v>
      </c>
      <c r="W176" s="61" t="n">
        <f aca="false">A177-A176</f>
        <v>30</v>
      </c>
      <c r="X176" s="135" t="n">
        <f aca="false">CHOOSE(F$3,A177+24,A176)</f>
        <v>45231</v>
      </c>
      <c r="Y176" s="61" t="n">
        <f aca="false">X176-C$3</f>
        <v>8226</v>
      </c>
      <c r="Z176" s="141" t="n">
        <f aca="false">Z175+0.00005</f>
        <v>0.0680318486271084</v>
      </c>
      <c r="AA176" s="137" t="n">
        <f aca="false">1/(1+CHOOSE(F$3,(Z177+($K$3/10000))/2,(Z176+($K$3/10000))/2))^(2*Y176/365.25)</f>
        <v>0.221640105346177</v>
      </c>
      <c r="AB176" s="61" t="n">
        <f aca="false">IF(AND(mthbeg&lt;=A176,mthend&gt;=A176),1,0)</f>
        <v>1</v>
      </c>
      <c r="AC176" s="61" t="n">
        <f aca="false">W176*AB176</f>
        <v>30</v>
      </c>
      <c r="AD176" s="121" t="n">
        <f aca="false">$D176*E176</f>
        <v>8141463.63728679</v>
      </c>
      <c r="AE176" s="121" t="n">
        <f aca="false">$D176*F176</f>
        <v>0</v>
      </c>
      <c r="AF176" s="121" t="n">
        <f aca="false">$D176*G176</f>
        <v>8141463.63728679</v>
      </c>
      <c r="AG176" s="121" t="n">
        <f aca="false">$D176*H176</f>
        <v>0</v>
      </c>
      <c r="AH176" s="121" t="n">
        <f aca="false">$D176*I176</f>
        <v>0</v>
      </c>
      <c r="AI176" s="121" t="n">
        <f aca="false">$D176*J176</f>
        <v>0</v>
      </c>
      <c r="AJ176" s="121" t="n">
        <f aca="false">$D176*K176</f>
        <v>0</v>
      </c>
      <c r="AK176" s="121" t="n">
        <f aca="false">$D176*L176</f>
        <v>0</v>
      </c>
      <c r="AL176" s="121" t="n">
        <f aca="false">$D176*M176</f>
        <v>0</v>
      </c>
      <c r="AO176" s="75" t="e">
        <f aca="false">EURO(N176,O176,Z176,Z176,R176,U176,0,0)</f>
        <v>#NAME?</v>
      </c>
      <c r="AP176" s="138" t="e">
        <f aca="false">AO176*C176</f>
        <v>#NAME?</v>
      </c>
      <c r="AQ176" s="60" t="e">
        <f aca="false">-EURO(N176,O176,Z176,Z176,R176,U176,0,1)</f>
        <v>#NAME?</v>
      </c>
    </row>
    <row r="177" customFormat="false" ht="12.75" hidden="false" customHeight="false" outlineLevel="0" collapsed="false">
      <c r="A177" s="127" t="n">
        <f aca="false">EDATE(A176,1)</f>
        <v>45261</v>
      </c>
      <c r="B177" s="128" t="n">
        <f aca="false">B176</f>
        <v>205479</v>
      </c>
      <c r="C177" s="116" t="n">
        <f aca="false">IF(AB177=0,0,IF(AND(AB177=1,$H$3=1),B177*W177,IF($H$3=2,B177,"N/A")))</f>
        <v>6369849</v>
      </c>
      <c r="D177" s="116" t="n">
        <f aca="false">C177*AA177</f>
        <v>1402543.70087423</v>
      </c>
      <c r="E177" s="141" t="n">
        <f aca="false">E165*1.02</f>
        <v>6.083739</v>
      </c>
      <c r="F177" s="130"/>
      <c r="G177" s="131" t="n">
        <f aca="false">E177</f>
        <v>6.083739</v>
      </c>
      <c r="H177" s="129" t="n">
        <f aca="false">H176</f>
        <v>0</v>
      </c>
      <c r="I177" s="131"/>
      <c r="J177" s="131" t="n">
        <f aca="false">H177</f>
        <v>0</v>
      </c>
      <c r="K177" s="142"/>
      <c r="L177" s="142"/>
      <c r="M177" s="142"/>
      <c r="N177" s="131" t="n">
        <f aca="false">G177+J177+M177+$N$7</f>
        <v>5.793739</v>
      </c>
      <c r="O177" s="131" t="n">
        <f aca="false">O176</f>
        <v>3</v>
      </c>
      <c r="P177" s="131"/>
      <c r="Q177" s="141" t="n">
        <f aca="false">Q176</f>
        <v>0.17</v>
      </c>
      <c r="R177" s="129" t="n">
        <f aca="false">Q177+Summary!C$25</f>
        <v>0.17</v>
      </c>
      <c r="S177" s="129"/>
      <c r="T177" s="132" t="n">
        <f aca="false">X177</f>
        <v>45261</v>
      </c>
      <c r="U177" s="133" t="n">
        <f aca="false">T177-$C$3</f>
        <v>8256</v>
      </c>
      <c r="W177" s="61" t="n">
        <f aca="false">A178-A177</f>
        <v>31</v>
      </c>
      <c r="X177" s="135" t="n">
        <f aca="false">CHOOSE(F$3,A178+24,A177)</f>
        <v>45261</v>
      </c>
      <c r="Y177" s="61" t="n">
        <f aca="false">X177-C$3</f>
        <v>8256</v>
      </c>
      <c r="Z177" s="141" t="n">
        <f aca="false">Z176+0.00005</f>
        <v>0.0680818486271084</v>
      </c>
      <c r="AA177" s="137" t="n">
        <f aca="false">1/(1+CHOOSE(F$3,(Z178+($K$3/10000))/2,(Z177+($K$3/10000))/2))^(2*Y177/365.25)</f>
        <v>0.220184764328672</v>
      </c>
      <c r="AB177" s="61" t="n">
        <f aca="false">IF(AND(mthbeg&lt;=A177,mthend&gt;=A177),1,0)</f>
        <v>1</v>
      </c>
      <c r="AC177" s="61" t="n">
        <f aca="false">W177*AB177</f>
        <v>31</v>
      </c>
      <c r="AD177" s="121" t="n">
        <f aca="false">$D177*E177</f>
        <v>8532709.81221286</v>
      </c>
      <c r="AE177" s="121" t="n">
        <f aca="false">$D177*F177</f>
        <v>0</v>
      </c>
      <c r="AF177" s="121" t="n">
        <f aca="false">$D177*G177</f>
        <v>8532709.81221286</v>
      </c>
      <c r="AG177" s="121" t="n">
        <f aca="false">$D177*H177</f>
        <v>0</v>
      </c>
      <c r="AH177" s="121" t="n">
        <f aca="false">$D177*I177</f>
        <v>0</v>
      </c>
      <c r="AI177" s="121" t="n">
        <f aca="false">$D177*J177</f>
        <v>0</v>
      </c>
      <c r="AJ177" s="121" t="n">
        <f aca="false">$D177*K177</f>
        <v>0</v>
      </c>
      <c r="AK177" s="121" t="n">
        <f aca="false">$D177*L177</f>
        <v>0</v>
      </c>
      <c r="AL177" s="121" t="n">
        <f aca="false">$D177*M177</f>
        <v>0</v>
      </c>
      <c r="AO177" s="75" t="e">
        <f aca="false">EURO(N177,O177,Z177,Z177,R177,U177,0,0)</f>
        <v>#NAME?</v>
      </c>
      <c r="AP177" s="138" t="e">
        <f aca="false">AO177*C177</f>
        <v>#NAME?</v>
      </c>
      <c r="AQ177" s="60" t="e">
        <f aca="false">-EURO(N177,O177,Z177,Z177,R177,U177,0,1)</f>
        <v>#NAME?</v>
      </c>
    </row>
    <row r="178" customFormat="false" ht="12.75" hidden="false" customHeight="false" outlineLevel="0" collapsed="false">
      <c r="A178" s="127" t="n">
        <f aca="false">EDATE(A177,1)</f>
        <v>45292</v>
      </c>
      <c r="B178" s="128" t="n">
        <f aca="false">B177</f>
        <v>205479</v>
      </c>
      <c r="C178" s="116" t="n">
        <f aca="false">IF(AB178=0,0,IF(AND(AB178=1,$H$3=1),B178*W178,IF($H$3=2,B178,"N/A")))</f>
        <v>6369849</v>
      </c>
      <c r="D178" s="116" t="n">
        <f aca="false">C178*AA178</f>
        <v>1393067.68772295</v>
      </c>
      <c r="E178" s="141" t="n">
        <f aca="false">E166*1.02</f>
        <v>6.177375</v>
      </c>
      <c r="F178" s="130"/>
      <c r="G178" s="131" t="n">
        <f aca="false">E178</f>
        <v>6.177375</v>
      </c>
      <c r="H178" s="129" t="n">
        <f aca="false">H177</f>
        <v>0</v>
      </c>
      <c r="I178" s="131"/>
      <c r="J178" s="131" t="n">
        <f aca="false">H178</f>
        <v>0</v>
      </c>
      <c r="K178" s="142"/>
      <c r="L178" s="142"/>
      <c r="M178" s="142"/>
      <c r="N178" s="131" t="n">
        <f aca="false">G178+J178+M178+$N$7</f>
        <v>5.887375</v>
      </c>
      <c r="O178" s="131" t="n">
        <f aca="false">O177</f>
        <v>3</v>
      </c>
      <c r="P178" s="131"/>
      <c r="Q178" s="141" t="n">
        <f aca="false">Q177</f>
        <v>0.17</v>
      </c>
      <c r="R178" s="129" t="n">
        <f aca="false">Q178+Summary!C$25</f>
        <v>0.17</v>
      </c>
      <c r="S178" s="129"/>
      <c r="T178" s="132" t="n">
        <f aca="false">X178</f>
        <v>45292</v>
      </c>
      <c r="U178" s="133" t="n">
        <f aca="false">T178-$C$3</f>
        <v>8287</v>
      </c>
      <c r="W178" s="61" t="n">
        <f aca="false">A179-A178</f>
        <v>31</v>
      </c>
      <c r="X178" s="135" t="n">
        <f aca="false">CHOOSE(F$3,A179+24,A178)</f>
        <v>45292</v>
      </c>
      <c r="Y178" s="61" t="n">
        <f aca="false">X178-C$3</f>
        <v>8287</v>
      </c>
      <c r="Z178" s="141" t="n">
        <f aca="false">Z177+0.00005</f>
        <v>0.0681318486271084</v>
      </c>
      <c r="AA178" s="137" t="n">
        <f aca="false">1/(1+CHOOSE(F$3,(Z179+($K$3/10000))/2,(Z178+($K$3/10000))/2))^(2*Y178/365.25)</f>
        <v>0.218697128883739</v>
      </c>
      <c r="AB178" s="61" t="n">
        <f aca="false">IF(AND(mthbeg&lt;=A178,mthend&gt;=A178),1,0)</f>
        <v>1</v>
      </c>
      <c r="AC178" s="61" t="n">
        <f aca="false">W178*AB178</f>
        <v>31</v>
      </c>
      <c r="AD178" s="121" t="n">
        <f aca="false">$D178*E178</f>
        <v>8605501.50744758</v>
      </c>
      <c r="AE178" s="121" t="n">
        <f aca="false">$D178*F178</f>
        <v>0</v>
      </c>
      <c r="AF178" s="121" t="n">
        <f aca="false">$D178*G178</f>
        <v>8605501.50744758</v>
      </c>
      <c r="AG178" s="121" t="n">
        <f aca="false">$D178*H178</f>
        <v>0</v>
      </c>
      <c r="AH178" s="121" t="n">
        <f aca="false">$D178*I178</f>
        <v>0</v>
      </c>
      <c r="AI178" s="121" t="n">
        <f aca="false">$D178*J178</f>
        <v>0</v>
      </c>
      <c r="AJ178" s="121" t="n">
        <f aca="false">$D178*K178</f>
        <v>0</v>
      </c>
      <c r="AK178" s="121" t="n">
        <f aca="false">$D178*L178</f>
        <v>0</v>
      </c>
      <c r="AL178" s="121" t="n">
        <f aca="false">$D178*M178</f>
        <v>0</v>
      </c>
      <c r="AO178" s="75" t="e">
        <f aca="false">EURO(N178,O178,Z178,Z178,R178,U178,0,0)</f>
        <v>#NAME?</v>
      </c>
      <c r="AP178" s="138" t="e">
        <f aca="false">AO178*C178</f>
        <v>#NAME?</v>
      </c>
      <c r="AQ178" s="60" t="e">
        <f aca="false">-EURO(N178,O178,Z178,Z178,R178,U178,0,1)</f>
        <v>#NAME?</v>
      </c>
    </row>
    <row r="179" customFormat="false" ht="12.75" hidden="false" customHeight="false" outlineLevel="0" collapsed="false">
      <c r="A179" s="127" t="n">
        <f aca="false">EDATE(A178,1)</f>
        <v>45323</v>
      </c>
      <c r="B179" s="128" t="n">
        <f aca="false">B178</f>
        <v>205479</v>
      </c>
      <c r="C179" s="116" t="n">
        <f aca="false">IF(AB179=0,0,IF(AND(AB179=1,$H$3=1),B179*W179,IF($H$3=2,B179,"N/A")))</f>
        <v>5958891</v>
      </c>
      <c r="D179" s="116" t="n">
        <f aca="false">C179*AA179</f>
        <v>1294376.99828339</v>
      </c>
      <c r="E179" s="141" t="n">
        <f aca="false">E167*1.02</f>
        <v>6.052527</v>
      </c>
      <c r="F179" s="130"/>
      <c r="G179" s="131" t="n">
        <f aca="false">E179</f>
        <v>6.052527</v>
      </c>
      <c r="H179" s="129" t="n">
        <f aca="false">H178</f>
        <v>0</v>
      </c>
      <c r="I179" s="131"/>
      <c r="J179" s="131" t="n">
        <f aca="false">H179</f>
        <v>0</v>
      </c>
      <c r="K179" s="142"/>
      <c r="L179" s="142"/>
      <c r="M179" s="142"/>
      <c r="N179" s="131" t="n">
        <f aca="false">G179+J179+M179+$N$7</f>
        <v>5.762527</v>
      </c>
      <c r="O179" s="131" t="n">
        <f aca="false">O178</f>
        <v>3</v>
      </c>
      <c r="P179" s="131"/>
      <c r="Q179" s="141" t="n">
        <f aca="false">Q178</f>
        <v>0.17</v>
      </c>
      <c r="R179" s="129" t="n">
        <f aca="false">Q179+Summary!C$25</f>
        <v>0.17</v>
      </c>
      <c r="S179" s="129"/>
      <c r="T179" s="132" t="n">
        <f aca="false">X179</f>
        <v>45323</v>
      </c>
      <c r="U179" s="133" t="n">
        <f aca="false">T179-$C$3</f>
        <v>8318</v>
      </c>
      <c r="W179" s="61" t="n">
        <f aca="false">A180-A179</f>
        <v>29</v>
      </c>
      <c r="X179" s="135" t="n">
        <f aca="false">CHOOSE(F$3,A180+24,A179)</f>
        <v>45323</v>
      </c>
      <c r="Y179" s="61" t="n">
        <f aca="false">X179-C$3</f>
        <v>8318</v>
      </c>
      <c r="Z179" s="141" t="n">
        <f aca="false">Z178+0.00005</f>
        <v>0.0681818486271084</v>
      </c>
      <c r="AA179" s="137" t="n">
        <f aca="false">1/(1+CHOOSE(F$3,(Z180+($K$3/10000))/2,(Z179+($K$3/10000))/2))^(2*Y179/365.25)</f>
        <v>0.217217767246185</v>
      </c>
      <c r="AB179" s="61" t="n">
        <f aca="false">IF(AND(mthbeg&lt;=A179,mthend&gt;=A179),1,0)</f>
        <v>1</v>
      </c>
      <c r="AC179" s="61" t="n">
        <f aca="false">W179*AB179</f>
        <v>29</v>
      </c>
      <c r="AD179" s="121" t="n">
        <f aca="false">$D179*E179</f>
        <v>7834251.73028915</v>
      </c>
      <c r="AE179" s="121" t="n">
        <f aca="false">$D179*F179</f>
        <v>0</v>
      </c>
      <c r="AF179" s="121" t="n">
        <f aca="false">$D179*G179</f>
        <v>7834251.73028915</v>
      </c>
      <c r="AG179" s="121" t="n">
        <f aca="false">$D179*H179</f>
        <v>0</v>
      </c>
      <c r="AH179" s="121" t="n">
        <f aca="false">$D179*I179</f>
        <v>0</v>
      </c>
      <c r="AI179" s="121" t="n">
        <f aca="false">$D179*J179</f>
        <v>0</v>
      </c>
      <c r="AJ179" s="121" t="n">
        <f aca="false">$D179*K179</f>
        <v>0</v>
      </c>
      <c r="AK179" s="121" t="n">
        <f aca="false">$D179*L179</f>
        <v>0</v>
      </c>
      <c r="AL179" s="121" t="n">
        <f aca="false">$D179*M179</f>
        <v>0</v>
      </c>
      <c r="AO179" s="75" t="e">
        <f aca="false">EURO(N179,O179,Z179,Z179,R179,U179,0,0)</f>
        <v>#NAME?</v>
      </c>
      <c r="AP179" s="138" t="e">
        <f aca="false">AO179*C179</f>
        <v>#NAME?</v>
      </c>
      <c r="AQ179" s="60" t="e">
        <f aca="false">-EURO(N179,O179,Z179,Z179,R179,U179,0,1)</f>
        <v>#NAME?</v>
      </c>
    </row>
    <row r="180" customFormat="false" ht="12.75" hidden="false" customHeight="false" outlineLevel="0" collapsed="false">
      <c r="A180" s="127" t="n">
        <f aca="false">EDATE(A179,1)</f>
        <v>45352</v>
      </c>
      <c r="B180" s="128" t="n">
        <f aca="false">B179</f>
        <v>205479</v>
      </c>
      <c r="C180" s="116" t="n">
        <f aca="false">IF(AB180=0,0,IF(AND(AB180=1,$H$3=1),B180*W180,IF($H$3=2,B180,"N/A")))</f>
        <v>6369849</v>
      </c>
      <c r="D180" s="116" t="n">
        <f aca="false">C180*AA180</f>
        <v>1374778.548544</v>
      </c>
      <c r="E180" s="141" t="n">
        <f aca="false">E168*1.02</f>
        <v>5.9079114</v>
      </c>
      <c r="F180" s="130"/>
      <c r="G180" s="131" t="n">
        <f aca="false">E180</f>
        <v>5.9079114</v>
      </c>
      <c r="H180" s="129" t="n">
        <f aca="false">H179</f>
        <v>0</v>
      </c>
      <c r="I180" s="131"/>
      <c r="J180" s="131" t="n">
        <f aca="false">H180</f>
        <v>0</v>
      </c>
      <c r="K180" s="142"/>
      <c r="L180" s="142"/>
      <c r="M180" s="142"/>
      <c r="N180" s="131" t="n">
        <f aca="false">G180+J180+M180+$N$7</f>
        <v>5.6179114</v>
      </c>
      <c r="O180" s="131" t="n">
        <f aca="false">O179</f>
        <v>3</v>
      </c>
      <c r="P180" s="131"/>
      <c r="Q180" s="141" t="n">
        <f aca="false">Q179</f>
        <v>0.17</v>
      </c>
      <c r="R180" s="129" t="n">
        <f aca="false">Q180+Summary!C$25</f>
        <v>0.17</v>
      </c>
      <c r="S180" s="129"/>
      <c r="T180" s="132" t="n">
        <f aca="false">X180</f>
        <v>45352</v>
      </c>
      <c r="U180" s="133" t="n">
        <f aca="false">T180-$C$3</f>
        <v>8347</v>
      </c>
      <c r="W180" s="61" t="n">
        <f aca="false">A181-A180</f>
        <v>31</v>
      </c>
      <c r="X180" s="135" t="n">
        <f aca="false">CHOOSE(F$3,A181+24,A180)</f>
        <v>45352</v>
      </c>
      <c r="Y180" s="61" t="n">
        <f aca="false">X180-C$3</f>
        <v>8347</v>
      </c>
      <c r="Z180" s="141" t="n">
        <f aca="false">Z179+0.00005</f>
        <v>0.0682318486271084</v>
      </c>
      <c r="AA180" s="137" t="n">
        <f aca="false">1/(1+CHOOSE(F$3,(Z181+($K$3/10000))/2,(Z180+($K$3/10000))/2))^(2*Y180/365.25)</f>
        <v>0.215825924373404</v>
      </c>
      <c r="AB180" s="61" t="n">
        <f aca="false">IF(AND(mthbeg&lt;=A180,mthend&gt;=A180),1,0)</f>
        <v>1</v>
      </c>
      <c r="AC180" s="61" t="n">
        <f aca="false">W180*AB180</f>
        <v>31</v>
      </c>
      <c r="AD180" s="121" t="n">
        <f aca="false">$D180*E180</f>
        <v>8122069.85941857</v>
      </c>
      <c r="AE180" s="121" t="n">
        <f aca="false">$D180*F180</f>
        <v>0</v>
      </c>
      <c r="AF180" s="121" t="n">
        <f aca="false">$D180*G180</f>
        <v>8122069.85941857</v>
      </c>
      <c r="AG180" s="121" t="n">
        <f aca="false">$D180*H180</f>
        <v>0</v>
      </c>
      <c r="AH180" s="121" t="n">
        <f aca="false">$D180*I180</f>
        <v>0</v>
      </c>
      <c r="AI180" s="121" t="n">
        <f aca="false">$D180*J180</f>
        <v>0</v>
      </c>
      <c r="AJ180" s="121" t="n">
        <f aca="false">$D180*K180</f>
        <v>0</v>
      </c>
      <c r="AK180" s="121" t="n">
        <f aca="false">$D180*L180</f>
        <v>0</v>
      </c>
      <c r="AL180" s="121" t="n">
        <f aca="false">$D180*M180</f>
        <v>0</v>
      </c>
      <c r="AO180" s="75" t="e">
        <f aca="false">EURO(N180,O180,Z180,Z180,R180,U180,0,0)</f>
        <v>#NAME?</v>
      </c>
      <c r="AP180" s="138" t="e">
        <f aca="false">AO180*C180</f>
        <v>#NAME?</v>
      </c>
      <c r="AQ180" s="60" t="e">
        <f aca="false">-EURO(N180,O180,Z180,Z180,R180,U180,0,1)</f>
        <v>#NAME?</v>
      </c>
    </row>
    <row r="181" customFormat="false" ht="12.75" hidden="false" customHeight="false" outlineLevel="0" collapsed="false">
      <c r="A181" s="127" t="n">
        <f aca="false">EDATE(A180,1)</f>
        <v>45383</v>
      </c>
      <c r="B181" s="128" t="n">
        <f aca="false">B180</f>
        <v>205479</v>
      </c>
      <c r="C181" s="116" t="n">
        <f aca="false">IF(AB181=0,0,IF(AND(AB181=1,$H$3=1),B181*W181,IF($H$3=2,B181,"N/A")))</f>
        <v>6164370</v>
      </c>
      <c r="D181" s="116" t="n">
        <f aca="false">C181*AA181</f>
        <v>1321409.97510545</v>
      </c>
      <c r="E181" s="141" t="n">
        <f aca="false">E169*1.02</f>
        <v>5.7310434</v>
      </c>
      <c r="F181" s="130"/>
      <c r="G181" s="131" t="n">
        <f aca="false">E181</f>
        <v>5.7310434</v>
      </c>
      <c r="H181" s="129" t="n">
        <f aca="false">H180</f>
        <v>0</v>
      </c>
      <c r="I181" s="131"/>
      <c r="J181" s="131" t="n">
        <f aca="false">H181</f>
        <v>0</v>
      </c>
      <c r="K181" s="142"/>
      <c r="L181" s="142"/>
      <c r="M181" s="142"/>
      <c r="N181" s="131" t="n">
        <f aca="false">G181+J181+M181+$N$7</f>
        <v>5.4410434</v>
      </c>
      <c r="O181" s="131" t="n">
        <f aca="false">O180</f>
        <v>3</v>
      </c>
      <c r="P181" s="131"/>
      <c r="Q181" s="141" t="n">
        <f aca="false">Q180</f>
        <v>0.17</v>
      </c>
      <c r="R181" s="129" t="n">
        <f aca="false">Q181+Summary!C$25</f>
        <v>0.17</v>
      </c>
      <c r="S181" s="129"/>
      <c r="T181" s="132" t="n">
        <f aca="false">X181</f>
        <v>45383</v>
      </c>
      <c r="U181" s="133" t="n">
        <f aca="false">T181-$C$3</f>
        <v>8378</v>
      </c>
      <c r="W181" s="61" t="n">
        <f aca="false">A182-A181</f>
        <v>30</v>
      </c>
      <c r="X181" s="135" t="n">
        <f aca="false">CHOOSE(F$3,A182+24,A181)</f>
        <v>45383</v>
      </c>
      <c r="Y181" s="61" t="n">
        <f aca="false">X181-C$3</f>
        <v>8378</v>
      </c>
      <c r="Z181" s="141" t="n">
        <f aca="false">Z180+0.00005</f>
        <v>0.0682818486271084</v>
      </c>
      <c r="AA181" s="137" t="n">
        <f aca="false">1/(1+CHOOSE(F$3,(Z182+($K$3/10000))/2,(Z181+($K$3/10000))/2))^(2*Y181/365.25)</f>
        <v>0.214362534225793</v>
      </c>
      <c r="AB181" s="61" t="n">
        <f aca="false">IF(AND(mthbeg&lt;=A181,mthend&gt;=A181),1,0)</f>
        <v>1</v>
      </c>
      <c r="AC181" s="61" t="n">
        <f aca="false">W181*AB181</f>
        <v>30</v>
      </c>
      <c r="AD181" s="121" t="n">
        <f aca="false">$D181*E181</f>
        <v>7573057.91652227</v>
      </c>
      <c r="AE181" s="121" t="n">
        <f aca="false">$D181*F181</f>
        <v>0</v>
      </c>
      <c r="AF181" s="121" t="n">
        <f aca="false">$D181*G181</f>
        <v>7573057.91652227</v>
      </c>
      <c r="AG181" s="121" t="n">
        <f aca="false">$D181*H181</f>
        <v>0</v>
      </c>
      <c r="AH181" s="121" t="n">
        <f aca="false">$D181*I181</f>
        <v>0</v>
      </c>
      <c r="AI181" s="121" t="n">
        <f aca="false">$D181*J181</f>
        <v>0</v>
      </c>
      <c r="AJ181" s="121" t="n">
        <f aca="false">$D181*K181</f>
        <v>0</v>
      </c>
      <c r="AK181" s="121" t="n">
        <f aca="false">$D181*L181</f>
        <v>0</v>
      </c>
      <c r="AL181" s="121" t="n">
        <f aca="false">$D181*M181</f>
        <v>0</v>
      </c>
      <c r="AO181" s="75" t="e">
        <f aca="false">EURO(N181,O181,Z181,Z181,R181,U181,0,0)</f>
        <v>#NAME?</v>
      </c>
      <c r="AP181" s="138" t="e">
        <f aca="false">AO181*C181</f>
        <v>#NAME?</v>
      </c>
      <c r="AQ181" s="60" t="e">
        <f aca="false">-EURO(N181,O181,Z181,Z181,R181,U181,0,1)</f>
        <v>#NAME?</v>
      </c>
    </row>
    <row r="182" customFormat="false" ht="12.75" hidden="false" customHeight="false" outlineLevel="0" collapsed="false">
      <c r="A182" s="127" t="n">
        <f aca="false">EDATE(A181,1)</f>
        <v>45413</v>
      </c>
      <c r="B182" s="128" t="n">
        <f aca="false">B181</f>
        <v>205479</v>
      </c>
      <c r="C182" s="116" t="n">
        <f aca="false">IF(AB182=0,0,IF(AND(AB182=1,$H$3=1),B182*W182,IF($H$3=2,B182,"N/A")))</f>
        <v>6369849</v>
      </c>
      <c r="D182" s="116" t="n">
        <f aca="false">C182*AA182</f>
        <v>1356437.01384188</v>
      </c>
      <c r="E182" s="141" t="n">
        <f aca="false">E170*1.02</f>
        <v>5.792427</v>
      </c>
      <c r="F182" s="130"/>
      <c r="G182" s="131" t="n">
        <f aca="false">E182</f>
        <v>5.792427</v>
      </c>
      <c r="H182" s="129" t="n">
        <f aca="false">H181</f>
        <v>0</v>
      </c>
      <c r="I182" s="131"/>
      <c r="J182" s="131" t="n">
        <f aca="false">H182</f>
        <v>0</v>
      </c>
      <c r="K182" s="142"/>
      <c r="L182" s="142"/>
      <c r="M182" s="142"/>
      <c r="N182" s="131" t="n">
        <f aca="false">G182+J182+M182+$N$7</f>
        <v>5.502427</v>
      </c>
      <c r="O182" s="131" t="n">
        <f aca="false">O181</f>
        <v>3</v>
      </c>
      <c r="P182" s="131"/>
      <c r="Q182" s="141" t="n">
        <f aca="false">Q181</f>
        <v>0.17</v>
      </c>
      <c r="R182" s="129" t="n">
        <f aca="false">Q182+Summary!C$25</f>
        <v>0.17</v>
      </c>
      <c r="S182" s="129"/>
      <c r="T182" s="132" t="n">
        <f aca="false">X182</f>
        <v>45413</v>
      </c>
      <c r="U182" s="133" t="n">
        <f aca="false">T182-$C$3</f>
        <v>8408</v>
      </c>
      <c r="W182" s="61" t="n">
        <f aca="false">A183-A182</f>
        <v>31</v>
      </c>
      <c r="X182" s="135" t="n">
        <f aca="false">CHOOSE(F$3,A183+24,A182)</f>
        <v>45413</v>
      </c>
      <c r="Y182" s="61" t="n">
        <f aca="false">X182-C$3</f>
        <v>8408</v>
      </c>
      <c r="Z182" s="141" t="n">
        <f aca="false">Z181+0.00005</f>
        <v>0.0683318486271084</v>
      </c>
      <c r="AA182" s="137" t="n">
        <f aca="false">1/(1+CHOOSE(F$3,(Z183+($K$3/10000))/2,(Z182+($K$3/10000))/2))^(2*Y182/365.25)</f>
        <v>0.212946494311228</v>
      </c>
      <c r="AB182" s="61" t="n">
        <f aca="false">IF(AND(mthbeg&lt;=A182,mthend&gt;=A182),1,0)</f>
        <v>1</v>
      </c>
      <c r="AC182" s="61" t="n">
        <f aca="false">W182*AB182</f>
        <v>31</v>
      </c>
      <c r="AD182" s="121" t="n">
        <f aca="false">$D182*E182</f>
        <v>7857062.38277708</v>
      </c>
      <c r="AE182" s="121" t="n">
        <f aca="false">$D182*F182</f>
        <v>0</v>
      </c>
      <c r="AF182" s="121" t="n">
        <f aca="false">$D182*G182</f>
        <v>7857062.38277708</v>
      </c>
      <c r="AG182" s="121" t="n">
        <f aca="false">$D182*H182</f>
        <v>0</v>
      </c>
      <c r="AH182" s="121" t="n">
        <f aca="false">$D182*I182</f>
        <v>0</v>
      </c>
      <c r="AI182" s="121" t="n">
        <f aca="false">$D182*J182</f>
        <v>0</v>
      </c>
      <c r="AJ182" s="121" t="n">
        <f aca="false">$D182*K182</f>
        <v>0</v>
      </c>
      <c r="AK182" s="121" t="n">
        <f aca="false">$D182*L182</f>
        <v>0</v>
      </c>
      <c r="AL182" s="121" t="n">
        <f aca="false">$D182*M182</f>
        <v>0</v>
      </c>
      <c r="AO182" s="75" t="e">
        <f aca="false">EURO(N182,O182,Z182,Z182,R182,U182,0,0)</f>
        <v>#NAME?</v>
      </c>
      <c r="AP182" s="138" t="e">
        <f aca="false">AO182*C182</f>
        <v>#NAME?</v>
      </c>
      <c r="AQ182" s="60" t="e">
        <f aca="false">-EURO(N182,O182,Z182,Z182,R182,U182,0,1)</f>
        <v>#NAME?</v>
      </c>
    </row>
    <row r="183" customFormat="false" ht="12.75" hidden="false" customHeight="false" outlineLevel="0" collapsed="false">
      <c r="A183" s="127" t="n">
        <f aca="false">EDATE(A182,1)</f>
        <v>45444</v>
      </c>
      <c r="B183" s="128" t="n">
        <f aca="false">B182</f>
        <v>205479</v>
      </c>
      <c r="C183" s="116" t="n">
        <f aca="false">IF(AB183=0,0,IF(AND(AB183=1,$H$3=1),B183*W183,IF($H$3=2,B183,"N/A")))</f>
        <v>6164370</v>
      </c>
      <c r="D183" s="116" t="n">
        <f aca="false">C183*AA183</f>
        <v>1303759.29681425</v>
      </c>
      <c r="E183" s="141" t="n">
        <f aca="false">E171*1.02</f>
        <v>5.834043</v>
      </c>
      <c r="F183" s="130"/>
      <c r="G183" s="131" t="n">
        <f aca="false">E183</f>
        <v>5.834043</v>
      </c>
      <c r="H183" s="129" t="n">
        <f aca="false">H182</f>
        <v>0</v>
      </c>
      <c r="I183" s="131"/>
      <c r="J183" s="131" t="n">
        <f aca="false">H183</f>
        <v>0</v>
      </c>
      <c r="K183" s="142"/>
      <c r="L183" s="142"/>
      <c r="M183" s="142"/>
      <c r="N183" s="131" t="n">
        <f aca="false">G183+J183+M183+$N$7</f>
        <v>5.544043</v>
      </c>
      <c r="O183" s="131" t="n">
        <f aca="false">O182</f>
        <v>3</v>
      </c>
      <c r="P183" s="131"/>
      <c r="Q183" s="141" t="n">
        <f aca="false">Q182</f>
        <v>0.17</v>
      </c>
      <c r="R183" s="129" t="n">
        <f aca="false">Q183+Summary!C$25</f>
        <v>0.17</v>
      </c>
      <c r="S183" s="129"/>
      <c r="T183" s="132" t="n">
        <f aca="false">X183</f>
        <v>45444</v>
      </c>
      <c r="U183" s="133" t="n">
        <f aca="false">T183-$C$3</f>
        <v>8439</v>
      </c>
      <c r="W183" s="61" t="n">
        <f aca="false">A184-A183</f>
        <v>30</v>
      </c>
      <c r="X183" s="135" t="n">
        <f aca="false">CHOOSE(F$3,A184+24,A183)</f>
        <v>45444</v>
      </c>
      <c r="Y183" s="61" t="n">
        <f aca="false">X183-C$3</f>
        <v>8439</v>
      </c>
      <c r="Z183" s="141" t="n">
        <f aca="false">Z182+0.00005</f>
        <v>0.0683818486271084</v>
      </c>
      <c r="AA183" s="137" t="n">
        <f aca="false">1/(1+CHOOSE(F$3,(Z184+($K$3/10000))/2,(Z183+($K$3/10000))/2))^(2*Y183/365.25)</f>
        <v>0.211499195670321</v>
      </c>
      <c r="AB183" s="61" t="n">
        <f aca="false">IF(AND(mthbeg&lt;=A183,mthend&gt;=A183),1,0)</f>
        <v>1</v>
      </c>
      <c r="AC183" s="61" t="n">
        <f aca="false">W183*AB183</f>
        <v>30</v>
      </c>
      <c r="AD183" s="121" t="n">
        <f aca="false">$D183*E183</f>
        <v>7606187.79926412</v>
      </c>
      <c r="AE183" s="121" t="n">
        <f aca="false">$D183*F183</f>
        <v>0</v>
      </c>
      <c r="AF183" s="121" t="n">
        <f aca="false">$D183*G183</f>
        <v>7606187.79926412</v>
      </c>
      <c r="AG183" s="121" t="n">
        <f aca="false">$D183*H183</f>
        <v>0</v>
      </c>
      <c r="AH183" s="121" t="n">
        <f aca="false">$D183*I183</f>
        <v>0</v>
      </c>
      <c r="AI183" s="121" t="n">
        <f aca="false">$D183*J183</f>
        <v>0</v>
      </c>
      <c r="AJ183" s="121" t="n">
        <f aca="false">$D183*K183</f>
        <v>0</v>
      </c>
      <c r="AK183" s="121" t="n">
        <f aca="false">$D183*L183</f>
        <v>0</v>
      </c>
      <c r="AL183" s="121" t="n">
        <f aca="false">$D183*M183</f>
        <v>0</v>
      </c>
      <c r="AO183" s="75" t="e">
        <f aca="false">EURO(N183,O183,Z183,Z183,R183,U183,0,0)</f>
        <v>#NAME?</v>
      </c>
      <c r="AP183" s="138" t="e">
        <f aca="false">AO183*C183</f>
        <v>#NAME?</v>
      </c>
      <c r="AQ183" s="60" t="e">
        <f aca="false">-EURO(N183,O183,Z183,Z183,R183,U183,0,1)</f>
        <v>#NAME?</v>
      </c>
    </row>
    <row r="184" customFormat="false" ht="12.75" hidden="false" customHeight="false" outlineLevel="0" collapsed="false">
      <c r="A184" s="127" t="n">
        <f aca="false">EDATE(A183,1)</f>
        <v>45474</v>
      </c>
      <c r="B184" s="128" t="n">
        <f aca="false">B183</f>
        <v>205479</v>
      </c>
      <c r="C184" s="116" t="n">
        <f aca="false">IF(AB184=0,0,IF(AND(AB184=1,$H$3=1),B184*W184,IF($H$3=2,B184,"N/A")))</f>
        <v>6369849</v>
      </c>
      <c r="D184" s="116" t="n">
        <f aca="false">C184*AA184</f>
        <v>1338297.10038759</v>
      </c>
      <c r="E184" s="141" t="n">
        <f aca="false">E172*1.02</f>
        <v>5.880861</v>
      </c>
      <c r="F184" s="130"/>
      <c r="G184" s="131" t="n">
        <f aca="false">E184</f>
        <v>5.880861</v>
      </c>
      <c r="H184" s="129" t="n">
        <f aca="false">H183</f>
        <v>0</v>
      </c>
      <c r="I184" s="131"/>
      <c r="J184" s="131" t="n">
        <f aca="false">H184</f>
        <v>0</v>
      </c>
      <c r="K184" s="142"/>
      <c r="L184" s="142"/>
      <c r="M184" s="142"/>
      <c r="N184" s="131" t="n">
        <f aca="false">G184+J184+M184+$N$7</f>
        <v>5.590861</v>
      </c>
      <c r="O184" s="131" t="n">
        <f aca="false">O183</f>
        <v>3</v>
      </c>
      <c r="P184" s="131"/>
      <c r="Q184" s="141" t="n">
        <f aca="false">Q183</f>
        <v>0.17</v>
      </c>
      <c r="R184" s="129" t="n">
        <f aca="false">Q184+Summary!C$25</f>
        <v>0.17</v>
      </c>
      <c r="S184" s="129"/>
      <c r="T184" s="132" t="n">
        <f aca="false">X184</f>
        <v>45474</v>
      </c>
      <c r="U184" s="133" t="n">
        <f aca="false">T184-$C$3</f>
        <v>8469</v>
      </c>
      <c r="W184" s="61" t="n">
        <f aca="false">A185-A184</f>
        <v>31</v>
      </c>
      <c r="X184" s="135" t="n">
        <f aca="false">CHOOSE(F$3,A185+24,A184)</f>
        <v>45474</v>
      </c>
      <c r="Y184" s="61" t="n">
        <f aca="false">X184-C$3</f>
        <v>8469</v>
      </c>
      <c r="Z184" s="141" t="n">
        <f aca="false">Z183+0.00005</f>
        <v>0.0684318486271084</v>
      </c>
      <c r="AA184" s="137" t="n">
        <f aca="false">1/(1+CHOOSE(F$3,(Z185+($K$3/10000))/2,(Z184+($K$3/10000))/2))^(2*Y184/365.25)</f>
        <v>0.210098716686626</v>
      </c>
      <c r="AB184" s="61" t="n">
        <f aca="false">IF(AND(mthbeg&lt;=A184,mthend&gt;=A184),1,0)</f>
        <v>1</v>
      </c>
      <c r="AC184" s="61" t="n">
        <f aca="false">W184*AB184</f>
        <v>31</v>
      </c>
      <c r="AD184" s="121" t="n">
        <f aca="false">$D184*E184</f>
        <v>7870339.22408244</v>
      </c>
      <c r="AE184" s="121" t="n">
        <f aca="false">$D184*F184</f>
        <v>0</v>
      </c>
      <c r="AF184" s="121" t="n">
        <f aca="false">$D184*G184</f>
        <v>7870339.22408244</v>
      </c>
      <c r="AG184" s="121" t="n">
        <f aca="false">$D184*H184</f>
        <v>0</v>
      </c>
      <c r="AH184" s="121" t="n">
        <f aca="false">$D184*I184</f>
        <v>0</v>
      </c>
      <c r="AI184" s="121" t="n">
        <f aca="false">$D184*J184</f>
        <v>0</v>
      </c>
      <c r="AJ184" s="121" t="n">
        <f aca="false">$D184*K184</f>
        <v>0</v>
      </c>
      <c r="AK184" s="121" t="n">
        <f aca="false">$D184*L184</f>
        <v>0</v>
      </c>
      <c r="AL184" s="121" t="n">
        <f aca="false">$D184*M184</f>
        <v>0</v>
      </c>
      <c r="AO184" s="75" t="e">
        <f aca="false">EURO(N184,O184,Z184,Z184,R184,U184,0,0)</f>
        <v>#NAME?</v>
      </c>
      <c r="AP184" s="138" t="e">
        <f aca="false">AO184*C184</f>
        <v>#NAME?</v>
      </c>
      <c r="AQ184" s="60" t="e">
        <f aca="false">-EURO(N184,O184,Z184,Z184,R184,U184,0,1)</f>
        <v>#NAME?</v>
      </c>
    </row>
    <row r="185" customFormat="false" ht="12.75" hidden="false" customHeight="false" outlineLevel="0" collapsed="false">
      <c r="A185" s="127" t="n">
        <f aca="false">EDATE(A184,1)</f>
        <v>45505</v>
      </c>
      <c r="B185" s="128" t="n">
        <f aca="false">B184</f>
        <v>205479</v>
      </c>
      <c r="C185" s="116" t="n">
        <f aca="false">IF(AB185=0,0,IF(AND(AB185=1,$H$3=1),B185*W185,IF($H$3=2,B185,"N/A")))</f>
        <v>6369849</v>
      </c>
      <c r="D185" s="116" t="n">
        <f aca="false">C185*AA185</f>
        <v>1329179.74663877</v>
      </c>
      <c r="E185" s="141" t="n">
        <f aca="false">E173*1.02</f>
        <v>5.917275</v>
      </c>
      <c r="F185" s="130"/>
      <c r="G185" s="131" t="n">
        <f aca="false">E185</f>
        <v>5.917275</v>
      </c>
      <c r="H185" s="129" t="n">
        <f aca="false">H184</f>
        <v>0</v>
      </c>
      <c r="I185" s="131"/>
      <c r="J185" s="131" t="n">
        <f aca="false">H185</f>
        <v>0</v>
      </c>
      <c r="K185" s="142"/>
      <c r="L185" s="142"/>
      <c r="M185" s="142"/>
      <c r="N185" s="131" t="n">
        <f aca="false">G185+J185+M185+$N$7</f>
        <v>5.627275</v>
      </c>
      <c r="O185" s="131" t="n">
        <f aca="false">O184</f>
        <v>3</v>
      </c>
      <c r="P185" s="131"/>
      <c r="Q185" s="141" t="n">
        <f aca="false">Q184</f>
        <v>0.17</v>
      </c>
      <c r="R185" s="129" t="n">
        <f aca="false">Q185+Summary!C$25</f>
        <v>0.17</v>
      </c>
      <c r="S185" s="129"/>
      <c r="T185" s="132" t="n">
        <f aca="false">X185</f>
        <v>45505</v>
      </c>
      <c r="U185" s="133" t="n">
        <f aca="false">T185-$C$3</f>
        <v>8500</v>
      </c>
      <c r="W185" s="61" t="n">
        <f aca="false">A186-A185</f>
        <v>31</v>
      </c>
      <c r="X185" s="135" t="n">
        <f aca="false">CHOOSE(F$3,A186+24,A185)</f>
        <v>45505</v>
      </c>
      <c r="Y185" s="61" t="n">
        <f aca="false">X185-C$3</f>
        <v>8500</v>
      </c>
      <c r="Z185" s="141" t="n">
        <f aca="false">Z184+0.00005</f>
        <v>0.0684818486271084</v>
      </c>
      <c r="AA185" s="137" t="n">
        <f aca="false">1/(1+CHOOSE(F$3,(Z186+($K$3/10000))/2,(Z185+($K$3/10000))/2))^(2*Y185/365.25)</f>
        <v>0.208667387035199</v>
      </c>
      <c r="AB185" s="61" t="n">
        <f aca="false">IF(AND(mthbeg&lt;=A185,mthend&gt;=A185),1,0)</f>
        <v>1</v>
      </c>
      <c r="AC185" s="61" t="n">
        <f aca="false">W185*AB185</f>
        <v>31</v>
      </c>
      <c r="AD185" s="121" t="n">
        <f aca="false">$D185*E185</f>
        <v>7865122.08529195</v>
      </c>
      <c r="AE185" s="121" t="n">
        <f aca="false">$D185*F185</f>
        <v>0</v>
      </c>
      <c r="AF185" s="121" t="n">
        <f aca="false">$D185*G185</f>
        <v>7865122.08529195</v>
      </c>
      <c r="AG185" s="121" t="n">
        <f aca="false">$D185*H185</f>
        <v>0</v>
      </c>
      <c r="AH185" s="121" t="n">
        <f aca="false">$D185*I185</f>
        <v>0</v>
      </c>
      <c r="AI185" s="121" t="n">
        <f aca="false">$D185*J185</f>
        <v>0</v>
      </c>
      <c r="AJ185" s="121" t="n">
        <f aca="false">$D185*K185</f>
        <v>0</v>
      </c>
      <c r="AK185" s="121" t="n">
        <f aca="false">$D185*L185</f>
        <v>0</v>
      </c>
      <c r="AL185" s="121" t="n">
        <f aca="false">$D185*M185</f>
        <v>0</v>
      </c>
      <c r="AO185" s="75" t="e">
        <f aca="false">EURO(N185,O185,Z185,Z185,R185,U185,0,0)</f>
        <v>#NAME?</v>
      </c>
      <c r="AP185" s="138" t="e">
        <f aca="false">AO185*C185</f>
        <v>#NAME?</v>
      </c>
      <c r="AQ185" s="60" t="e">
        <f aca="false">-EURO(N185,O185,Z185,Z185,R185,U185,0,1)</f>
        <v>#NAME?</v>
      </c>
    </row>
    <row r="186" customFormat="false" ht="12.75" hidden="false" customHeight="false" outlineLevel="0" collapsed="false">
      <c r="A186" s="127" t="n">
        <f aca="false">EDATE(A185,1)</f>
        <v>45536</v>
      </c>
      <c r="B186" s="128" t="n">
        <f aca="false">B185</f>
        <v>205479</v>
      </c>
      <c r="C186" s="116" t="n">
        <f aca="false">IF(AB186=0,0,IF(AND(AB186=1,$H$3=1),B186*W186,IF($H$3=2,B186,"N/A")))</f>
        <v>6164370</v>
      </c>
      <c r="D186" s="116" t="n">
        <f aca="false">C186*AA186</f>
        <v>1277529.39561881</v>
      </c>
      <c r="E186" s="141" t="n">
        <f aca="false">E174*1.02</f>
        <v>5.9294997</v>
      </c>
      <c r="F186" s="130"/>
      <c r="G186" s="131" t="n">
        <f aca="false">E186</f>
        <v>5.9294997</v>
      </c>
      <c r="H186" s="129" t="n">
        <f aca="false">H185</f>
        <v>0</v>
      </c>
      <c r="I186" s="131"/>
      <c r="J186" s="131" t="n">
        <f aca="false">H186</f>
        <v>0</v>
      </c>
      <c r="K186" s="142"/>
      <c r="L186" s="142"/>
      <c r="M186" s="142"/>
      <c r="N186" s="131" t="n">
        <f aca="false">G186+J186+M186+$N$7</f>
        <v>5.6394997</v>
      </c>
      <c r="O186" s="131" t="n">
        <f aca="false">O185</f>
        <v>3</v>
      </c>
      <c r="P186" s="131"/>
      <c r="Q186" s="141" t="n">
        <f aca="false">Q185</f>
        <v>0.17</v>
      </c>
      <c r="R186" s="129" t="n">
        <f aca="false">Q186+Summary!C$25</f>
        <v>0.17</v>
      </c>
      <c r="S186" s="129"/>
      <c r="T186" s="132" t="n">
        <f aca="false">X186</f>
        <v>45536</v>
      </c>
      <c r="U186" s="133" t="n">
        <f aca="false">T186-$C$3</f>
        <v>8531</v>
      </c>
      <c r="W186" s="61" t="n">
        <f aca="false">A187-A186</f>
        <v>30</v>
      </c>
      <c r="X186" s="135" t="n">
        <f aca="false">CHOOSE(F$3,A187+24,A186)</f>
        <v>45536</v>
      </c>
      <c r="Y186" s="61" t="n">
        <f aca="false">X186-C$3</f>
        <v>8531</v>
      </c>
      <c r="Z186" s="141" t="n">
        <f aca="false">Z185+0.00005</f>
        <v>0.0685318486271084</v>
      </c>
      <c r="AA186" s="137" t="n">
        <f aca="false">1/(1+CHOOSE(F$3,(Z187+($K$3/10000))/2,(Z186+($K$3/10000))/2))^(2*Y186/365.25)</f>
        <v>0.207244113448546</v>
      </c>
      <c r="AB186" s="61" t="n">
        <f aca="false">IF(AND(mthbeg&lt;=A186,mthend&gt;=A186),1,0)</f>
        <v>1</v>
      </c>
      <c r="AC186" s="61" t="n">
        <f aca="false">W186*AB186</f>
        <v>30</v>
      </c>
      <c r="AD186" s="121" t="n">
        <f aca="false">$D186*E186</f>
        <v>7575110.16806292</v>
      </c>
      <c r="AE186" s="121" t="n">
        <f aca="false">$D186*F186</f>
        <v>0</v>
      </c>
      <c r="AF186" s="121" t="n">
        <f aca="false">$D186*G186</f>
        <v>7575110.16806292</v>
      </c>
      <c r="AG186" s="121" t="n">
        <f aca="false">$D186*H186</f>
        <v>0</v>
      </c>
      <c r="AH186" s="121" t="n">
        <f aca="false">$D186*I186</f>
        <v>0</v>
      </c>
      <c r="AI186" s="121" t="n">
        <f aca="false">$D186*J186</f>
        <v>0</v>
      </c>
      <c r="AJ186" s="121" t="n">
        <f aca="false">$D186*K186</f>
        <v>0</v>
      </c>
      <c r="AK186" s="121" t="n">
        <f aca="false">$D186*L186</f>
        <v>0</v>
      </c>
      <c r="AL186" s="121" t="n">
        <f aca="false">$D186*M186</f>
        <v>0</v>
      </c>
      <c r="AO186" s="75" t="e">
        <f aca="false">EURO(N186,O186,Z186,Z186,R186,U186,0,0)</f>
        <v>#NAME?</v>
      </c>
      <c r="AP186" s="138" t="e">
        <f aca="false">AO186*C186</f>
        <v>#NAME?</v>
      </c>
      <c r="AQ186" s="60" t="e">
        <f aca="false">-EURO(N186,O186,Z186,Z186,R186,U186,0,1)</f>
        <v>#NAME?</v>
      </c>
    </row>
    <row r="187" customFormat="false" ht="12.75" hidden="false" customHeight="false" outlineLevel="0" collapsed="false">
      <c r="A187" s="127" t="n">
        <f aca="false">EDATE(A186,1)</f>
        <v>45566</v>
      </c>
      <c r="B187" s="128" t="n">
        <f aca="false">B186</f>
        <v>205479</v>
      </c>
      <c r="C187" s="116" t="n">
        <f aca="false">IF(AB187=0,0,IF(AND(AB187=1,$H$3=1),B187*W187,IF($H$3=2,B187,"N/A")))</f>
        <v>6369849</v>
      </c>
      <c r="D187" s="116" t="n">
        <f aca="false">C187*AA187</f>
        <v>1311340.86151138</v>
      </c>
      <c r="E187" s="141" t="n">
        <f aca="false">E175*1.02</f>
        <v>5.96133594</v>
      </c>
      <c r="F187" s="130"/>
      <c r="G187" s="131" t="n">
        <f aca="false">E187</f>
        <v>5.96133594</v>
      </c>
      <c r="H187" s="129" t="n">
        <f aca="false">H186</f>
        <v>0</v>
      </c>
      <c r="I187" s="131"/>
      <c r="J187" s="131" t="n">
        <f aca="false">H187</f>
        <v>0</v>
      </c>
      <c r="K187" s="142"/>
      <c r="L187" s="142"/>
      <c r="M187" s="142"/>
      <c r="N187" s="131" t="n">
        <f aca="false">G187+J187+M187+$N$7</f>
        <v>5.67133594</v>
      </c>
      <c r="O187" s="131" t="n">
        <f aca="false">O186</f>
        <v>3</v>
      </c>
      <c r="P187" s="131"/>
      <c r="Q187" s="141" t="n">
        <f aca="false">Q186</f>
        <v>0.17</v>
      </c>
      <c r="R187" s="129" t="n">
        <f aca="false">Q187+Summary!C$25</f>
        <v>0.17</v>
      </c>
      <c r="S187" s="129"/>
      <c r="T187" s="132" t="n">
        <f aca="false">X187</f>
        <v>45566</v>
      </c>
      <c r="U187" s="133" t="n">
        <f aca="false">T187-$C$3</f>
        <v>8561</v>
      </c>
      <c r="W187" s="61" t="n">
        <f aca="false">A188-A187</f>
        <v>31</v>
      </c>
      <c r="X187" s="135" t="n">
        <f aca="false">CHOOSE(F$3,A188+24,A187)</f>
        <v>45566</v>
      </c>
      <c r="Y187" s="61" t="n">
        <f aca="false">X187-C$3</f>
        <v>8561</v>
      </c>
      <c r="Z187" s="141" t="n">
        <f aca="false">Z186+0.00005</f>
        <v>0.0685818486271084</v>
      </c>
      <c r="AA187" s="137" t="n">
        <f aca="false">1/(1+CHOOSE(F$3,(Z188+($K$3/10000))/2,(Z187+($K$3/10000))/2))^(2*Y187/365.25)</f>
        <v>0.205866867725025</v>
      </c>
      <c r="AB187" s="61" t="n">
        <f aca="false">IF(AND(mthbeg&lt;=A187,mthend&gt;=A187),1,0)</f>
        <v>1</v>
      </c>
      <c r="AC187" s="61" t="n">
        <f aca="false">W187*AB187</f>
        <v>31</v>
      </c>
      <c r="AD187" s="121" t="n">
        <f aca="false">$D187*E187</f>
        <v>7817343.40731836</v>
      </c>
      <c r="AE187" s="121" t="n">
        <f aca="false">$D187*F187</f>
        <v>0</v>
      </c>
      <c r="AF187" s="121" t="n">
        <f aca="false">$D187*G187</f>
        <v>7817343.40731836</v>
      </c>
      <c r="AG187" s="121" t="n">
        <f aca="false">$D187*H187</f>
        <v>0</v>
      </c>
      <c r="AH187" s="121" t="n">
        <f aca="false">$D187*I187</f>
        <v>0</v>
      </c>
      <c r="AI187" s="121" t="n">
        <f aca="false">$D187*J187</f>
        <v>0</v>
      </c>
      <c r="AJ187" s="121" t="n">
        <f aca="false">$D187*K187</f>
        <v>0</v>
      </c>
      <c r="AK187" s="121" t="n">
        <f aca="false">$D187*L187</f>
        <v>0</v>
      </c>
      <c r="AL187" s="121" t="n">
        <f aca="false">$D187*M187</f>
        <v>0</v>
      </c>
      <c r="AO187" s="75" t="e">
        <f aca="false">EURO(N187,O187,Z187,Z187,R187,U187,0,0)</f>
        <v>#NAME?</v>
      </c>
      <c r="AP187" s="138" t="e">
        <f aca="false">AO187*C187</f>
        <v>#NAME?</v>
      </c>
      <c r="AQ187" s="60" t="e">
        <f aca="false">-EURO(N187,O187,Z187,Z187,R187,U187,0,1)</f>
        <v>#NAME?</v>
      </c>
    </row>
    <row r="188" customFormat="false" ht="12.75" hidden="false" customHeight="false" outlineLevel="0" collapsed="false">
      <c r="A188" s="127" t="n">
        <f aca="false">EDATE(A187,1)</f>
        <v>45597</v>
      </c>
      <c r="B188" s="128" t="n">
        <f aca="false">B187</f>
        <v>205479</v>
      </c>
      <c r="C188" s="116" t="n">
        <f aca="false">IF(AB188=0,0,IF(AND(AB188=1,$H$3=1),B188*W188,IF($H$3=2,B188,"N/A")))</f>
        <v>6164370</v>
      </c>
      <c r="D188" s="116" t="n">
        <f aca="false">C188*AA188</f>
        <v>1260363.25881161</v>
      </c>
      <c r="E188" s="141" t="n">
        <f aca="false">E176*1.02</f>
        <v>6.07806882</v>
      </c>
      <c r="F188" s="130"/>
      <c r="G188" s="131" t="n">
        <f aca="false">E188</f>
        <v>6.07806882</v>
      </c>
      <c r="H188" s="129" t="n">
        <f aca="false">H187</f>
        <v>0</v>
      </c>
      <c r="I188" s="131"/>
      <c r="J188" s="131" t="n">
        <f aca="false">H188</f>
        <v>0</v>
      </c>
      <c r="K188" s="142"/>
      <c r="L188" s="142"/>
      <c r="M188" s="142"/>
      <c r="N188" s="131" t="n">
        <f aca="false">G188+J188+M188+$N$7</f>
        <v>5.78806882</v>
      </c>
      <c r="O188" s="131" t="n">
        <f aca="false">O187</f>
        <v>3</v>
      </c>
      <c r="P188" s="131"/>
      <c r="Q188" s="141" t="n">
        <f aca="false">Q187</f>
        <v>0.17</v>
      </c>
      <c r="R188" s="129" t="n">
        <f aca="false">Q188+Summary!C$25</f>
        <v>0.17</v>
      </c>
      <c r="S188" s="129"/>
      <c r="T188" s="132" t="n">
        <f aca="false">X188</f>
        <v>45597</v>
      </c>
      <c r="U188" s="133" t="n">
        <f aca="false">T188-$C$3</f>
        <v>8592</v>
      </c>
      <c r="W188" s="61" t="n">
        <f aca="false">A189-A188</f>
        <v>30</v>
      </c>
      <c r="X188" s="135" t="n">
        <f aca="false">CHOOSE(F$3,A189+24,A188)</f>
        <v>45597</v>
      </c>
      <c r="Y188" s="61" t="n">
        <f aca="false">X188-C$3</f>
        <v>8592</v>
      </c>
      <c r="Z188" s="141" t="n">
        <f aca="false">Z187+0.00005</f>
        <v>0.0686318486271084</v>
      </c>
      <c r="AA188" s="137" t="n">
        <f aca="false">1/(1+CHOOSE(F$3,(Z189+($K$3/10000))/2,(Z188+($K$3/10000))/2))^(2*Y188/365.25)</f>
        <v>0.204459378462293</v>
      </c>
      <c r="AB188" s="61" t="n">
        <f aca="false">IF(AND(mthbeg&lt;=A188,mthend&gt;=A188),1,0)</f>
        <v>1</v>
      </c>
      <c r="AC188" s="61" t="n">
        <f aca="false">W188*AB188</f>
        <v>30</v>
      </c>
      <c r="AD188" s="121" t="n">
        <f aca="false">$D188*E188</f>
        <v>7660574.62525643</v>
      </c>
      <c r="AE188" s="121" t="n">
        <f aca="false">$D188*F188</f>
        <v>0</v>
      </c>
      <c r="AF188" s="121" t="n">
        <f aca="false">$D188*G188</f>
        <v>7660574.62525643</v>
      </c>
      <c r="AG188" s="121" t="n">
        <f aca="false">$D188*H188</f>
        <v>0</v>
      </c>
      <c r="AH188" s="121" t="n">
        <f aca="false">$D188*I188</f>
        <v>0</v>
      </c>
      <c r="AI188" s="121" t="n">
        <f aca="false">$D188*J188</f>
        <v>0</v>
      </c>
      <c r="AJ188" s="121" t="n">
        <f aca="false">$D188*K188</f>
        <v>0</v>
      </c>
      <c r="AK188" s="121" t="n">
        <f aca="false">$D188*L188</f>
        <v>0</v>
      </c>
      <c r="AL188" s="121" t="n">
        <f aca="false">$D188*M188</f>
        <v>0</v>
      </c>
      <c r="AO188" s="75" t="e">
        <f aca="false">EURO(N188,O188,Z188,Z188,R188,U188,0,0)</f>
        <v>#NAME?</v>
      </c>
      <c r="AP188" s="138" t="e">
        <f aca="false">AO188*C188</f>
        <v>#NAME?</v>
      </c>
      <c r="AQ188" s="60" t="e">
        <f aca="false">-EURO(N188,O188,Z188,Z188,R188,U188,0,1)</f>
        <v>#NAME?</v>
      </c>
    </row>
    <row r="189" customFormat="false" ht="13.5" hidden="false" customHeight="false" outlineLevel="0" collapsed="false">
      <c r="A189" s="127" t="n">
        <f aca="false">EDATE(A188,1)</f>
        <v>45627</v>
      </c>
      <c r="B189" s="128" t="n">
        <f aca="false">B188</f>
        <v>205479</v>
      </c>
      <c r="C189" s="116" t="n">
        <f aca="false">IF(AB189=0,0,IF(AND(AB189=1,$H$3=1),B189*W189,IF($H$3=2,B189,"N/A")))</f>
        <v>6369849</v>
      </c>
      <c r="D189" s="116" t="n">
        <f aca="false">C189*AA189</f>
        <v>1293699.75340579</v>
      </c>
      <c r="E189" s="143" t="n">
        <f aca="false">E177*1.02</f>
        <v>6.20541378</v>
      </c>
      <c r="F189" s="130"/>
      <c r="G189" s="131" t="n">
        <f aca="false">E189</f>
        <v>6.20541378</v>
      </c>
      <c r="H189" s="129" t="n">
        <f aca="false">H188</f>
        <v>0</v>
      </c>
      <c r="I189" s="131"/>
      <c r="J189" s="131" t="n">
        <f aca="false">H189</f>
        <v>0</v>
      </c>
      <c r="K189" s="142"/>
      <c r="L189" s="142"/>
      <c r="M189" s="142"/>
      <c r="N189" s="131" t="n">
        <f aca="false">G189+J189+M189+$N$7</f>
        <v>5.91541378</v>
      </c>
      <c r="O189" s="131" t="n">
        <f aca="false">O188</f>
        <v>3</v>
      </c>
      <c r="P189" s="131"/>
      <c r="Q189" s="143" t="n">
        <f aca="false">Q188</f>
        <v>0.17</v>
      </c>
      <c r="R189" s="129" t="n">
        <f aca="false">Q189+Summary!C$25</f>
        <v>0.17</v>
      </c>
      <c r="S189" s="129"/>
      <c r="T189" s="132" t="n">
        <f aca="false">X189</f>
        <v>45627</v>
      </c>
      <c r="U189" s="133" t="n">
        <f aca="false">T189-$C$3</f>
        <v>8622</v>
      </c>
      <c r="W189" s="61" t="n">
        <f aca="false">A190-A189</f>
        <v>31</v>
      </c>
      <c r="X189" s="135" t="n">
        <f aca="false">CHOOSE(F$3,A190+24,A189)</f>
        <v>45627</v>
      </c>
      <c r="Y189" s="61" t="n">
        <f aca="false">X189-C$3</f>
        <v>8622</v>
      </c>
      <c r="Z189" s="143" t="n">
        <f aca="false">Z188+0.00005</f>
        <v>0.0686818486271083</v>
      </c>
      <c r="AA189" s="137" t="n">
        <f aca="false">1/(1+CHOOSE(F$3,(Z190+($K$3/10000))/2,(Z189+($K$3/10000))/2))^(2*Y189/365.25)</f>
        <v>0.203097397348947</v>
      </c>
      <c r="AB189" s="61" t="n">
        <f aca="false">IF(AND(mthbeg&lt;=A189,mthend&gt;=A189),1,0)</f>
        <v>1</v>
      </c>
      <c r="AC189" s="61" t="n">
        <f aca="false">W189*AB189</f>
        <v>31</v>
      </c>
      <c r="AD189" s="121" t="n">
        <f aca="false">$D189*E189</f>
        <v>8027942.27696691</v>
      </c>
      <c r="AE189" s="121" t="n">
        <f aca="false">$D189*F189</f>
        <v>0</v>
      </c>
      <c r="AF189" s="121" t="n">
        <f aca="false">$D189*G189</f>
        <v>8027942.27696691</v>
      </c>
      <c r="AG189" s="121" t="n">
        <f aca="false">$D189*H189</f>
        <v>0</v>
      </c>
      <c r="AH189" s="121" t="n">
        <f aca="false">$D189*I189</f>
        <v>0</v>
      </c>
      <c r="AI189" s="121" t="n">
        <f aca="false">$D189*J189</f>
        <v>0</v>
      </c>
      <c r="AJ189" s="121" t="n">
        <f aca="false">$D189*K189</f>
        <v>0</v>
      </c>
      <c r="AK189" s="121" t="n">
        <f aca="false">$D189*L189</f>
        <v>0</v>
      </c>
      <c r="AL189" s="121" t="n">
        <f aca="false">$D189*M189</f>
        <v>0</v>
      </c>
      <c r="AO189" s="75" t="e">
        <f aca="false">EURO(N189,O189,Z189,Z189,R189,U189,0,0)</f>
        <v>#NAME?</v>
      </c>
      <c r="AP189" s="138" t="e">
        <f aca="false">AO189*C189</f>
        <v>#NAME?</v>
      </c>
      <c r="AQ189" s="60" t="e">
        <f aca="false">-EURO(N189,O189,Z189,Z189,R189,U189,0,1)</f>
        <v>#NAME?</v>
      </c>
    </row>
    <row r="190" customFormat="false" ht="12.75" hidden="false" customHeight="false" outlineLevel="0" collapsed="false">
      <c r="A190" s="127" t="n">
        <f aca="false">EDATE(A189,1)</f>
        <v>45658</v>
      </c>
      <c r="B190" s="128"/>
      <c r="C190" s="116"/>
      <c r="D190" s="116"/>
      <c r="E190" s="129"/>
      <c r="F190" s="130"/>
      <c r="G190" s="131"/>
      <c r="H190" s="129"/>
      <c r="I190" s="131"/>
      <c r="J190" s="131"/>
      <c r="K190" s="142"/>
      <c r="L190" s="142"/>
      <c r="M190" s="142"/>
      <c r="N190" s="131"/>
      <c r="O190" s="131"/>
      <c r="P190" s="131"/>
      <c r="Q190" s="129"/>
      <c r="R190" s="129"/>
      <c r="S190" s="129"/>
      <c r="T190" s="132"/>
      <c r="U190" s="133"/>
      <c r="X190" s="135"/>
      <c r="Z190" s="144"/>
      <c r="AA190" s="137"/>
      <c r="AD190" s="121"/>
      <c r="AE190" s="121"/>
      <c r="AF190" s="121"/>
      <c r="AG190" s="121"/>
      <c r="AH190" s="121"/>
      <c r="AI190" s="121"/>
      <c r="AJ190" s="121"/>
      <c r="AK190" s="121"/>
      <c r="AL190" s="121"/>
      <c r="AO190" s="75"/>
      <c r="AP190" s="138"/>
    </row>
    <row r="191" customFormat="false" ht="12.75" hidden="false" customHeight="false" outlineLevel="0" collapsed="false">
      <c r="A191" s="127"/>
      <c r="B191" s="128"/>
      <c r="C191" s="116"/>
      <c r="D191" s="116"/>
      <c r="E191" s="129"/>
      <c r="F191" s="130"/>
      <c r="G191" s="131"/>
      <c r="H191" s="129"/>
      <c r="I191" s="131"/>
      <c r="J191" s="131"/>
      <c r="K191" s="142"/>
      <c r="L191" s="142"/>
      <c r="M191" s="142"/>
      <c r="N191" s="131"/>
      <c r="O191" s="131"/>
      <c r="P191" s="131"/>
      <c r="Q191" s="129"/>
      <c r="R191" s="129"/>
      <c r="S191" s="129"/>
      <c r="T191" s="132"/>
      <c r="U191" s="133"/>
      <c r="X191" s="135"/>
      <c r="Z191" s="144"/>
      <c r="AA191" s="137"/>
      <c r="AD191" s="121"/>
      <c r="AE191" s="121"/>
      <c r="AF191" s="121"/>
      <c r="AG191" s="121"/>
      <c r="AH191" s="121"/>
      <c r="AI191" s="121"/>
      <c r="AJ191" s="121"/>
      <c r="AK191" s="121"/>
      <c r="AL191" s="121"/>
      <c r="AO191" s="75"/>
      <c r="AP191" s="138"/>
    </row>
    <row r="192" customFormat="false" ht="12.75" hidden="false" customHeight="false" outlineLevel="0" collapsed="false">
      <c r="A192" s="127"/>
      <c r="B192" s="128"/>
      <c r="C192" s="116"/>
      <c r="D192" s="116"/>
      <c r="E192" s="129"/>
      <c r="F192" s="130"/>
      <c r="G192" s="131"/>
      <c r="H192" s="129"/>
      <c r="I192" s="131"/>
      <c r="J192" s="131"/>
      <c r="K192" s="142"/>
      <c r="L192" s="142"/>
      <c r="M192" s="142"/>
      <c r="N192" s="131"/>
      <c r="O192" s="131"/>
      <c r="P192" s="131"/>
      <c r="Q192" s="129"/>
      <c r="R192" s="129"/>
      <c r="S192" s="129"/>
      <c r="T192" s="132"/>
      <c r="U192" s="133"/>
      <c r="X192" s="135"/>
      <c r="Z192" s="144"/>
      <c r="AA192" s="137"/>
      <c r="AD192" s="121"/>
      <c r="AE192" s="121"/>
      <c r="AF192" s="121"/>
      <c r="AG192" s="121"/>
      <c r="AH192" s="121"/>
      <c r="AI192" s="121"/>
      <c r="AJ192" s="121"/>
      <c r="AK192" s="121"/>
      <c r="AL192" s="121"/>
      <c r="AO192" s="75"/>
      <c r="AP192" s="138"/>
    </row>
    <row r="193" customFormat="false" ht="12.75" hidden="false" customHeight="false" outlineLevel="0" collapsed="false">
      <c r="A193" s="127"/>
      <c r="B193" s="128"/>
      <c r="C193" s="116"/>
      <c r="D193" s="116"/>
      <c r="E193" s="129"/>
      <c r="F193" s="130"/>
      <c r="G193" s="131"/>
      <c r="H193" s="129"/>
      <c r="I193" s="131"/>
      <c r="J193" s="131"/>
      <c r="K193" s="142"/>
      <c r="L193" s="142"/>
      <c r="M193" s="142"/>
      <c r="N193" s="131"/>
      <c r="O193" s="131"/>
      <c r="P193" s="131"/>
      <c r="Q193" s="129"/>
      <c r="R193" s="129"/>
      <c r="S193" s="129"/>
      <c r="T193" s="132"/>
      <c r="U193" s="133"/>
      <c r="X193" s="135"/>
      <c r="Z193" s="144"/>
      <c r="AA193" s="137"/>
      <c r="AD193" s="121"/>
      <c r="AE193" s="121"/>
      <c r="AF193" s="121"/>
      <c r="AG193" s="121"/>
      <c r="AH193" s="121"/>
      <c r="AI193" s="121"/>
      <c r="AJ193" s="121"/>
      <c r="AK193" s="121"/>
      <c r="AL193" s="121"/>
      <c r="AO193" s="75"/>
      <c r="AP193" s="138"/>
    </row>
    <row r="194" customFormat="false" ht="12.75" hidden="false" customHeight="false" outlineLevel="0" collapsed="false">
      <c r="A194" s="127"/>
      <c r="B194" s="128"/>
      <c r="C194" s="116"/>
      <c r="D194" s="116"/>
      <c r="E194" s="129"/>
      <c r="F194" s="130"/>
      <c r="G194" s="131"/>
      <c r="H194" s="129"/>
      <c r="I194" s="131"/>
      <c r="J194" s="131"/>
      <c r="K194" s="142"/>
      <c r="L194" s="142"/>
      <c r="M194" s="142"/>
      <c r="N194" s="131"/>
      <c r="O194" s="131"/>
      <c r="P194" s="131"/>
      <c r="Q194" s="129"/>
      <c r="R194" s="129"/>
      <c r="S194" s="129"/>
      <c r="T194" s="132"/>
      <c r="U194" s="133"/>
      <c r="X194" s="135"/>
      <c r="Z194" s="144"/>
      <c r="AA194" s="137"/>
      <c r="AD194" s="121"/>
      <c r="AE194" s="121"/>
      <c r="AF194" s="121"/>
      <c r="AG194" s="121"/>
      <c r="AH194" s="121"/>
      <c r="AI194" s="121"/>
      <c r="AJ194" s="121"/>
      <c r="AK194" s="121"/>
      <c r="AL194" s="121"/>
      <c r="AO194" s="75"/>
      <c r="AP194" s="138"/>
    </row>
    <row r="195" customFormat="false" ht="12.75" hidden="false" customHeight="false" outlineLevel="0" collapsed="false">
      <c r="A195" s="127"/>
      <c r="B195" s="128"/>
      <c r="C195" s="116"/>
      <c r="D195" s="116"/>
      <c r="E195" s="129"/>
      <c r="F195" s="130"/>
      <c r="G195" s="131"/>
      <c r="H195" s="129"/>
      <c r="I195" s="131"/>
      <c r="J195" s="131"/>
      <c r="K195" s="142"/>
      <c r="L195" s="142"/>
      <c r="M195" s="142"/>
      <c r="N195" s="131"/>
      <c r="O195" s="131"/>
      <c r="P195" s="131"/>
      <c r="Q195" s="129"/>
      <c r="R195" s="129"/>
      <c r="S195" s="129"/>
      <c r="T195" s="132"/>
      <c r="U195" s="133"/>
      <c r="X195" s="135"/>
      <c r="Z195" s="144"/>
      <c r="AA195" s="137"/>
      <c r="AD195" s="121"/>
      <c r="AE195" s="121"/>
      <c r="AF195" s="121"/>
      <c r="AG195" s="121"/>
      <c r="AH195" s="121"/>
      <c r="AI195" s="121"/>
      <c r="AJ195" s="121"/>
      <c r="AK195" s="121"/>
      <c r="AL195" s="121"/>
      <c r="AO195" s="75"/>
      <c r="AP195" s="138"/>
    </row>
    <row r="196" customFormat="false" ht="12.75" hidden="false" customHeight="false" outlineLevel="0" collapsed="false">
      <c r="A196" s="127"/>
      <c r="B196" s="128"/>
      <c r="C196" s="116"/>
      <c r="D196" s="116"/>
      <c r="E196" s="129"/>
      <c r="F196" s="130"/>
      <c r="G196" s="131"/>
      <c r="H196" s="129"/>
      <c r="I196" s="131"/>
      <c r="J196" s="131"/>
      <c r="K196" s="142"/>
      <c r="L196" s="142"/>
      <c r="M196" s="142"/>
      <c r="N196" s="131"/>
      <c r="O196" s="131"/>
      <c r="P196" s="131"/>
      <c r="Q196" s="129"/>
      <c r="R196" s="129"/>
      <c r="S196" s="129"/>
      <c r="T196" s="132"/>
      <c r="U196" s="133"/>
      <c r="X196" s="135"/>
      <c r="Z196" s="144"/>
      <c r="AA196" s="137"/>
      <c r="AD196" s="121"/>
      <c r="AE196" s="121"/>
      <c r="AF196" s="121"/>
      <c r="AG196" s="121"/>
      <c r="AH196" s="121"/>
      <c r="AI196" s="121"/>
      <c r="AJ196" s="121"/>
      <c r="AK196" s="121"/>
      <c r="AL196" s="121"/>
      <c r="AO196" s="75"/>
      <c r="AP196" s="138"/>
    </row>
    <row r="197" customFormat="false" ht="12.75" hidden="false" customHeight="false" outlineLevel="0" collapsed="false">
      <c r="A197" s="127"/>
      <c r="B197" s="128"/>
      <c r="C197" s="116"/>
      <c r="D197" s="116"/>
      <c r="E197" s="129"/>
      <c r="F197" s="130"/>
      <c r="G197" s="131"/>
      <c r="H197" s="129"/>
      <c r="I197" s="131"/>
      <c r="J197" s="131"/>
      <c r="K197" s="142"/>
      <c r="L197" s="142"/>
      <c r="M197" s="142"/>
      <c r="N197" s="131"/>
      <c r="O197" s="131"/>
      <c r="P197" s="131"/>
      <c r="Q197" s="129"/>
      <c r="R197" s="129"/>
      <c r="S197" s="129"/>
      <c r="T197" s="132"/>
      <c r="U197" s="133"/>
      <c r="X197" s="135"/>
      <c r="Z197" s="144"/>
      <c r="AA197" s="137"/>
      <c r="AD197" s="121"/>
      <c r="AE197" s="121"/>
      <c r="AF197" s="121"/>
      <c r="AG197" s="121"/>
      <c r="AH197" s="121"/>
      <c r="AI197" s="121"/>
      <c r="AJ197" s="121"/>
      <c r="AK197" s="121"/>
      <c r="AL197" s="121"/>
      <c r="AO197" s="75"/>
      <c r="AP197" s="138"/>
    </row>
    <row r="198" customFormat="false" ht="12.75" hidden="false" customHeight="false" outlineLevel="0" collapsed="false">
      <c r="A198" s="127"/>
      <c r="B198" s="128"/>
      <c r="C198" s="116"/>
      <c r="D198" s="116"/>
      <c r="E198" s="129"/>
      <c r="F198" s="130"/>
      <c r="G198" s="131"/>
      <c r="H198" s="129"/>
      <c r="I198" s="131"/>
      <c r="J198" s="131"/>
      <c r="K198" s="142"/>
      <c r="L198" s="142"/>
      <c r="M198" s="142"/>
      <c r="N198" s="131"/>
      <c r="O198" s="131"/>
      <c r="P198" s="131"/>
      <c r="Q198" s="129"/>
      <c r="R198" s="129"/>
      <c r="S198" s="129"/>
      <c r="T198" s="132"/>
      <c r="U198" s="133"/>
      <c r="X198" s="135"/>
      <c r="Z198" s="144"/>
      <c r="AA198" s="137"/>
      <c r="AD198" s="121"/>
      <c r="AE198" s="121"/>
      <c r="AF198" s="121"/>
      <c r="AG198" s="121"/>
      <c r="AH198" s="121"/>
      <c r="AI198" s="121"/>
      <c r="AJ198" s="121"/>
      <c r="AK198" s="121"/>
      <c r="AL198" s="121"/>
      <c r="AO198" s="75"/>
      <c r="AP198" s="138"/>
    </row>
    <row r="199" customFormat="false" ht="12.75" hidden="false" customHeight="false" outlineLevel="0" collapsed="false">
      <c r="A199" s="127"/>
      <c r="B199" s="128"/>
      <c r="C199" s="116"/>
      <c r="D199" s="116"/>
      <c r="E199" s="129"/>
      <c r="F199" s="130"/>
      <c r="G199" s="131"/>
      <c r="H199" s="129"/>
      <c r="I199" s="131"/>
      <c r="J199" s="131"/>
      <c r="K199" s="142"/>
      <c r="L199" s="142"/>
      <c r="M199" s="142"/>
      <c r="N199" s="131"/>
      <c r="O199" s="131"/>
      <c r="P199" s="131"/>
      <c r="Q199" s="129"/>
      <c r="R199" s="129"/>
      <c r="S199" s="129"/>
      <c r="T199" s="132"/>
      <c r="U199" s="133"/>
      <c r="X199" s="135"/>
      <c r="Z199" s="144"/>
      <c r="AA199" s="137"/>
      <c r="AD199" s="121"/>
      <c r="AE199" s="121"/>
      <c r="AF199" s="121"/>
      <c r="AG199" s="121"/>
      <c r="AH199" s="121"/>
      <c r="AI199" s="121"/>
      <c r="AJ199" s="121"/>
      <c r="AK199" s="121"/>
      <c r="AL199" s="121"/>
      <c r="AO199" s="75"/>
      <c r="AP199" s="138"/>
    </row>
    <row r="200" customFormat="false" ht="12.75" hidden="false" customHeight="false" outlineLevel="0" collapsed="false">
      <c r="A200" s="127"/>
      <c r="B200" s="128"/>
      <c r="C200" s="116"/>
      <c r="D200" s="116"/>
      <c r="E200" s="129"/>
      <c r="F200" s="130"/>
      <c r="G200" s="131"/>
      <c r="H200" s="129"/>
      <c r="I200" s="131"/>
      <c r="J200" s="131"/>
      <c r="K200" s="142"/>
      <c r="L200" s="142"/>
      <c r="M200" s="142"/>
      <c r="N200" s="131"/>
      <c r="O200" s="131"/>
      <c r="P200" s="131"/>
      <c r="Q200" s="129"/>
      <c r="R200" s="129"/>
      <c r="S200" s="129"/>
      <c r="T200" s="132"/>
      <c r="U200" s="133"/>
      <c r="X200" s="135"/>
      <c r="Z200" s="144"/>
      <c r="AA200" s="137"/>
      <c r="AD200" s="121"/>
      <c r="AE200" s="121"/>
      <c r="AF200" s="121"/>
      <c r="AG200" s="121"/>
      <c r="AH200" s="121"/>
      <c r="AI200" s="121"/>
      <c r="AJ200" s="121"/>
      <c r="AK200" s="121"/>
      <c r="AL200" s="121"/>
      <c r="AO200" s="75"/>
      <c r="AP200" s="138"/>
    </row>
    <row r="201" customFormat="false" ht="12.75" hidden="false" customHeight="false" outlineLevel="0" collapsed="false">
      <c r="A201" s="127"/>
      <c r="B201" s="128"/>
      <c r="C201" s="116"/>
      <c r="D201" s="116"/>
      <c r="E201" s="129"/>
      <c r="F201" s="130"/>
      <c r="G201" s="131"/>
      <c r="H201" s="129"/>
      <c r="I201" s="131"/>
      <c r="J201" s="131"/>
      <c r="K201" s="142"/>
      <c r="L201" s="142"/>
      <c r="M201" s="142"/>
      <c r="N201" s="131"/>
      <c r="O201" s="131"/>
      <c r="P201" s="131"/>
      <c r="Q201" s="129"/>
      <c r="R201" s="129"/>
      <c r="S201" s="129"/>
      <c r="T201" s="132"/>
      <c r="U201" s="133"/>
      <c r="X201" s="135"/>
      <c r="Z201" s="144"/>
      <c r="AA201" s="137"/>
      <c r="AD201" s="121"/>
      <c r="AE201" s="121"/>
      <c r="AF201" s="121"/>
      <c r="AG201" s="121"/>
      <c r="AH201" s="121"/>
      <c r="AI201" s="121"/>
      <c r="AJ201" s="121"/>
      <c r="AK201" s="121"/>
      <c r="AL201" s="121"/>
      <c r="AO201" s="75"/>
      <c r="AP201" s="138"/>
    </row>
    <row r="202" customFormat="false" ht="12.75" hidden="false" customHeight="false" outlineLevel="0" collapsed="false">
      <c r="A202" s="127"/>
      <c r="B202" s="128"/>
      <c r="C202" s="116"/>
      <c r="D202" s="116"/>
      <c r="E202" s="129"/>
      <c r="F202" s="130"/>
      <c r="G202" s="131"/>
      <c r="H202" s="129"/>
      <c r="I202" s="131"/>
      <c r="J202" s="131"/>
      <c r="K202" s="142"/>
      <c r="L202" s="142"/>
      <c r="M202" s="142"/>
      <c r="N202" s="131"/>
      <c r="O202" s="131"/>
      <c r="P202" s="131"/>
      <c r="Q202" s="129"/>
      <c r="R202" s="129"/>
      <c r="S202" s="129"/>
      <c r="T202" s="132"/>
      <c r="U202" s="133"/>
      <c r="X202" s="135"/>
      <c r="Z202" s="144"/>
      <c r="AA202" s="137"/>
      <c r="AD202" s="121"/>
      <c r="AE202" s="121"/>
      <c r="AF202" s="121"/>
      <c r="AG202" s="121"/>
      <c r="AH202" s="121"/>
      <c r="AI202" s="121"/>
      <c r="AJ202" s="121"/>
      <c r="AK202" s="121"/>
      <c r="AL202" s="121"/>
      <c r="AO202" s="75"/>
      <c r="AP202" s="138"/>
    </row>
    <row r="203" customFormat="false" ht="12.75" hidden="false" customHeight="false" outlineLevel="0" collapsed="false">
      <c r="A203" s="127"/>
      <c r="B203" s="128"/>
      <c r="C203" s="116"/>
      <c r="D203" s="116"/>
      <c r="E203" s="129"/>
      <c r="F203" s="130"/>
      <c r="G203" s="131"/>
      <c r="H203" s="129"/>
      <c r="I203" s="131"/>
      <c r="J203" s="131"/>
      <c r="K203" s="142"/>
      <c r="L203" s="142"/>
      <c r="M203" s="142"/>
      <c r="N203" s="131"/>
      <c r="O203" s="131"/>
      <c r="P203" s="131"/>
      <c r="Q203" s="129"/>
      <c r="R203" s="129"/>
      <c r="S203" s="129"/>
      <c r="T203" s="132"/>
      <c r="U203" s="133"/>
      <c r="X203" s="135"/>
      <c r="Z203" s="144"/>
      <c r="AA203" s="137"/>
      <c r="AD203" s="121"/>
      <c r="AE203" s="121"/>
      <c r="AF203" s="121"/>
      <c r="AG203" s="121"/>
      <c r="AH203" s="121"/>
      <c r="AI203" s="121"/>
      <c r="AJ203" s="121"/>
      <c r="AK203" s="121"/>
      <c r="AL203" s="121"/>
      <c r="AO203" s="75"/>
      <c r="AP203" s="138"/>
    </row>
    <row r="204" customFormat="false" ht="12.75" hidden="false" customHeight="false" outlineLevel="0" collapsed="false">
      <c r="A204" s="127"/>
      <c r="B204" s="128"/>
      <c r="C204" s="116"/>
      <c r="D204" s="116"/>
      <c r="E204" s="129"/>
      <c r="F204" s="130"/>
      <c r="G204" s="131"/>
      <c r="H204" s="129"/>
      <c r="I204" s="131"/>
      <c r="J204" s="131"/>
      <c r="K204" s="142"/>
      <c r="L204" s="142"/>
      <c r="M204" s="142"/>
      <c r="N204" s="131"/>
      <c r="O204" s="131"/>
      <c r="P204" s="131"/>
      <c r="Q204" s="129"/>
      <c r="R204" s="129"/>
      <c r="S204" s="129"/>
      <c r="T204" s="132"/>
      <c r="U204" s="133"/>
      <c r="X204" s="135"/>
      <c r="Z204" s="144"/>
      <c r="AA204" s="137"/>
      <c r="AD204" s="121"/>
      <c r="AE204" s="121"/>
      <c r="AF204" s="121"/>
      <c r="AG204" s="121"/>
      <c r="AH204" s="121"/>
      <c r="AI204" s="121"/>
      <c r="AJ204" s="121"/>
      <c r="AK204" s="121"/>
      <c r="AL204" s="121"/>
      <c r="AO204" s="75"/>
      <c r="AP204" s="138"/>
    </row>
    <row r="205" customFormat="false" ht="12.75" hidden="false" customHeight="false" outlineLevel="0" collapsed="false">
      <c r="A205" s="127"/>
      <c r="B205" s="128"/>
      <c r="C205" s="116"/>
      <c r="D205" s="116"/>
      <c r="E205" s="129"/>
      <c r="F205" s="130"/>
      <c r="G205" s="131"/>
      <c r="H205" s="129"/>
      <c r="I205" s="131"/>
      <c r="J205" s="131"/>
      <c r="K205" s="142"/>
      <c r="L205" s="142"/>
      <c r="M205" s="142"/>
      <c r="N205" s="131"/>
      <c r="O205" s="131"/>
      <c r="P205" s="131"/>
      <c r="Q205" s="129"/>
      <c r="R205" s="129"/>
      <c r="S205" s="129"/>
      <c r="T205" s="132"/>
      <c r="U205" s="133"/>
      <c r="X205" s="135"/>
      <c r="Z205" s="144"/>
      <c r="AA205" s="137"/>
      <c r="AD205" s="121"/>
      <c r="AE205" s="121"/>
      <c r="AF205" s="121"/>
      <c r="AG205" s="121"/>
      <c r="AH205" s="121"/>
      <c r="AI205" s="121"/>
      <c r="AJ205" s="121"/>
      <c r="AK205" s="121"/>
      <c r="AL205" s="121"/>
      <c r="AO205" s="75"/>
      <c r="AP205" s="138"/>
    </row>
    <row r="206" customFormat="false" ht="12.75" hidden="false" customHeight="false" outlineLevel="0" collapsed="false">
      <c r="A206" s="127"/>
      <c r="B206" s="128"/>
      <c r="C206" s="116"/>
      <c r="D206" s="116"/>
      <c r="E206" s="129"/>
      <c r="F206" s="130"/>
      <c r="G206" s="131"/>
      <c r="H206" s="129"/>
      <c r="I206" s="131"/>
      <c r="J206" s="131"/>
      <c r="K206" s="142"/>
      <c r="L206" s="142"/>
      <c r="M206" s="142"/>
      <c r="N206" s="131"/>
      <c r="O206" s="131"/>
      <c r="P206" s="131"/>
      <c r="Q206" s="129"/>
      <c r="R206" s="129"/>
      <c r="S206" s="129"/>
      <c r="T206" s="132"/>
      <c r="U206" s="133"/>
      <c r="X206" s="135"/>
      <c r="Z206" s="144"/>
      <c r="AA206" s="137"/>
      <c r="AD206" s="121"/>
      <c r="AE206" s="121"/>
      <c r="AF206" s="121"/>
      <c r="AG206" s="121"/>
      <c r="AH206" s="121"/>
      <c r="AI206" s="121"/>
      <c r="AJ206" s="121"/>
      <c r="AK206" s="121"/>
      <c r="AL206" s="121"/>
      <c r="AO206" s="75"/>
      <c r="AP206" s="138"/>
    </row>
    <row r="207" customFormat="false" ht="12.75" hidden="false" customHeight="false" outlineLevel="0" collapsed="false">
      <c r="A207" s="127"/>
      <c r="B207" s="128"/>
      <c r="C207" s="116"/>
      <c r="D207" s="116"/>
      <c r="E207" s="129"/>
      <c r="F207" s="130"/>
      <c r="G207" s="131"/>
      <c r="H207" s="129"/>
      <c r="I207" s="131"/>
      <c r="J207" s="131"/>
      <c r="K207" s="142"/>
      <c r="L207" s="142"/>
      <c r="M207" s="142"/>
      <c r="N207" s="131"/>
      <c r="O207" s="131"/>
      <c r="P207" s="131"/>
      <c r="Q207" s="129"/>
      <c r="R207" s="129"/>
      <c r="S207" s="129"/>
      <c r="T207" s="132"/>
      <c r="U207" s="133"/>
      <c r="X207" s="135"/>
      <c r="Z207" s="144"/>
      <c r="AA207" s="137"/>
      <c r="AD207" s="121"/>
      <c r="AE207" s="121"/>
      <c r="AF207" s="121"/>
      <c r="AG207" s="121"/>
      <c r="AH207" s="121"/>
      <c r="AI207" s="121"/>
      <c r="AJ207" s="121"/>
      <c r="AK207" s="121"/>
      <c r="AL207" s="121"/>
      <c r="AO207" s="75"/>
      <c r="AP207" s="138"/>
    </row>
    <row r="208" customFormat="false" ht="12.75" hidden="false" customHeight="false" outlineLevel="0" collapsed="false">
      <c r="A208" s="127"/>
      <c r="B208" s="128"/>
      <c r="C208" s="116"/>
      <c r="D208" s="116"/>
      <c r="E208" s="129"/>
      <c r="F208" s="130"/>
      <c r="G208" s="131"/>
      <c r="H208" s="129"/>
      <c r="I208" s="131"/>
      <c r="J208" s="131"/>
      <c r="K208" s="142"/>
      <c r="L208" s="142"/>
      <c r="M208" s="142"/>
      <c r="N208" s="131"/>
      <c r="O208" s="131"/>
      <c r="P208" s="131"/>
      <c r="Q208" s="129"/>
      <c r="R208" s="129"/>
      <c r="S208" s="129"/>
      <c r="T208" s="132"/>
      <c r="U208" s="133"/>
      <c r="X208" s="135"/>
      <c r="Z208" s="144"/>
      <c r="AA208" s="137"/>
      <c r="AD208" s="121"/>
      <c r="AE208" s="121"/>
      <c r="AF208" s="121"/>
      <c r="AG208" s="121"/>
      <c r="AH208" s="121"/>
      <c r="AI208" s="121"/>
      <c r="AJ208" s="121"/>
      <c r="AK208" s="121"/>
      <c r="AL208" s="121"/>
      <c r="AO208" s="75"/>
      <c r="AP208" s="138"/>
    </row>
    <row r="209" customFormat="false" ht="12.75" hidden="false" customHeight="false" outlineLevel="0" collapsed="false">
      <c r="A209" s="127"/>
      <c r="B209" s="128"/>
      <c r="C209" s="116"/>
      <c r="D209" s="116"/>
      <c r="E209" s="129"/>
      <c r="F209" s="130"/>
      <c r="G209" s="131"/>
      <c r="H209" s="129"/>
      <c r="I209" s="131"/>
      <c r="J209" s="131"/>
      <c r="K209" s="142"/>
      <c r="L209" s="142"/>
      <c r="M209" s="142"/>
      <c r="N209" s="131"/>
      <c r="O209" s="131"/>
      <c r="P209" s="131"/>
      <c r="Q209" s="129"/>
      <c r="R209" s="129"/>
      <c r="S209" s="129"/>
      <c r="T209" s="132"/>
      <c r="U209" s="133"/>
      <c r="X209" s="135"/>
      <c r="Z209" s="144"/>
      <c r="AA209" s="137"/>
      <c r="AD209" s="121"/>
      <c r="AE209" s="121"/>
      <c r="AF209" s="121"/>
      <c r="AG209" s="121"/>
      <c r="AH209" s="121"/>
      <c r="AI209" s="121"/>
      <c r="AJ209" s="121"/>
      <c r="AK209" s="121"/>
      <c r="AL209" s="121"/>
      <c r="AO209" s="75"/>
      <c r="AP209" s="138"/>
    </row>
    <row r="210" customFormat="false" ht="12.75" hidden="false" customHeight="false" outlineLevel="0" collapsed="false">
      <c r="A210" s="127"/>
      <c r="B210" s="128"/>
      <c r="C210" s="116"/>
      <c r="D210" s="116"/>
      <c r="E210" s="129"/>
      <c r="F210" s="130"/>
      <c r="G210" s="131"/>
      <c r="H210" s="129"/>
      <c r="I210" s="131"/>
      <c r="J210" s="131"/>
      <c r="K210" s="142"/>
      <c r="L210" s="142"/>
      <c r="M210" s="142"/>
      <c r="N210" s="131"/>
      <c r="O210" s="131"/>
      <c r="P210" s="131"/>
      <c r="Q210" s="129"/>
      <c r="R210" s="129"/>
      <c r="S210" s="129"/>
      <c r="T210" s="132"/>
      <c r="U210" s="133"/>
      <c r="X210" s="135"/>
      <c r="Z210" s="144"/>
      <c r="AA210" s="137"/>
      <c r="AD210" s="121"/>
      <c r="AE210" s="121"/>
      <c r="AF210" s="121"/>
      <c r="AG210" s="121"/>
      <c r="AH210" s="121"/>
      <c r="AI210" s="121"/>
      <c r="AJ210" s="121"/>
      <c r="AK210" s="121"/>
      <c r="AL210" s="121"/>
      <c r="AO210" s="75"/>
      <c r="AP210" s="138"/>
    </row>
    <row r="211" customFormat="false" ht="12.75" hidden="false" customHeight="false" outlineLevel="0" collapsed="false">
      <c r="A211" s="127"/>
      <c r="B211" s="128"/>
      <c r="C211" s="116"/>
      <c r="D211" s="116"/>
      <c r="E211" s="129"/>
      <c r="F211" s="130"/>
      <c r="G211" s="131"/>
      <c r="H211" s="129"/>
      <c r="I211" s="131"/>
      <c r="J211" s="131"/>
      <c r="K211" s="142"/>
      <c r="L211" s="142"/>
      <c r="M211" s="142"/>
      <c r="N211" s="131"/>
      <c r="O211" s="131"/>
      <c r="P211" s="131"/>
      <c r="Q211" s="129"/>
      <c r="R211" s="129"/>
      <c r="S211" s="129"/>
      <c r="T211" s="132"/>
      <c r="U211" s="133"/>
      <c r="X211" s="135"/>
      <c r="Z211" s="144"/>
      <c r="AA211" s="137"/>
      <c r="AD211" s="121"/>
      <c r="AE211" s="121"/>
      <c r="AF211" s="121"/>
      <c r="AG211" s="121"/>
      <c r="AH211" s="121"/>
      <c r="AI211" s="121"/>
      <c r="AJ211" s="121"/>
      <c r="AK211" s="121"/>
      <c r="AL211" s="121"/>
      <c r="AO211" s="75"/>
      <c r="AP211" s="138"/>
    </row>
    <row r="212" customFormat="false" ht="12.75" hidden="false" customHeight="false" outlineLevel="0" collapsed="false">
      <c r="A212" s="127"/>
      <c r="B212" s="128"/>
      <c r="C212" s="116"/>
      <c r="D212" s="116"/>
      <c r="E212" s="129"/>
      <c r="F212" s="130"/>
      <c r="G212" s="131"/>
      <c r="H212" s="129"/>
      <c r="I212" s="131"/>
      <c r="J212" s="131"/>
      <c r="K212" s="142"/>
      <c r="L212" s="142"/>
      <c r="M212" s="142"/>
      <c r="N212" s="131"/>
      <c r="O212" s="131"/>
      <c r="P212" s="131"/>
      <c r="Q212" s="129"/>
      <c r="R212" s="129"/>
      <c r="S212" s="129"/>
      <c r="T212" s="132"/>
      <c r="U212" s="133"/>
      <c r="X212" s="135"/>
      <c r="Z212" s="144"/>
      <c r="AA212" s="137"/>
      <c r="AD212" s="121"/>
      <c r="AE212" s="121"/>
      <c r="AF212" s="121"/>
      <c r="AG212" s="121"/>
      <c r="AH212" s="121"/>
      <c r="AI212" s="121"/>
      <c r="AJ212" s="121"/>
      <c r="AK212" s="121"/>
      <c r="AL212" s="121"/>
      <c r="AO212" s="75"/>
      <c r="AP212" s="138"/>
    </row>
    <row r="213" customFormat="false" ht="12.75" hidden="false" customHeight="false" outlineLevel="0" collapsed="false">
      <c r="A213" s="127"/>
      <c r="B213" s="128"/>
      <c r="C213" s="116"/>
      <c r="D213" s="116"/>
      <c r="E213" s="129"/>
      <c r="F213" s="130"/>
      <c r="G213" s="131"/>
      <c r="H213" s="129"/>
      <c r="I213" s="131"/>
      <c r="J213" s="131"/>
      <c r="K213" s="142"/>
      <c r="L213" s="142"/>
      <c r="M213" s="142"/>
      <c r="N213" s="131"/>
      <c r="O213" s="131"/>
      <c r="P213" s="131"/>
      <c r="Q213" s="129"/>
      <c r="R213" s="129"/>
      <c r="S213" s="129"/>
      <c r="T213" s="132"/>
      <c r="U213" s="133"/>
      <c r="X213" s="135"/>
      <c r="Z213" s="144"/>
      <c r="AA213" s="137"/>
      <c r="AD213" s="121"/>
      <c r="AE213" s="121"/>
      <c r="AF213" s="121"/>
      <c r="AG213" s="121"/>
      <c r="AH213" s="121"/>
      <c r="AI213" s="121"/>
      <c r="AJ213" s="121"/>
      <c r="AK213" s="121"/>
      <c r="AL213" s="121"/>
      <c r="AO213" s="75"/>
      <c r="AP213" s="138"/>
    </row>
    <row r="214" customFormat="false" ht="12.75" hidden="false" customHeight="false" outlineLevel="0" collapsed="false">
      <c r="A214" s="127"/>
      <c r="B214" s="128"/>
      <c r="C214" s="116"/>
      <c r="D214" s="116"/>
      <c r="E214" s="129"/>
      <c r="F214" s="130"/>
      <c r="G214" s="131"/>
      <c r="H214" s="129"/>
      <c r="I214" s="131"/>
      <c r="J214" s="131"/>
      <c r="K214" s="142"/>
      <c r="L214" s="142"/>
      <c r="M214" s="142"/>
      <c r="N214" s="131"/>
      <c r="O214" s="131"/>
      <c r="P214" s="131"/>
      <c r="Q214" s="129"/>
      <c r="R214" s="129"/>
      <c r="S214" s="129"/>
      <c r="T214" s="132"/>
      <c r="U214" s="133"/>
      <c r="X214" s="135"/>
      <c r="Z214" s="144"/>
      <c r="AA214" s="137"/>
      <c r="AD214" s="121"/>
      <c r="AE214" s="121"/>
      <c r="AF214" s="121"/>
      <c r="AG214" s="121"/>
      <c r="AH214" s="121"/>
      <c r="AI214" s="121"/>
      <c r="AJ214" s="121"/>
      <c r="AK214" s="121"/>
      <c r="AL214" s="121"/>
      <c r="AO214" s="75"/>
      <c r="AP214" s="138"/>
    </row>
    <row r="215" customFormat="false" ht="12.75" hidden="false" customHeight="false" outlineLevel="0" collapsed="false">
      <c r="A215" s="127"/>
      <c r="B215" s="128"/>
      <c r="C215" s="116"/>
      <c r="D215" s="116"/>
      <c r="E215" s="129"/>
      <c r="F215" s="130"/>
      <c r="G215" s="131"/>
      <c r="H215" s="129"/>
      <c r="I215" s="131"/>
      <c r="J215" s="131"/>
      <c r="K215" s="142"/>
      <c r="L215" s="142"/>
      <c r="M215" s="142"/>
      <c r="N215" s="131"/>
      <c r="O215" s="131"/>
      <c r="P215" s="131"/>
      <c r="Q215" s="129"/>
      <c r="R215" s="129"/>
      <c r="S215" s="129"/>
      <c r="T215" s="132"/>
      <c r="U215" s="133"/>
      <c r="X215" s="135"/>
      <c r="Z215" s="144"/>
      <c r="AA215" s="137"/>
      <c r="AD215" s="121"/>
      <c r="AE215" s="121"/>
      <c r="AF215" s="121"/>
      <c r="AG215" s="121"/>
      <c r="AH215" s="121"/>
      <c r="AI215" s="121"/>
      <c r="AJ215" s="121"/>
      <c r="AK215" s="121"/>
      <c r="AL215" s="121"/>
      <c r="AO215" s="75"/>
      <c r="AP215" s="138"/>
    </row>
    <row r="216" customFormat="false" ht="12.75" hidden="false" customHeight="false" outlineLevel="0" collapsed="false">
      <c r="A216" s="127"/>
      <c r="B216" s="128"/>
      <c r="C216" s="116"/>
      <c r="D216" s="116"/>
      <c r="E216" s="129"/>
      <c r="F216" s="130"/>
      <c r="G216" s="131"/>
      <c r="H216" s="129"/>
      <c r="I216" s="131"/>
      <c r="J216" s="131"/>
      <c r="K216" s="142"/>
      <c r="L216" s="142"/>
      <c r="M216" s="142"/>
      <c r="N216" s="131"/>
      <c r="O216" s="131"/>
      <c r="P216" s="131"/>
      <c r="Q216" s="129"/>
      <c r="R216" s="129"/>
      <c r="S216" s="129"/>
      <c r="T216" s="132"/>
      <c r="U216" s="133"/>
      <c r="X216" s="135"/>
      <c r="Z216" s="144"/>
      <c r="AA216" s="137"/>
      <c r="AD216" s="121"/>
      <c r="AE216" s="121"/>
      <c r="AF216" s="121"/>
      <c r="AG216" s="121"/>
      <c r="AH216" s="121"/>
      <c r="AI216" s="121"/>
      <c r="AJ216" s="121"/>
      <c r="AK216" s="121"/>
      <c r="AL216" s="121"/>
      <c r="AO216" s="75"/>
      <c r="AP216" s="138"/>
    </row>
    <row r="217" customFormat="false" ht="12.75" hidden="false" customHeight="false" outlineLevel="0" collapsed="false">
      <c r="A217" s="127"/>
      <c r="B217" s="128"/>
      <c r="C217" s="116"/>
      <c r="D217" s="116"/>
      <c r="E217" s="129"/>
      <c r="F217" s="130"/>
      <c r="G217" s="131"/>
      <c r="H217" s="129"/>
      <c r="I217" s="131"/>
      <c r="J217" s="131"/>
      <c r="K217" s="142"/>
      <c r="L217" s="142"/>
      <c r="M217" s="142"/>
      <c r="N217" s="131"/>
      <c r="O217" s="131"/>
      <c r="P217" s="131"/>
      <c r="Q217" s="129"/>
      <c r="R217" s="129"/>
      <c r="S217" s="129"/>
      <c r="T217" s="132"/>
      <c r="U217" s="133"/>
      <c r="X217" s="135"/>
      <c r="Z217" s="144"/>
      <c r="AA217" s="137"/>
      <c r="AD217" s="121"/>
      <c r="AE217" s="121"/>
      <c r="AF217" s="121"/>
      <c r="AG217" s="121"/>
      <c r="AH217" s="121"/>
      <c r="AI217" s="121"/>
      <c r="AJ217" s="121"/>
      <c r="AK217" s="121"/>
      <c r="AL217" s="121"/>
      <c r="AO217" s="75"/>
      <c r="AP217" s="138"/>
    </row>
    <row r="218" customFormat="false" ht="12.75" hidden="false" customHeight="false" outlineLevel="0" collapsed="false">
      <c r="A218" s="127"/>
      <c r="B218" s="128"/>
      <c r="C218" s="116"/>
      <c r="D218" s="116"/>
      <c r="E218" s="129"/>
      <c r="F218" s="130"/>
      <c r="G218" s="131"/>
      <c r="H218" s="129"/>
      <c r="I218" s="131"/>
      <c r="J218" s="131"/>
      <c r="K218" s="142"/>
      <c r="L218" s="142"/>
      <c r="M218" s="142"/>
      <c r="N218" s="131"/>
      <c r="O218" s="131"/>
      <c r="P218" s="131"/>
      <c r="Q218" s="129"/>
      <c r="R218" s="129"/>
      <c r="S218" s="129"/>
      <c r="T218" s="132"/>
      <c r="U218" s="133"/>
      <c r="X218" s="135"/>
      <c r="Z218" s="144"/>
      <c r="AA218" s="137"/>
      <c r="AD218" s="121"/>
      <c r="AE218" s="121"/>
      <c r="AF218" s="121"/>
      <c r="AG218" s="121"/>
      <c r="AH218" s="121"/>
      <c r="AI218" s="121"/>
      <c r="AJ218" s="121"/>
      <c r="AK218" s="121"/>
      <c r="AL218" s="121"/>
      <c r="AO218" s="75"/>
      <c r="AP218" s="138"/>
    </row>
    <row r="219" customFormat="false" ht="12.75" hidden="false" customHeight="false" outlineLevel="0" collapsed="false">
      <c r="A219" s="127"/>
      <c r="B219" s="128"/>
      <c r="C219" s="116"/>
      <c r="D219" s="116"/>
      <c r="E219" s="129"/>
      <c r="F219" s="130"/>
      <c r="G219" s="131"/>
      <c r="H219" s="129"/>
      <c r="I219" s="131"/>
      <c r="J219" s="131"/>
      <c r="K219" s="142"/>
      <c r="L219" s="142"/>
      <c r="M219" s="142"/>
      <c r="N219" s="131"/>
      <c r="O219" s="131"/>
      <c r="P219" s="131"/>
      <c r="Q219" s="129"/>
      <c r="R219" s="129"/>
      <c r="S219" s="129"/>
      <c r="T219" s="132"/>
      <c r="U219" s="133"/>
      <c r="X219" s="135"/>
      <c r="Z219" s="144"/>
      <c r="AA219" s="137"/>
      <c r="AD219" s="121"/>
      <c r="AE219" s="121"/>
      <c r="AF219" s="121"/>
      <c r="AG219" s="121"/>
      <c r="AH219" s="121"/>
      <c r="AI219" s="121"/>
      <c r="AJ219" s="121"/>
      <c r="AK219" s="121"/>
      <c r="AL219" s="121"/>
      <c r="AO219" s="75"/>
      <c r="AP219" s="138"/>
    </row>
    <row r="220" customFormat="false" ht="12.75" hidden="false" customHeight="false" outlineLevel="0" collapsed="false">
      <c r="A220" s="127"/>
      <c r="B220" s="128"/>
      <c r="C220" s="116"/>
      <c r="D220" s="116"/>
      <c r="E220" s="129"/>
      <c r="F220" s="130"/>
      <c r="G220" s="131"/>
      <c r="H220" s="129"/>
      <c r="I220" s="131"/>
      <c r="J220" s="131"/>
      <c r="K220" s="142"/>
      <c r="L220" s="142"/>
      <c r="M220" s="142"/>
      <c r="N220" s="131"/>
      <c r="O220" s="131"/>
      <c r="P220" s="131"/>
      <c r="Q220" s="129"/>
      <c r="R220" s="129"/>
      <c r="S220" s="129"/>
      <c r="T220" s="132"/>
      <c r="U220" s="133"/>
      <c r="X220" s="135"/>
      <c r="Z220" s="144"/>
      <c r="AA220" s="137"/>
      <c r="AD220" s="121"/>
      <c r="AE220" s="121"/>
      <c r="AF220" s="121"/>
      <c r="AG220" s="121"/>
      <c r="AH220" s="121"/>
      <c r="AI220" s="121"/>
      <c r="AJ220" s="121"/>
      <c r="AK220" s="121"/>
      <c r="AL220" s="121"/>
      <c r="AO220" s="75"/>
      <c r="AP220" s="138"/>
    </row>
    <row r="221" customFormat="false" ht="12.75" hidden="false" customHeight="false" outlineLevel="0" collapsed="false">
      <c r="A221" s="127"/>
      <c r="B221" s="128"/>
      <c r="C221" s="116"/>
      <c r="D221" s="116"/>
      <c r="E221" s="129"/>
      <c r="F221" s="130"/>
      <c r="G221" s="131"/>
      <c r="H221" s="129"/>
      <c r="I221" s="131"/>
      <c r="J221" s="131"/>
      <c r="K221" s="142"/>
      <c r="L221" s="142"/>
      <c r="M221" s="142"/>
      <c r="N221" s="131"/>
      <c r="O221" s="131"/>
      <c r="P221" s="131"/>
      <c r="Q221" s="129"/>
      <c r="R221" s="129"/>
      <c r="S221" s="129"/>
      <c r="T221" s="132"/>
      <c r="U221" s="133"/>
      <c r="X221" s="135"/>
      <c r="Z221" s="144"/>
      <c r="AA221" s="137"/>
      <c r="AD221" s="121"/>
      <c r="AE221" s="121"/>
      <c r="AF221" s="121"/>
      <c r="AG221" s="121"/>
      <c r="AH221" s="121"/>
      <c r="AI221" s="121"/>
      <c r="AJ221" s="121"/>
      <c r="AK221" s="121"/>
      <c r="AL221" s="121"/>
      <c r="AO221" s="75"/>
      <c r="AP221" s="138"/>
    </row>
    <row r="222" customFormat="false" ht="12.75" hidden="false" customHeight="false" outlineLevel="0" collapsed="false">
      <c r="A222" s="127"/>
      <c r="B222" s="128"/>
      <c r="C222" s="116"/>
      <c r="D222" s="116"/>
      <c r="E222" s="129"/>
      <c r="F222" s="130"/>
      <c r="G222" s="131"/>
      <c r="H222" s="129"/>
      <c r="I222" s="131"/>
      <c r="J222" s="131"/>
      <c r="K222" s="142"/>
      <c r="L222" s="142"/>
      <c r="M222" s="142"/>
      <c r="N222" s="131"/>
      <c r="O222" s="131"/>
      <c r="P222" s="131"/>
      <c r="Q222" s="129"/>
      <c r="R222" s="129"/>
      <c r="S222" s="129"/>
      <c r="T222" s="132"/>
      <c r="U222" s="133"/>
      <c r="X222" s="135"/>
      <c r="Z222" s="144"/>
      <c r="AA222" s="137"/>
      <c r="AD222" s="121"/>
      <c r="AE222" s="121"/>
      <c r="AF222" s="121"/>
      <c r="AG222" s="121"/>
      <c r="AH222" s="121"/>
      <c r="AI222" s="121"/>
      <c r="AJ222" s="121"/>
      <c r="AK222" s="121"/>
      <c r="AL222" s="121"/>
      <c r="AO222" s="75"/>
      <c r="AP222" s="138"/>
    </row>
    <row r="223" customFormat="false" ht="12.75" hidden="false" customHeight="false" outlineLevel="0" collapsed="false">
      <c r="A223" s="127"/>
      <c r="B223" s="128"/>
      <c r="C223" s="116"/>
      <c r="D223" s="116"/>
      <c r="E223" s="129"/>
      <c r="F223" s="130"/>
      <c r="G223" s="131"/>
      <c r="H223" s="129"/>
      <c r="I223" s="131"/>
      <c r="J223" s="131"/>
      <c r="K223" s="142"/>
      <c r="L223" s="142"/>
      <c r="M223" s="142"/>
      <c r="N223" s="131"/>
      <c r="O223" s="131"/>
      <c r="P223" s="131"/>
      <c r="Q223" s="129"/>
      <c r="R223" s="129"/>
      <c r="S223" s="129"/>
      <c r="T223" s="132"/>
      <c r="U223" s="133"/>
      <c r="X223" s="135"/>
      <c r="Z223" s="144"/>
      <c r="AA223" s="137"/>
      <c r="AD223" s="121"/>
      <c r="AE223" s="121"/>
      <c r="AF223" s="121"/>
      <c r="AG223" s="121"/>
      <c r="AH223" s="121"/>
      <c r="AI223" s="121"/>
      <c r="AJ223" s="121"/>
      <c r="AK223" s="121"/>
      <c r="AL223" s="121"/>
      <c r="AO223" s="75"/>
      <c r="AP223" s="138"/>
    </row>
    <row r="224" customFormat="false" ht="12.75" hidden="false" customHeight="false" outlineLevel="0" collapsed="false">
      <c r="A224" s="127"/>
      <c r="B224" s="128"/>
      <c r="C224" s="116"/>
      <c r="D224" s="116"/>
      <c r="E224" s="129"/>
      <c r="F224" s="130"/>
      <c r="G224" s="131"/>
      <c r="H224" s="129"/>
      <c r="I224" s="131"/>
      <c r="J224" s="131"/>
      <c r="K224" s="142"/>
      <c r="L224" s="142"/>
      <c r="M224" s="142"/>
      <c r="N224" s="131"/>
      <c r="O224" s="131"/>
      <c r="P224" s="131"/>
      <c r="Q224" s="129"/>
      <c r="R224" s="129"/>
      <c r="S224" s="129"/>
      <c r="T224" s="132"/>
      <c r="U224" s="133"/>
      <c r="X224" s="135"/>
      <c r="Z224" s="144"/>
      <c r="AA224" s="137"/>
      <c r="AD224" s="121"/>
      <c r="AE224" s="121"/>
      <c r="AF224" s="121"/>
      <c r="AG224" s="121"/>
      <c r="AH224" s="121"/>
      <c r="AI224" s="121"/>
      <c r="AJ224" s="121"/>
      <c r="AK224" s="121"/>
      <c r="AL224" s="121"/>
      <c r="AO224" s="75"/>
      <c r="AP224" s="138"/>
    </row>
    <row r="225" customFormat="false" ht="12.75" hidden="false" customHeight="false" outlineLevel="0" collapsed="false">
      <c r="A225" s="127"/>
      <c r="B225" s="128"/>
      <c r="C225" s="116"/>
      <c r="D225" s="116"/>
      <c r="E225" s="129"/>
      <c r="F225" s="130"/>
      <c r="G225" s="131"/>
      <c r="H225" s="129"/>
      <c r="I225" s="131"/>
      <c r="J225" s="131"/>
      <c r="K225" s="142"/>
      <c r="L225" s="142"/>
      <c r="M225" s="142"/>
      <c r="N225" s="131"/>
      <c r="O225" s="131"/>
      <c r="P225" s="131"/>
      <c r="Q225" s="129"/>
      <c r="R225" s="129"/>
      <c r="S225" s="129"/>
      <c r="T225" s="132"/>
      <c r="U225" s="133"/>
      <c r="X225" s="135"/>
      <c r="Z225" s="144"/>
      <c r="AA225" s="137"/>
      <c r="AD225" s="121"/>
      <c r="AE225" s="121"/>
      <c r="AF225" s="121"/>
      <c r="AG225" s="121"/>
      <c r="AH225" s="121"/>
      <c r="AI225" s="121"/>
      <c r="AJ225" s="121"/>
      <c r="AK225" s="121"/>
      <c r="AL225" s="121"/>
      <c r="AO225" s="75"/>
      <c r="AP225" s="138"/>
    </row>
    <row r="226" customFormat="false" ht="12.75" hidden="false" customHeight="false" outlineLevel="0" collapsed="false">
      <c r="A226" s="127"/>
      <c r="B226" s="128"/>
      <c r="C226" s="116"/>
      <c r="D226" s="116"/>
      <c r="E226" s="129"/>
      <c r="F226" s="130"/>
      <c r="G226" s="131"/>
      <c r="H226" s="129"/>
      <c r="I226" s="131"/>
      <c r="J226" s="131"/>
      <c r="K226" s="142"/>
      <c r="L226" s="142"/>
      <c r="M226" s="142"/>
      <c r="N226" s="131"/>
      <c r="O226" s="131"/>
      <c r="P226" s="131"/>
      <c r="Q226" s="129"/>
      <c r="R226" s="129"/>
      <c r="S226" s="129"/>
      <c r="T226" s="132"/>
      <c r="U226" s="133"/>
      <c r="X226" s="135"/>
      <c r="Z226" s="144"/>
      <c r="AA226" s="137"/>
      <c r="AD226" s="121"/>
      <c r="AE226" s="121"/>
      <c r="AF226" s="121"/>
      <c r="AG226" s="121"/>
      <c r="AH226" s="121"/>
      <c r="AI226" s="121"/>
      <c r="AJ226" s="121"/>
      <c r="AK226" s="121"/>
      <c r="AL226" s="121"/>
      <c r="AO226" s="75"/>
      <c r="AP226" s="138"/>
    </row>
    <row r="227" customFormat="false" ht="12.75" hidden="false" customHeight="false" outlineLevel="0" collapsed="false">
      <c r="A227" s="127"/>
      <c r="B227" s="128"/>
      <c r="C227" s="116"/>
      <c r="D227" s="116"/>
      <c r="E227" s="129"/>
      <c r="F227" s="130"/>
      <c r="G227" s="131"/>
      <c r="H227" s="129"/>
      <c r="I227" s="131"/>
      <c r="J227" s="131"/>
      <c r="K227" s="142"/>
      <c r="L227" s="142"/>
      <c r="M227" s="142"/>
      <c r="N227" s="131"/>
      <c r="O227" s="131"/>
      <c r="P227" s="131"/>
      <c r="Q227" s="129"/>
      <c r="R227" s="129"/>
      <c r="S227" s="129"/>
      <c r="T227" s="132"/>
      <c r="U227" s="133"/>
      <c r="X227" s="135"/>
      <c r="Z227" s="144"/>
      <c r="AA227" s="137"/>
      <c r="AD227" s="121"/>
      <c r="AE227" s="121"/>
      <c r="AF227" s="121"/>
      <c r="AG227" s="121"/>
      <c r="AH227" s="121"/>
      <c r="AI227" s="121"/>
      <c r="AJ227" s="121"/>
      <c r="AK227" s="121"/>
      <c r="AL227" s="121"/>
      <c r="AO227" s="75"/>
      <c r="AP227" s="138"/>
    </row>
    <row r="228" customFormat="false" ht="12.75" hidden="false" customHeight="false" outlineLevel="0" collapsed="false">
      <c r="A228" s="127"/>
      <c r="B228" s="128"/>
      <c r="C228" s="116"/>
      <c r="D228" s="116"/>
      <c r="E228" s="129"/>
      <c r="F228" s="130"/>
      <c r="G228" s="131"/>
      <c r="H228" s="129"/>
      <c r="I228" s="131"/>
      <c r="J228" s="131"/>
      <c r="K228" s="142"/>
      <c r="L228" s="142"/>
      <c r="M228" s="142"/>
      <c r="N228" s="131"/>
      <c r="O228" s="131"/>
      <c r="P228" s="131"/>
      <c r="Q228" s="129"/>
      <c r="R228" s="129"/>
      <c r="S228" s="129"/>
      <c r="T228" s="132"/>
      <c r="U228" s="133"/>
      <c r="X228" s="135"/>
      <c r="Z228" s="144"/>
      <c r="AA228" s="137"/>
      <c r="AD228" s="121"/>
      <c r="AE228" s="121"/>
      <c r="AF228" s="121"/>
      <c r="AG228" s="121"/>
      <c r="AH228" s="121"/>
      <c r="AI228" s="121"/>
      <c r="AJ228" s="121"/>
      <c r="AK228" s="121"/>
      <c r="AL228" s="121"/>
      <c r="AO228" s="75"/>
      <c r="AP228" s="138"/>
    </row>
    <row r="229" customFormat="false" ht="12.75" hidden="false" customHeight="false" outlineLevel="0" collapsed="false">
      <c r="A229" s="127"/>
      <c r="B229" s="128"/>
      <c r="C229" s="116"/>
      <c r="D229" s="116"/>
      <c r="E229" s="129"/>
      <c r="F229" s="130"/>
      <c r="G229" s="131"/>
      <c r="H229" s="129"/>
      <c r="I229" s="131"/>
      <c r="J229" s="131"/>
      <c r="K229" s="142"/>
      <c r="L229" s="142"/>
      <c r="M229" s="142"/>
      <c r="N229" s="131"/>
      <c r="O229" s="131"/>
      <c r="P229" s="131"/>
      <c r="Q229" s="129"/>
      <c r="R229" s="129"/>
      <c r="S229" s="129"/>
      <c r="T229" s="132"/>
      <c r="U229" s="133"/>
      <c r="X229" s="135"/>
      <c r="Z229" s="144"/>
      <c r="AA229" s="137"/>
      <c r="AD229" s="121"/>
      <c r="AE229" s="121"/>
      <c r="AF229" s="121"/>
      <c r="AG229" s="121"/>
      <c r="AH229" s="121"/>
      <c r="AI229" s="121"/>
      <c r="AJ229" s="121"/>
      <c r="AK229" s="121"/>
      <c r="AL229" s="121"/>
      <c r="AO229" s="75"/>
      <c r="AP229" s="138"/>
    </row>
    <row r="230" customFormat="false" ht="12.75" hidden="false" customHeight="false" outlineLevel="0" collapsed="false">
      <c r="A230" s="127"/>
      <c r="B230" s="128"/>
      <c r="C230" s="116"/>
      <c r="D230" s="116"/>
      <c r="E230" s="129"/>
      <c r="F230" s="130"/>
      <c r="G230" s="131"/>
      <c r="H230" s="129"/>
      <c r="I230" s="131"/>
      <c r="J230" s="131"/>
      <c r="K230" s="142"/>
      <c r="L230" s="142"/>
      <c r="M230" s="142"/>
      <c r="N230" s="131"/>
      <c r="O230" s="131"/>
      <c r="P230" s="131"/>
      <c r="Q230" s="129"/>
      <c r="R230" s="129"/>
      <c r="S230" s="129"/>
      <c r="T230" s="132"/>
      <c r="U230" s="133"/>
      <c r="X230" s="135"/>
      <c r="Z230" s="144"/>
      <c r="AA230" s="137"/>
      <c r="AD230" s="121"/>
      <c r="AE230" s="121"/>
      <c r="AF230" s="121"/>
      <c r="AG230" s="121"/>
      <c r="AH230" s="121"/>
      <c r="AI230" s="121"/>
      <c r="AJ230" s="121"/>
      <c r="AK230" s="121"/>
      <c r="AL230" s="121"/>
      <c r="AO230" s="75"/>
      <c r="AP230" s="138"/>
    </row>
    <row r="231" customFormat="false" ht="12.75" hidden="false" customHeight="false" outlineLevel="0" collapsed="false">
      <c r="A231" s="127"/>
      <c r="B231" s="128"/>
      <c r="C231" s="116"/>
      <c r="D231" s="116"/>
      <c r="E231" s="129"/>
      <c r="F231" s="130"/>
      <c r="G231" s="131"/>
      <c r="H231" s="129"/>
      <c r="I231" s="131"/>
      <c r="J231" s="131"/>
      <c r="K231" s="142"/>
      <c r="L231" s="142"/>
      <c r="M231" s="142"/>
      <c r="N231" s="131"/>
      <c r="O231" s="131"/>
      <c r="P231" s="131"/>
      <c r="Q231" s="129"/>
      <c r="R231" s="129"/>
      <c r="S231" s="129"/>
      <c r="T231" s="132"/>
      <c r="U231" s="133"/>
      <c r="X231" s="135"/>
      <c r="Z231" s="144"/>
      <c r="AA231" s="137"/>
      <c r="AD231" s="121"/>
      <c r="AE231" s="121"/>
      <c r="AF231" s="121"/>
      <c r="AG231" s="121"/>
      <c r="AH231" s="121"/>
      <c r="AI231" s="121"/>
      <c r="AJ231" s="121"/>
      <c r="AK231" s="121"/>
      <c r="AL231" s="121"/>
      <c r="AO231" s="75"/>
      <c r="AP231" s="138"/>
    </row>
    <row r="232" customFormat="false" ht="12.75" hidden="false" customHeight="false" outlineLevel="0" collapsed="false">
      <c r="A232" s="127"/>
      <c r="B232" s="128"/>
      <c r="C232" s="116"/>
      <c r="D232" s="116"/>
      <c r="E232" s="129"/>
      <c r="F232" s="130"/>
      <c r="G232" s="131"/>
      <c r="H232" s="129"/>
      <c r="I232" s="131"/>
      <c r="J232" s="131"/>
      <c r="K232" s="142"/>
      <c r="L232" s="142"/>
      <c r="M232" s="142"/>
      <c r="N232" s="131"/>
      <c r="O232" s="131"/>
      <c r="P232" s="131"/>
      <c r="Q232" s="129"/>
      <c r="R232" s="129"/>
      <c r="S232" s="129"/>
      <c r="T232" s="132"/>
      <c r="U232" s="133"/>
      <c r="X232" s="135"/>
      <c r="Z232" s="144"/>
      <c r="AA232" s="137"/>
      <c r="AD232" s="121"/>
      <c r="AE232" s="121"/>
      <c r="AF232" s="121"/>
      <c r="AG232" s="121"/>
      <c r="AH232" s="121"/>
      <c r="AI232" s="121"/>
      <c r="AJ232" s="121"/>
      <c r="AK232" s="121"/>
      <c r="AL232" s="121"/>
      <c r="AO232" s="75"/>
      <c r="AP232" s="138"/>
    </row>
    <row r="233" customFormat="false" ht="12.75" hidden="false" customHeight="false" outlineLevel="0" collapsed="false">
      <c r="A233" s="127"/>
      <c r="B233" s="128"/>
      <c r="C233" s="116"/>
      <c r="D233" s="116"/>
      <c r="E233" s="129"/>
      <c r="F233" s="130"/>
      <c r="G233" s="131"/>
      <c r="H233" s="129"/>
      <c r="I233" s="131"/>
      <c r="J233" s="131"/>
      <c r="K233" s="142"/>
      <c r="L233" s="142"/>
      <c r="M233" s="142"/>
      <c r="N233" s="131"/>
      <c r="O233" s="131"/>
      <c r="P233" s="131"/>
      <c r="Q233" s="129"/>
      <c r="R233" s="129"/>
      <c r="S233" s="129"/>
      <c r="T233" s="132"/>
      <c r="U233" s="133"/>
      <c r="X233" s="135"/>
      <c r="Z233" s="144"/>
      <c r="AA233" s="137"/>
      <c r="AD233" s="121"/>
      <c r="AE233" s="121"/>
      <c r="AF233" s="121"/>
      <c r="AG233" s="121"/>
      <c r="AH233" s="121"/>
      <c r="AI233" s="121"/>
      <c r="AJ233" s="121"/>
      <c r="AK233" s="121"/>
      <c r="AL233" s="121"/>
      <c r="AO233" s="75"/>
      <c r="AP233" s="138"/>
    </row>
    <row r="234" customFormat="false" ht="12.75" hidden="false" customHeight="false" outlineLevel="0" collapsed="false">
      <c r="A234" s="127"/>
      <c r="B234" s="128"/>
      <c r="C234" s="116"/>
      <c r="D234" s="116"/>
      <c r="E234" s="129"/>
      <c r="F234" s="130"/>
      <c r="G234" s="131"/>
      <c r="H234" s="129"/>
      <c r="I234" s="131"/>
      <c r="J234" s="131"/>
      <c r="K234" s="142"/>
      <c r="L234" s="142"/>
      <c r="M234" s="142"/>
      <c r="N234" s="131"/>
      <c r="O234" s="131"/>
      <c r="P234" s="131"/>
      <c r="Q234" s="129"/>
      <c r="R234" s="129"/>
      <c r="S234" s="129"/>
      <c r="T234" s="132"/>
      <c r="U234" s="133"/>
      <c r="X234" s="135"/>
      <c r="Z234" s="144"/>
      <c r="AA234" s="137"/>
      <c r="AD234" s="121"/>
      <c r="AE234" s="121"/>
      <c r="AF234" s="121"/>
      <c r="AG234" s="121"/>
      <c r="AH234" s="121"/>
      <c r="AI234" s="121"/>
      <c r="AJ234" s="121"/>
      <c r="AK234" s="121"/>
      <c r="AL234" s="121"/>
      <c r="AO234" s="75"/>
      <c r="AP234" s="138"/>
    </row>
    <row r="235" customFormat="false" ht="12.75" hidden="false" customHeight="false" outlineLevel="0" collapsed="false">
      <c r="A235" s="127"/>
      <c r="B235" s="128"/>
      <c r="C235" s="116"/>
      <c r="D235" s="116"/>
      <c r="E235" s="129"/>
      <c r="F235" s="130"/>
      <c r="G235" s="131"/>
      <c r="H235" s="129"/>
      <c r="I235" s="131"/>
      <c r="J235" s="131"/>
      <c r="K235" s="142"/>
      <c r="L235" s="142"/>
      <c r="M235" s="142"/>
      <c r="N235" s="131"/>
      <c r="O235" s="131"/>
      <c r="P235" s="131"/>
      <c r="Q235" s="129"/>
      <c r="R235" s="129"/>
      <c r="S235" s="129"/>
      <c r="T235" s="132"/>
      <c r="U235" s="133"/>
      <c r="X235" s="135"/>
      <c r="Z235" s="144"/>
      <c r="AA235" s="137"/>
      <c r="AD235" s="121"/>
      <c r="AE235" s="121"/>
      <c r="AF235" s="121"/>
      <c r="AG235" s="121"/>
      <c r="AH235" s="121"/>
      <c r="AI235" s="121"/>
      <c r="AJ235" s="121"/>
      <c r="AK235" s="121"/>
      <c r="AL235" s="121"/>
      <c r="AO235" s="75"/>
      <c r="AP235" s="138"/>
    </row>
    <row r="236" customFormat="false" ht="12.75" hidden="false" customHeight="false" outlineLevel="0" collapsed="false">
      <c r="A236" s="127"/>
      <c r="B236" s="128"/>
      <c r="C236" s="116"/>
      <c r="D236" s="116"/>
      <c r="E236" s="129"/>
      <c r="F236" s="130"/>
      <c r="G236" s="131"/>
      <c r="H236" s="129"/>
      <c r="I236" s="131"/>
      <c r="J236" s="131"/>
      <c r="K236" s="142"/>
      <c r="L236" s="142"/>
      <c r="M236" s="142"/>
      <c r="N236" s="131"/>
      <c r="O236" s="131"/>
      <c r="P236" s="131"/>
      <c r="Q236" s="129"/>
      <c r="R236" s="129"/>
      <c r="S236" s="129"/>
      <c r="T236" s="132"/>
      <c r="U236" s="133"/>
      <c r="X236" s="135"/>
      <c r="Z236" s="144"/>
      <c r="AA236" s="137"/>
      <c r="AD236" s="121"/>
      <c r="AE236" s="121"/>
      <c r="AF236" s="121"/>
      <c r="AG236" s="121"/>
      <c r="AH236" s="121"/>
      <c r="AI236" s="121"/>
      <c r="AJ236" s="121"/>
      <c r="AK236" s="121"/>
      <c r="AL236" s="121"/>
      <c r="AO236" s="75"/>
      <c r="AP236" s="138"/>
    </row>
    <row r="237" customFormat="false" ht="12.75" hidden="false" customHeight="false" outlineLevel="0" collapsed="false">
      <c r="A237" s="127"/>
      <c r="B237" s="128"/>
      <c r="C237" s="116"/>
      <c r="D237" s="116"/>
      <c r="E237" s="129"/>
      <c r="F237" s="130"/>
      <c r="G237" s="131"/>
      <c r="H237" s="129"/>
      <c r="I237" s="131"/>
      <c r="J237" s="131"/>
      <c r="K237" s="142"/>
      <c r="L237" s="142"/>
      <c r="M237" s="142"/>
      <c r="N237" s="131"/>
      <c r="O237" s="131"/>
      <c r="P237" s="131"/>
      <c r="Q237" s="129"/>
      <c r="R237" s="129"/>
      <c r="S237" s="129"/>
      <c r="T237" s="132"/>
      <c r="U237" s="133"/>
      <c r="X237" s="135"/>
      <c r="Z237" s="144"/>
      <c r="AA237" s="137"/>
      <c r="AD237" s="121"/>
      <c r="AE237" s="121"/>
      <c r="AF237" s="121"/>
      <c r="AG237" s="121"/>
      <c r="AH237" s="121"/>
      <c r="AI237" s="121"/>
      <c r="AJ237" s="121"/>
      <c r="AK237" s="121"/>
      <c r="AL237" s="121"/>
      <c r="AO237" s="75"/>
      <c r="AP237" s="138"/>
    </row>
    <row r="238" customFormat="false" ht="12.75" hidden="false" customHeight="false" outlineLevel="0" collapsed="false">
      <c r="A238" s="127"/>
      <c r="B238" s="128"/>
      <c r="C238" s="116"/>
      <c r="D238" s="116"/>
      <c r="E238" s="129"/>
      <c r="F238" s="130"/>
      <c r="G238" s="131"/>
      <c r="H238" s="129"/>
      <c r="I238" s="131"/>
      <c r="J238" s="131"/>
      <c r="K238" s="142"/>
      <c r="L238" s="142"/>
      <c r="M238" s="142"/>
      <c r="N238" s="131"/>
      <c r="O238" s="131"/>
      <c r="P238" s="131"/>
      <c r="Q238" s="129"/>
      <c r="R238" s="129"/>
      <c r="S238" s="129"/>
      <c r="T238" s="132"/>
      <c r="U238" s="133"/>
      <c r="X238" s="135"/>
      <c r="Z238" s="144"/>
      <c r="AA238" s="137"/>
      <c r="AD238" s="121"/>
      <c r="AE238" s="121"/>
      <c r="AF238" s="121"/>
      <c r="AG238" s="121"/>
      <c r="AH238" s="121"/>
      <c r="AI238" s="121"/>
      <c r="AJ238" s="121"/>
      <c r="AK238" s="121"/>
      <c r="AL238" s="121"/>
      <c r="AO238" s="75"/>
      <c r="AP238" s="138"/>
    </row>
    <row r="239" customFormat="false" ht="12.75" hidden="false" customHeight="false" outlineLevel="0" collapsed="false">
      <c r="A239" s="127"/>
      <c r="B239" s="128"/>
      <c r="C239" s="116"/>
      <c r="D239" s="116"/>
      <c r="E239" s="129"/>
      <c r="F239" s="130"/>
      <c r="G239" s="131"/>
      <c r="H239" s="129"/>
      <c r="I239" s="131"/>
      <c r="J239" s="131"/>
      <c r="K239" s="142"/>
      <c r="L239" s="142"/>
      <c r="M239" s="142"/>
      <c r="N239" s="131"/>
      <c r="O239" s="131"/>
      <c r="P239" s="131"/>
      <c r="Q239" s="129"/>
      <c r="R239" s="129"/>
      <c r="S239" s="129"/>
      <c r="T239" s="132"/>
      <c r="U239" s="133"/>
      <c r="X239" s="135"/>
      <c r="Z239" s="144"/>
      <c r="AA239" s="137"/>
      <c r="AD239" s="121"/>
      <c r="AE239" s="121"/>
      <c r="AF239" s="121"/>
      <c r="AG239" s="121"/>
      <c r="AH239" s="121"/>
      <c r="AI239" s="121"/>
      <c r="AJ239" s="121"/>
      <c r="AK239" s="121"/>
      <c r="AL239" s="121"/>
      <c r="AO239" s="75"/>
      <c r="AP239" s="138"/>
    </row>
    <row r="240" customFormat="false" ht="12.75" hidden="false" customHeight="false" outlineLevel="0" collapsed="false">
      <c r="A240" s="127"/>
      <c r="B240" s="128"/>
      <c r="C240" s="116"/>
      <c r="D240" s="116"/>
      <c r="E240" s="129"/>
      <c r="F240" s="130"/>
      <c r="G240" s="131"/>
      <c r="H240" s="129"/>
      <c r="I240" s="131"/>
      <c r="J240" s="131"/>
      <c r="K240" s="142"/>
      <c r="L240" s="142"/>
      <c r="M240" s="142"/>
      <c r="N240" s="131"/>
      <c r="O240" s="131"/>
      <c r="P240" s="131"/>
      <c r="Q240" s="129"/>
      <c r="R240" s="129"/>
      <c r="S240" s="129"/>
      <c r="T240" s="132"/>
      <c r="U240" s="133"/>
      <c r="X240" s="135"/>
      <c r="Z240" s="144"/>
      <c r="AA240" s="137"/>
      <c r="AD240" s="121"/>
      <c r="AE240" s="121"/>
      <c r="AF240" s="121"/>
      <c r="AG240" s="121"/>
      <c r="AH240" s="121"/>
      <c r="AI240" s="121"/>
      <c r="AJ240" s="121"/>
      <c r="AK240" s="121"/>
      <c r="AL240" s="121"/>
      <c r="AO240" s="75"/>
      <c r="AP240" s="138"/>
    </row>
    <row r="241" customFormat="false" ht="12.75" hidden="false" customHeight="false" outlineLevel="0" collapsed="false">
      <c r="A241" s="127"/>
      <c r="B241" s="128"/>
      <c r="C241" s="116"/>
      <c r="D241" s="116"/>
      <c r="E241" s="129"/>
      <c r="F241" s="130"/>
      <c r="G241" s="131"/>
      <c r="H241" s="129"/>
      <c r="I241" s="131"/>
      <c r="J241" s="131"/>
      <c r="K241" s="142"/>
      <c r="L241" s="142"/>
      <c r="M241" s="142"/>
      <c r="N241" s="131"/>
      <c r="O241" s="131"/>
      <c r="P241" s="131"/>
      <c r="Q241" s="129"/>
      <c r="R241" s="129"/>
      <c r="S241" s="129"/>
      <c r="T241" s="132"/>
      <c r="U241" s="133"/>
      <c r="X241" s="135"/>
      <c r="Z241" s="144"/>
      <c r="AA241" s="137"/>
      <c r="AD241" s="121"/>
      <c r="AE241" s="121"/>
      <c r="AF241" s="121"/>
      <c r="AG241" s="121"/>
      <c r="AH241" s="121"/>
      <c r="AI241" s="121"/>
      <c r="AJ241" s="121"/>
      <c r="AK241" s="121"/>
      <c r="AL241" s="121"/>
      <c r="AO241" s="75"/>
      <c r="AP241" s="138"/>
    </row>
    <row r="242" customFormat="false" ht="12.75" hidden="false" customHeight="false" outlineLevel="0" collapsed="false">
      <c r="A242" s="127"/>
      <c r="B242" s="128"/>
      <c r="C242" s="116"/>
      <c r="D242" s="116"/>
      <c r="E242" s="129"/>
      <c r="F242" s="130"/>
      <c r="G242" s="131"/>
      <c r="H242" s="129"/>
      <c r="I242" s="131"/>
      <c r="J242" s="131"/>
      <c r="K242" s="142"/>
      <c r="L242" s="142"/>
      <c r="M242" s="142"/>
      <c r="N242" s="131"/>
      <c r="O242" s="131"/>
      <c r="P242" s="131"/>
      <c r="Q242" s="129"/>
      <c r="R242" s="129"/>
      <c r="S242" s="129"/>
      <c r="T242" s="132"/>
      <c r="U242" s="133"/>
      <c r="X242" s="135"/>
      <c r="Z242" s="144"/>
      <c r="AA242" s="137"/>
      <c r="AD242" s="121"/>
      <c r="AE242" s="121"/>
      <c r="AF242" s="121"/>
      <c r="AG242" s="121"/>
      <c r="AH242" s="121"/>
      <c r="AI242" s="121"/>
      <c r="AJ242" s="121"/>
      <c r="AK242" s="121"/>
      <c r="AL242" s="121"/>
      <c r="AO242" s="75"/>
      <c r="AP242" s="138"/>
    </row>
    <row r="243" customFormat="false" ht="12.75" hidden="false" customHeight="false" outlineLevel="0" collapsed="false">
      <c r="A243" s="127"/>
      <c r="B243" s="128"/>
      <c r="C243" s="116"/>
      <c r="D243" s="116"/>
      <c r="E243" s="129"/>
      <c r="F243" s="130"/>
      <c r="G243" s="131"/>
      <c r="H243" s="129"/>
      <c r="I243" s="131"/>
      <c r="J243" s="131"/>
      <c r="K243" s="142"/>
      <c r="L243" s="142"/>
      <c r="M243" s="142"/>
      <c r="N243" s="131"/>
      <c r="O243" s="131"/>
      <c r="P243" s="131"/>
      <c r="Q243" s="129"/>
      <c r="R243" s="129"/>
      <c r="S243" s="129"/>
      <c r="T243" s="132"/>
      <c r="U243" s="133"/>
      <c r="X243" s="135"/>
      <c r="Z243" s="144"/>
      <c r="AA243" s="137"/>
      <c r="AD243" s="121"/>
      <c r="AE243" s="121"/>
      <c r="AF243" s="121"/>
      <c r="AG243" s="121"/>
      <c r="AH243" s="121"/>
      <c r="AI243" s="121"/>
      <c r="AJ243" s="121"/>
      <c r="AK243" s="121"/>
      <c r="AL243" s="121"/>
      <c r="AO243" s="75"/>
      <c r="AP243" s="138"/>
    </row>
    <row r="244" customFormat="false" ht="12.75" hidden="false" customHeight="false" outlineLevel="0" collapsed="false">
      <c r="A244" s="127"/>
      <c r="B244" s="128"/>
      <c r="C244" s="116"/>
      <c r="D244" s="116"/>
      <c r="E244" s="129"/>
      <c r="F244" s="130"/>
      <c r="G244" s="131"/>
      <c r="H244" s="129"/>
      <c r="I244" s="131"/>
      <c r="J244" s="131"/>
      <c r="K244" s="142"/>
      <c r="L244" s="142"/>
      <c r="M244" s="142"/>
      <c r="N244" s="131"/>
      <c r="O244" s="131"/>
      <c r="P244" s="131"/>
      <c r="Q244" s="129"/>
      <c r="R244" s="129"/>
      <c r="S244" s="129"/>
      <c r="T244" s="132"/>
      <c r="U244" s="133"/>
      <c r="X244" s="135"/>
      <c r="Z244" s="144"/>
      <c r="AA244" s="137"/>
      <c r="AD244" s="121"/>
      <c r="AE244" s="121"/>
      <c r="AF244" s="121"/>
      <c r="AG244" s="121"/>
      <c r="AH244" s="121"/>
      <c r="AI244" s="121"/>
      <c r="AJ244" s="121"/>
      <c r="AK244" s="121"/>
      <c r="AL244" s="121"/>
      <c r="AO244" s="75"/>
      <c r="AP244" s="138"/>
    </row>
    <row r="245" customFormat="false" ht="12.75" hidden="false" customHeight="false" outlineLevel="0" collapsed="false">
      <c r="A245" s="127"/>
      <c r="B245" s="128"/>
      <c r="C245" s="116"/>
      <c r="D245" s="116"/>
      <c r="E245" s="129"/>
      <c r="F245" s="130"/>
      <c r="G245" s="131"/>
      <c r="H245" s="129"/>
      <c r="I245" s="131"/>
      <c r="J245" s="131"/>
      <c r="K245" s="142"/>
      <c r="L245" s="142"/>
      <c r="M245" s="142"/>
      <c r="N245" s="131"/>
      <c r="O245" s="131"/>
      <c r="P245" s="131"/>
      <c r="Q245" s="129"/>
      <c r="R245" s="129"/>
      <c r="S245" s="129"/>
      <c r="T245" s="132"/>
      <c r="U245" s="133"/>
      <c r="X245" s="135"/>
      <c r="Z245" s="144"/>
      <c r="AA245" s="137"/>
      <c r="AD245" s="121"/>
      <c r="AE245" s="121"/>
      <c r="AF245" s="121"/>
      <c r="AG245" s="121"/>
      <c r="AH245" s="121"/>
      <c r="AI245" s="121"/>
      <c r="AJ245" s="121"/>
      <c r="AK245" s="121"/>
      <c r="AL245" s="121"/>
      <c r="AO245" s="75"/>
      <c r="AP245" s="138"/>
    </row>
    <row r="246" customFormat="false" ht="12.75" hidden="false" customHeight="false" outlineLevel="0" collapsed="false">
      <c r="A246" s="127"/>
      <c r="B246" s="128"/>
      <c r="C246" s="116"/>
      <c r="D246" s="116"/>
      <c r="E246" s="129"/>
      <c r="F246" s="130"/>
      <c r="G246" s="131"/>
      <c r="H246" s="129"/>
      <c r="I246" s="131"/>
      <c r="J246" s="131"/>
      <c r="K246" s="142"/>
      <c r="L246" s="142"/>
      <c r="M246" s="142"/>
      <c r="N246" s="131"/>
      <c r="O246" s="131"/>
      <c r="P246" s="131"/>
      <c r="Q246" s="129"/>
      <c r="R246" s="129"/>
      <c r="S246" s="129"/>
      <c r="T246" s="132"/>
      <c r="U246" s="133"/>
      <c r="X246" s="135"/>
      <c r="Z246" s="144"/>
      <c r="AA246" s="137"/>
      <c r="AD246" s="121"/>
      <c r="AE246" s="121"/>
      <c r="AF246" s="121"/>
      <c r="AG246" s="121"/>
      <c r="AH246" s="121"/>
      <c r="AI246" s="121"/>
      <c r="AJ246" s="121"/>
      <c r="AK246" s="121"/>
      <c r="AL246" s="121"/>
      <c r="AO246" s="75"/>
      <c r="AP246" s="138"/>
    </row>
    <row r="247" customFormat="false" ht="12.75" hidden="false" customHeight="false" outlineLevel="0" collapsed="false">
      <c r="A247" s="127"/>
      <c r="B247" s="128"/>
      <c r="C247" s="116"/>
      <c r="D247" s="116"/>
      <c r="E247" s="129"/>
      <c r="F247" s="130"/>
      <c r="G247" s="131"/>
      <c r="H247" s="129"/>
      <c r="I247" s="131"/>
      <c r="J247" s="131"/>
      <c r="K247" s="142"/>
      <c r="L247" s="142"/>
      <c r="M247" s="142"/>
      <c r="N247" s="131"/>
      <c r="O247" s="131"/>
      <c r="P247" s="131"/>
      <c r="Q247" s="129"/>
      <c r="R247" s="129"/>
      <c r="S247" s="129"/>
      <c r="T247" s="132"/>
      <c r="U247" s="133"/>
      <c r="X247" s="135"/>
      <c r="Z247" s="144"/>
      <c r="AA247" s="137"/>
      <c r="AD247" s="121"/>
      <c r="AE247" s="121"/>
      <c r="AF247" s="121"/>
      <c r="AG247" s="121"/>
      <c r="AH247" s="121"/>
      <c r="AI247" s="121"/>
      <c r="AJ247" s="121"/>
      <c r="AK247" s="121"/>
      <c r="AL247" s="121"/>
      <c r="AO247" s="75"/>
      <c r="AP247" s="138"/>
    </row>
    <row r="248" customFormat="false" ht="12.75" hidden="false" customHeight="false" outlineLevel="0" collapsed="false">
      <c r="A248" s="127"/>
      <c r="B248" s="128"/>
      <c r="C248" s="116"/>
      <c r="D248" s="116"/>
      <c r="E248" s="129"/>
      <c r="F248" s="130"/>
      <c r="G248" s="131"/>
      <c r="H248" s="129"/>
      <c r="I248" s="131"/>
      <c r="J248" s="131"/>
      <c r="K248" s="142"/>
      <c r="L248" s="142"/>
      <c r="M248" s="142"/>
      <c r="N248" s="131"/>
      <c r="O248" s="131"/>
      <c r="P248" s="131"/>
      <c r="Q248" s="129"/>
      <c r="R248" s="129"/>
      <c r="S248" s="129"/>
      <c r="T248" s="132"/>
      <c r="U248" s="133"/>
      <c r="X248" s="135"/>
      <c r="Z248" s="144"/>
      <c r="AA248" s="137"/>
      <c r="AD248" s="121"/>
      <c r="AE248" s="121"/>
      <c r="AF248" s="121"/>
      <c r="AG248" s="121"/>
      <c r="AH248" s="121"/>
      <c r="AI248" s="121"/>
      <c r="AJ248" s="121"/>
      <c r="AK248" s="121"/>
      <c r="AL248" s="121"/>
      <c r="AO248" s="75"/>
      <c r="AP248" s="138"/>
    </row>
    <row r="249" customFormat="false" ht="13.5" hidden="false" customHeight="false" outlineLevel="0" collapsed="false">
      <c r="A249" s="127"/>
      <c r="B249" s="128"/>
      <c r="C249" s="116"/>
      <c r="D249" s="116"/>
      <c r="E249" s="129"/>
      <c r="F249" s="130"/>
      <c r="G249" s="131"/>
      <c r="H249" s="129"/>
      <c r="I249" s="131"/>
      <c r="J249" s="131"/>
      <c r="K249" s="142"/>
      <c r="L249" s="142"/>
      <c r="M249" s="142"/>
      <c r="N249" s="131"/>
      <c r="O249" s="131"/>
      <c r="P249" s="131"/>
      <c r="Q249" s="129"/>
      <c r="R249" s="129"/>
      <c r="S249" s="129"/>
      <c r="T249" s="132"/>
      <c r="U249" s="133"/>
      <c r="X249" s="135"/>
      <c r="Z249" s="144"/>
      <c r="AA249" s="137"/>
      <c r="AD249" s="121"/>
      <c r="AE249" s="121"/>
      <c r="AF249" s="121"/>
      <c r="AG249" s="121"/>
      <c r="AH249" s="121"/>
      <c r="AI249" s="121"/>
      <c r="AJ249" s="121"/>
      <c r="AK249" s="121"/>
      <c r="AL249" s="121"/>
      <c r="AO249" s="145"/>
      <c r="AP249" s="146"/>
    </row>
    <row r="250" customFormat="false" ht="12.75" hidden="false" customHeight="false" outlineLevel="0" collapsed="false">
      <c r="A250" s="127"/>
      <c r="B250" s="128"/>
      <c r="C250" s="116"/>
      <c r="D250" s="116"/>
      <c r="E250" s="129"/>
      <c r="F250" s="130"/>
      <c r="G250" s="131"/>
      <c r="H250" s="129"/>
      <c r="I250" s="131"/>
      <c r="J250" s="131"/>
      <c r="K250" s="142"/>
      <c r="L250" s="142"/>
      <c r="M250" s="142"/>
      <c r="N250" s="131"/>
      <c r="O250" s="131"/>
      <c r="P250" s="131"/>
      <c r="Q250" s="129"/>
      <c r="R250" s="129"/>
      <c r="S250" s="129"/>
      <c r="T250" s="132"/>
      <c r="U250" s="133"/>
      <c r="Z250" s="91"/>
    </row>
    <row r="251" customFormat="false" ht="12.75" hidden="false" customHeight="false" outlineLevel="0" collapsed="false">
      <c r="E251" s="142"/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Z251" s="91"/>
    </row>
    <row r="252" customFormat="false" ht="12.75" hidden="false" customHeight="false" outlineLevel="0" collapsed="false"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Z252" s="91"/>
    </row>
    <row r="253" customFormat="false" ht="12.75" hidden="false" customHeight="false" outlineLevel="0" collapsed="false"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Z253" s="91"/>
    </row>
    <row r="254" customFormat="false" ht="12.75" hidden="false" customHeight="false" outlineLevel="0" collapsed="false">
      <c r="E254" s="142"/>
      <c r="F254" s="142"/>
      <c r="G254" s="142"/>
      <c r="H254" s="142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Z254" s="91"/>
    </row>
    <row r="255" customFormat="false" ht="12.75" hidden="false" customHeight="false" outlineLevel="0" collapsed="false">
      <c r="E255" s="142"/>
      <c r="F255" s="142"/>
      <c r="G255" s="142"/>
      <c r="H255" s="142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Z255" s="91"/>
    </row>
    <row r="256" customFormat="false" ht="12.75" hidden="false" customHeight="false" outlineLevel="0" collapsed="false"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Z256" s="91"/>
    </row>
    <row r="257" customFormat="false" ht="12.75" hidden="false" customHeight="false" outlineLevel="0" collapsed="false"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Z257" s="91"/>
    </row>
    <row r="258" customFormat="false" ht="12.75" hidden="false" customHeight="false" outlineLevel="0" collapsed="false"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Z258" s="91"/>
    </row>
    <row r="259" customFormat="false" ht="12.75" hidden="false" customHeight="false" outlineLevel="0" collapsed="false">
      <c r="E259" s="142"/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Z259" s="91"/>
    </row>
    <row r="260" customFormat="false" ht="12.75" hidden="false" customHeight="false" outlineLevel="0" collapsed="false"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Z260" s="91"/>
    </row>
    <row r="261" customFormat="false" ht="12.75" hidden="false" customHeight="false" outlineLevel="0" collapsed="false"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Z261" s="91"/>
    </row>
    <row r="262" customFormat="false" ht="12.75" hidden="false" customHeight="false" outlineLevel="0" collapsed="false">
      <c r="E262" s="142"/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Z262" s="91"/>
    </row>
    <row r="263" customFormat="false" ht="12.75" hidden="false" customHeight="false" outlineLevel="0" collapsed="false"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Z263" s="91"/>
    </row>
    <row r="264" customFormat="false" ht="12.75" hidden="false" customHeight="false" outlineLevel="0" collapsed="false">
      <c r="E264" s="142"/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Z264" s="91"/>
    </row>
    <row r="265" customFormat="false" ht="12.75" hidden="false" customHeight="false" outlineLevel="0" collapsed="false"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Z265" s="91"/>
    </row>
    <row r="266" customFormat="false" ht="12.75" hidden="false" customHeight="false" outlineLevel="0" collapsed="false"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Z266" s="91"/>
    </row>
    <row r="267" customFormat="false" ht="12.75" hidden="false" customHeight="false" outlineLevel="0" collapsed="false">
      <c r="E267" s="142"/>
      <c r="F267" s="142"/>
      <c r="G267" s="142"/>
      <c r="H267" s="142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Z267" s="91"/>
    </row>
    <row r="268" customFormat="false" ht="12.75" hidden="false" customHeight="false" outlineLevel="0" collapsed="false">
      <c r="E268" s="142"/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Z268" s="91"/>
    </row>
    <row r="269" customFormat="false" ht="12.75" hidden="false" customHeight="false" outlineLevel="0" collapsed="false"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Z269" s="91"/>
    </row>
    <row r="270" customFormat="false" ht="12.75" hidden="false" customHeight="false" outlineLevel="0" collapsed="false">
      <c r="E270" s="142"/>
      <c r="F270" s="142"/>
      <c r="G270" s="142"/>
      <c r="H270" s="142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Z270" s="91"/>
    </row>
    <row r="271" customFormat="false" ht="12.75" hidden="false" customHeight="false" outlineLevel="0" collapsed="false">
      <c r="E271" s="142"/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Z271" s="91"/>
    </row>
    <row r="272" customFormat="false" ht="12.75" hidden="false" customHeight="false" outlineLevel="0" collapsed="false">
      <c r="E272" s="142"/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Z272" s="91"/>
    </row>
    <row r="273" customFormat="false" ht="12.75" hidden="false" customHeight="false" outlineLevel="0" collapsed="false">
      <c r="E273" s="142"/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Z273" s="91"/>
    </row>
    <row r="274" customFormat="false" ht="12.75" hidden="false" customHeight="false" outlineLevel="0" collapsed="false">
      <c r="E274" s="142"/>
      <c r="F274" s="142"/>
      <c r="G274" s="142"/>
      <c r="H274" s="142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Z274" s="91"/>
    </row>
    <row r="275" customFormat="false" ht="12.75" hidden="false" customHeight="false" outlineLevel="0" collapsed="false"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</row>
    <row r="276" customFormat="false" ht="12.75" hidden="false" customHeight="false" outlineLevel="0" collapsed="false"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</row>
    <row r="277" customFormat="false" ht="12.75" hidden="false" customHeight="false" outlineLevel="0" collapsed="false">
      <c r="E277" s="142"/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</row>
    <row r="278" customFormat="false" ht="12.75" hidden="false" customHeight="false" outlineLevel="0" collapsed="false">
      <c r="E278" s="142"/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</row>
    <row r="279" customFormat="false" ht="12.75" hidden="false" customHeight="false" outlineLevel="0" collapsed="false"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</row>
    <row r="280" customFormat="false" ht="12.75" hidden="false" customHeight="false" outlineLevel="0" collapsed="false">
      <c r="E280" s="142"/>
      <c r="F280" s="142"/>
      <c r="G280" s="142"/>
      <c r="H280" s="142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</row>
    <row r="281" customFormat="false" ht="12.75" hidden="false" customHeight="false" outlineLevel="0" collapsed="false"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</row>
    <row r="282" customFormat="false" ht="12.75" hidden="false" customHeight="false" outlineLevel="0" collapsed="false">
      <c r="E282" s="142"/>
      <c r="F282" s="142"/>
      <c r="G282" s="142"/>
      <c r="H282" s="142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</row>
    <row r="283" customFormat="false" ht="12.75" hidden="false" customHeight="false" outlineLevel="0" collapsed="false">
      <c r="E283" s="142"/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</row>
    <row r="284" customFormat="false" ht="12.75" hidden="false" customHeight="false" outlineLevel="0" collapsed="false">
      <c r="E284" s="142"/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</row>
    <row r="285" customFormat="false" ht="12.75" hidden="false" customHeight="false" outlineLevel="0" collapsed="false"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</row>
    <row r="286" customFormat="false" ht="12.75" hidden="false" customHeight="false" outlineLevel="0" collapsed="false">
      <c r="E286" s="142"/>
      <c r="F286" s="142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</row>
    <row r="287" customFormat="false" ht="12.75" hidden="false" customHeight="false" outlineLevel="0" collapsed="false">
      <c r="E287" s="142"/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</row>
    <row r="288" customFormat="false" ht="12.75" hidden="false" customHeight="false" outlineLevel="0" collapsed="false">
      <c r="E288" s="142"/>
      <c r="F288" s="142"/>
      <c r="G288" s="142"/>
      <c r="H288" s="142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</row>
    <row r="289" customFormat="false" ht="12.75" hidden="false" customHeight="false" outlineLevel="0" collapsed="false">
      <c r="E289" s="142"/>
      <c r="F289" s="142"/>
      <c r="G289" s="142"/>
      <c r="H289" s="142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</row>
    <row r="290" customFormat="false" ht="12.75" hidden="false" customHeight="false" outlineLevel="0" collapsed="false"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</row>
    <row r="291" customFormat="false" ht="12.75" hidden="false" customHeight="false" outlineLevel="0" collapsed="false">
      <c r="E291" s="142"/>
      <c r="F291" s="142"/>
      <c r="G291" s="142"/>
      <c r="H291" s="142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</row>
    <row r="292" customFormat="false" ht="12.75" hidden="false" customHeight="false" outlineLevel="0" collapsed="false"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</row>
    <row r="293" customFormat="false" ht="12.75" hidden="false" customHeight="false" outlineLevel="0" collapsed="false"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</row>
    <row r="294" customFormat="false" ht="12.75" hidden="false" customHeight="false" outlineLevel="0" collapsed="false"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</row>
    <row r="295" customFormat="false" ht="12.75" hidden="false" customHeight="false" outlineLevel="0" collapsed="false"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</row>
    <row r="296" customFormat="false" ht="12.75" hidden="false" customHeight="false" outlineLevel="0" collapsed="false"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</row>
    <row r="297" customFormat="false" ht="12.75" hidden="false" customHeight="false" outlineLevel="0" collapsed="false"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</row>
    <row r="298" customFormat="false" ht="12.75" hidden="false" customHeight="false" outlineLevel="0" collapsed="false"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</row>
    <row r="299" customFormat="false" ht="12.75" hidden="false" customHeight="false" outlineLevel="0" collapsed="false"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</row>
    <row r="300" customFormat="false" ht="12.75" hidden="false" customHeight="false" outlineLevel="0" collapsed="false"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</row>
    <row r="301" customFormat="false" ht="12.75" hidden="false" customHeight="false" outlineLevel="0" collapsed="false"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</row>
    <row r="302" customFormat="false" ht="12.75" hidden="false" customHeight="false" outlineLevel="0" collapsed="false"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</row>
    <row r="303" customFormat="false" ht="12.75" hidden="false" customHeight="false" outlineLevel="0" collapsed="false"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</row>
    <row r="304" customFormat="false" ht="12.75" hidden="false" customHeight="false" outlineLevel="0" collapsed="false"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</row>
    <row r="305" customFormat="false" ht="12.75" hidden="false" customHeight="false" outlineLevel="0" collapsed="false"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</row>
    <row r="306" customFormat="false" ht="12.75" hidden="false" customHeight="false" outlineLevel="0" collapsed="false"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</row>
    <row r="307" customFormat="false" ht="12.75" hidden="false" customHeight="false" outlineLevel="0" collapsed="false"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</row>
    <row r="308" customFormat="false" ht="12.75" hidden="false" customHeight="false" outlineLevel="0" collapsed="false"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</row>
    <row r="309" customFormat="false" ht="12.75" hidden="false" customHeight="false" outlineLevel="0" collapsed="false"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</row>
    <row r="310" customFormat="false" ht="12.75" hidden="false" customHeight="false" outlineLevel="0" collapsed="false"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</row>
    <row r="311" customFormat="false" ht="12.75" hidden="false" customHeight="false" outlineLevel="0" collapsed="false"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</row>
    <row r="312" customFormat="false" ht="12.75" hidden="false" customHeight="false" outlineLevel="0" collapsed="false"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</row>
    <row r="313" customFormat="false" ht="12.75" hidden="false" customHeight="false" outlineLevel="0" collapsed="false"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</row>
    <row r="314" customFormat="false" ht="12.75" hidden="false" customHeight="false" outlineLevel="0" collapsed="false"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</row>
    <row r="315" customFormat="false" ht="12.75" hidden="false" customHeight="false" outlineLevel="0" collapsed="false"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</row>
    <row r="316" customFormat="false" ht="12.75" hidden="false" customHeight="false" outlineLevel="0" collapsed="false"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</row>
    <row r="317" customFormat="false" ht="12.75" hidden="false" customHeight="false" outlineLevel="0" collapsed="false"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</row>
    <row r="318" customFormat="false" ht="12.75" hidden="false" customHeight="false" outlineLevel="0" collapsed="false"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</row>
    <row r="319" customFormat="false" ht="12.75" hidden="false" customHeight="false" outlineLevel="0" collapsed="false"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</row>
    <row r="320" customFormat="false" ht="12.75" hidden="false" customHeight="false" outlineLevel="0" collapsed="false"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</row>
    <row r="321" customFormat="false" ht="12.75" hidden="false" customHeight="false" outlineLevel="0" collapsed="false"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</row>
    <row r="322" customFormat="false" ht="12.75" hidden="false" customHeight="false" outlineLevel="0" collapsed="false"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</row>
    <row r="323" customFormat="false" ht="12.75" hidden="false" customHeight="false" outlineLevel="0" collapsed="false"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</row>
    <row r="324" customFormat="false" ht="12.75" hidden="false" customHeight="false" outlineLevel="0" collapsed="false"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</row>
    <row r="325" customFormat="false" ht="12.75" hidden="false" customHeight="false" outlineLevel="0" collapsed="false"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</row>
    <row r="326" customFormat="false" ht="12.75" hidden="false" customHeight="false" outlineLevel="0" collapsed="false"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</row>
    <row r="327" customFormat="false" ht="12.75" hidden="false" customHeight="false" outlineLevel="0" collapsed="false"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</row>
    <row r="328" customFormat="false" ht="12.75" hidden="false" customHeight="false" outlineLevel="0" collapsed="false"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</row>
    <row r="329" customFormat="false" ht="12.75" hidden="false" customHeight="false" outlineLevel="0" collapsed="false"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</row>
    <row r="330" customFormat="false" ht="12.75" hidden="false" customHeight="false" outlineLevel="0" collapsed="false"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</row>
    <row r="331" customFormat="false" ht="12.75" hidden="false" customHeight="false" outlineLevel="0" collapsed="false"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</row>
    <row r="332" customFormat="false" ht="12.75" hidden="false" customHeight="false" outlineLevel="0" collapsed="false"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</row>
    <row r="333" customFormat="false" ht="12.75" hidden="false" customHeight="false" outlineLevel="0" collapsed="false"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</row>
    <row r="334" customFormat="false" ht="12.75" hidden="false" customHeight="false" outlineLevel="0" collapsed="false"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</row>
    <row r="335" customFormat="false" ht="12.75" hidden="false" customHeight="false" outlineLevel="0" collapsed="false"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</row>
    <row r="336" customFormat="false" ht="12.75" hidden="false" customHeight="false" outlineLevel="0" collapsed="false"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</row>
    <row r="337" customFormat="false" ht="12.75" hidden="false" customHeight="false" outlineLevel="0" collapsed="false"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</row>
    <row r="338" customFormat="false" ht="12.75" hidden="false" customHeight="false" outlineLevel="0" collapsed="false"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</row>
    <row r="339" customFormat="false" ht="12.75" hidden="false" customHeight="false" outlineLevel="0" collapsed="false"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</row>
    <row r="340" customFormat="false" ht="12.75" hidden="false" customHeight="false" outlineLevel="0" collapsed="false"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</row>
    <row r="341" customFormat="false" ht="12.75" hidden="false" customHeight="false" outlineLevel="0" collapsed="false"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</row>
    <row r="342" customFormat="false" ht="12.75" hidden="false" customHeight="false" outlineLevel="0" collapsed="false"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</row>
    <row r="343" customFormat="false" ht="12.75" hidden="false" customHeight="false" outlineLevel="0" collapsed="false"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</row>
    <row r="344" customFormat="false" ht="12.75" hidden="false" customHeight="false" outlineLevel="0" collapsed="false"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</row>
    <row r="345" customFormat="false" ht="12.75" hidden="false" customHeight="false" outlineLevel="0" collapsed="false"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</row>
    <row r="346" customFormat="false" ht="12.75" hidden="false" customHeight="false" outlineLevel="0" collapsed="false"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</row>
    <row r="347" customFormat="false" ht="12.75" hidden="false" customHeight="false" outlineLevel="0" collapsed="false"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</row>
    <row r="348" customFormat="false" ht="12.75" hidden="false" customHeight="false" outlineLevel="0" collapsed="false"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</row>
    <row r="349" customFormat="false" ht="12.75" hidden="false" customHeight="false" outlineLevel="0" collapsed="false"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</row>
    <row r="350" customFormat="false" ht="12.75" hidden="false" customHeight="false" outlineLevel="0" collapsed="false"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</row>
    <row r="351" customFormat="false" ht="12.75" hidden="false" customHeight="false" outlineLevel="0" collapsed="false"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</row>
    <row r="352" customFormat="false" ht="12.75" hidden="false" customHeight="false" outlineLevel="0" collapsed="false"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</row>
    <row r="353" customFormat="false" ht="12.75" hidden="false" customHeight="false" outlineLevel="0" collapsed="false"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</row>
    <row r="354" customFormat="false" ht="12.75" hidden="false" customHeight="false" outlineLevel="0" collapsed="false">
      <c r="E354" s="142"/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</row>
    <row r="355" customFormat="false" ht="12.75" hidden="false" customHeight="false" outlineLevel="0" collapsed="false"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</row>
    <row r="356" customFormat="false" ht="12.75" hidden="false" customHeight="false" outlineLevel="0" collapsed="false"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1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AN9" activePane="bottomRight" state="frozen"/>
      <selection pane="topLeft" activeCell="A1" activeCellId="0" sqref="A1"/>
      <selection pane="topRight" activeCell="AN1" activeCellId="0" sqref="AN1"/>
      <selection pane="bottomLeft" activeCell="A9" activeCellId="0" sqref="A9"/>
      <selection pane="bottomRight" activeCell="AS10" activeCellId="0" sqref="AS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4.14"/>
    <col collapsed="false" customWidth="true" hidden="false" outlineLevel="0" max="2" min="2" style="60" width="10.71"/>
    <col collapsed="false" customWidth="true" hidden="false" outlineLevel="0" max="3" min="3" style="60" width="13.28"/>
    <col collapsed="false" customWidth="true" hidden="false" outlineLevel="0" max="4" min="4" style="60" width="11.7"/>
    <col collapsed="false" customWidth="true" hidden="false" outlineLevel="0" max="5" min="5" style="60" width="8.7"/>
    <col collapsed="false" customWidth="true" hidden="false" outlineLevel="0" max="6" min="6" style="60" width="9.41"/>
    <col collapsed="false" customWidth="true" hidden="false" outlineLevel="0" max="7" min="7" style="60" width="9.99"/>
    <col collapsed="false" customWidth="true" hidden="false" outlineLevel="0" max="8" min="8" style="60" width="14.56"/>
    <col collapsed="false" customWidth="true" hidden="false" outlineLevel="0" max="10" min="9" style="60" width="10.41"/>
    <col collapsed="false" customWidth="true" hidden="false" outlineLevel="0" max="11" min="11" style="60" width="14.14"/>
    <col collapsed="false" customWidth="true" hidden="false" outlineLevel="0" max="13" min="12" style="60" width="9.7"/>
    <col collapsed="false" customWidth="true" hidden="false" outlineLevel="0" max="14" min="14" style="60" width="13.85"/>
    <col collapsed="false" customWidth="true" hidden="false" outlineLevel="0" max="15" min="15" style="60" width="8.14"/>
    <col collapsed="false" customWidth="true" hidden="false" outlineLevel="0" max="16" min="16" style="60" width="5.56"/>
    <col collapsed="false" customWidth="true" hidden="false" outlineLevel="0" max="17" min="17" style="60" width="12.56"/>
    <col collapsed="false" customWidth="true" hidden="false" outlineLevel="0" max="18" min="18" style="60" width="8.28"/>
    <col collapsed="false" customWidth="true" hidden="false" outlineLevel="0" max="19" min="19" style="60" width="5.41"/>
    <col collapsed="false" customWidth="true" hidden="false" outlineLevel="0" max="20" min="20" style="60" width="8.14"/>
    <col collapsed="false" customWidth="true" hidden="false" outlineLevel="0" max="21" min="21" style="60" width="12.14"/>
    <col collapsed="false" customWidth="true" hidden="false" outlineLevel="0" max="22" min="22" style="60" width="6.28"/>
    <col collapsed="false" customWidth="true" hidden="false" outlineLevel="0" max="23" min="23" style="61" width="8.28"/>
    <col collapsed="false" customWidth="true" hidden="false" outlineLevel="0" max="25" min="24" style="61" width="8.56"/>
    <col collapsed="false" customWidth="true" hidden="false" outlineLevel="0" max="26" min="26" style="61" width="11.7"/>
    <col collapsed="false" customWidth="true" hidden="false" outlineLevel="0" max="27" min="27" style="61" width="9.56"/>
    <col collapsed="false" customWidth="true" hidden="false" outlineLevel="0" max="28" min="28" style="61" width="7.56"/>
    <col collapsed="false" customWidth="true" hidden="false" outlineLevel="0" max="29" min="29" style="61" width="6.41"/>
    <col collapsed="false" customWidth="true" hidden="false" outlineLevel="0" max="30" min="30" style="60" width="14.56"/>
    <col collapsed="false" customWidth="true" hidden="false" outlineLevel="0" max="31" min="31" style="60" width="14.99"/>
    <col collapsed="false" customWidth="true" hidden="false" outlineLevel="0" max="32" min="32" style="60" width="15.13"/>
    <col collapsed="false" customWidth="true" hidden="false" outlineLevel="0" max="33" min="33" style="60" width="17.85"/>
    <col collapsed="false" customWidth="true" hidden="false" outlineLevel="0" max="35" min="34" style="60" width="15.85"/>
    <col collapsed="false" customWidth="true" hidden="false" outlineLevel="0" max="36" min="36" style="60" width="15.28"/>
    <col collapsed="false" customWidth="true" hidden="false" outlineLevel="0" max="38" min="37" style="60" width="13.41"/>
    <col collapsed="false" customWidth="true" hidden="false" outlineLevel="0" max="39" min="39" style="62" width="6.7"/>
    <col collapsed="false" customWidth="false" hidden="false" outlineLevel="0" max="40" min="40" style="60" width="9.14"/>
    <col collapsed="false" customWidth="true" hidden="false" outlineLevel="0" max="41" min="41" style="60" width="13.56"/>
    <col collapsed="false" customWidth="true" hidden="false" outlineLevel="0" max="42" min="42" style="60" width="15.28"/>
    <col collapsed="false" customWidth="true" hidden="false" outlineLevel="0" max="44" min="43" style="60" width="20.99"/>
    <col collapsed="false" customWidth="true" hidden="false" outlineLevel="0" max="45" min="45" style="138" width="20.99"/>
    <col collapsed="false" customWidth="true" hidden="false" outlineLevel="0" max="46" min="46" style="60" width="20.99"/>
    <col collapsed="false" customWidth="false" hidden="false" outlineLevel="0" max="257" min="47" style="60" width="9.14"/>
  </cols>
  <sheetData>
    <row r="1" customFormat="false" ht="13.5" hidden="false" customHeight="false" outlineLevel="0" collapsed="false">
      <c r="A1" s="63"/>
      <c r="B1" s="64"/>
      <c r="E1" s="0"/>
      <c r="H1" s="65" t="s">
        <v>31</v>
      </c>
      <c r="I1" s="65" t="s">
        <v>32</v>
      </c>
      <c r="J1" s="66" t="s">
        <v>33</v>
      </c>
      <c r="K1" s="67" t="s">
        <v>34</v>
      </c>
      <c r="L1" s="68"/>
      <c r="M1" s="69"/>
      <c r="N1" s="147" t="e">
        <f aca="false">AP8</f>
        <v>#NAME?</v>
      </c>
      <c r="O1" s="69"/>
      <c r="P1" s="69"/>
      <c r="Q1" s="69"/>
      <c r="R1" s="69"/>
      <c r="S1" s="69"/>
      <c r="T1" s="69"/>
      <c r="U1" s="69"/>
      <c r="AD1" s="70"/>
      <c r="AE1" s="68"/>
      <c r="AF1" s="71"/>
      <c r="AG1" s="68"/>
      <c r="AH1" s="70"/>
      <c r="AI1" s="68"/>
      <c r="AJ1" s="72"/>
      <c r="AK1" s="68"/>
    </row>
    <row r="2" customFormat="false" ht="12.75" hidden="false" customHeight="false" outlineLevel="0" collapsed="false">
      <c r="A2" s="65" t="s">
        <v>35</v>
      </c>
      <c r="B2" s="73" t="s">
        <v>36</v>
      </c>
      <c r="C2" s="73" t="s">
        <v>37</v>
      </c>
      <c r="D2" s="74" t="s">
        <v>38</v>
      </c>
      <c r="E2" s="73" t="s">
        <v>39</v>
      </c>
      <c r="F2" s="73" t="s">
        <v>40</v>
      </c>
      <c r="G2" s="73" t="s">
        <v>41</v>
      </c>
      <c r="H2" s="75" t="s">
        <v>42</v>
      </c>
      <c r="I2" s="76" t="s">
        <v>43</v>
      </c>
      <c r="J2" s="77" t="s">
        <v>43</v>
      </c>
      <c r="K2" s="78" t="s">
        <v>44</v>
      </c>
      <c r="L2" s="68" t="e">
        <f aca="false">EURO(4.34,5.51,0.0583,0.0583,0.1854,5000,1,0)</f>
        <v>#NAME?</v>
      </c>
      <c r="AO2" s="80"/>
      <c r="AP2" s="81"/>
    </row>
    <row r="3" customFormat="false" ht="13.5" hidden="false" customHeight="false" outlineLevel="0" collapsed="false">
      <c r="A3" s="82" t="n">
        <f aca="false">Put!mthbeg</f>
        <v>40179</v>
      </c>
      <c r="B3" s="83" t="n">
        <f aca="false">Put!mthend</f>
        <v>45657</v>
      </c>
      <c r="C3" s="84" t="n">
        <f aca="false">[1]!today</f>
        <v>37005</v>
      </c>
      <c r="D3" s="85" t="n">
        <f aca="false">C3</f>
        <v>37005</v>
      </c>
      <c r="E3" s="86" t="str">
        <f aca="false">CONCATENATE(INT(AB8/12)," Y - ",AB8-INT(AB8/12)*12," M")</f>
        <v>15 Y - 0 M</v>
      </c>
      <c r="F3" s="87" t="n">
        <v>2</v>
      </c>
      <c r="G3" s="87" t="n">
        <v>1</v>
      </c>
      <c r="H3" s="88" t="n">
        <v>1</v>
      </c>
      <c r="I3" s="88" t="s">
        <v>45</v>
      </c>
      <c r="J3" s="89" t="str">
        <f aca="false">I3</f>
        <v>Henry Hub</v>
      </c>
      <c r="K3" s="90" t="n">
        <v>0</v>
      </c>
      <c r="L3" s="91"/>
      <c r="M3" s="91"/>
      <c r="N3" s="91"/>
      <c r="O3" s="91"/>
      <c r="P3" s="92"/>
      <c r="Q3" s="91"/>
      <c r="R3" s="91"/>
      <c r="S3" s="92"/>
      <c r="T3" s="91"/>
      <c r="U3" s="91"/>
      <c r="AD3" s="68"/>
      <c r="AE3" s="68"/>
      <c r="AF3" s="68"/>
      <c r="AG3" s="68"/>
      <c r="AO3" s="93"/>
      <c r="AP3" s="94"/>
    </row>
    <row r="4" customFormat="false" ht="12.75" hidden="false" customHeight="false" outlineLevel="0" collapsed="false">
      <c r="A4" s="95"/>
      <c r="B4" s="95" t="s">
        <v>46</v>
      </c>
      <c r="C4" s="95" t="s">
        <v>46</v>
      </c>
      <c r="D4" s="95" t="s">
        <v>47</v>
      </c>
      <c r="E4" s="96" t="s">
        <v>48</v>
      </c>
      <c r="F4" s="95"/>
      <c r="G4" s="95"/>
      <c r="H4" s="96" t="s">
        <v>49</v>
      </c>
      <c r="I4" s="95" t="str">
        <f aca="false">I3</f>
        <v>Henry Hub</v>
      </c>
      <c r="J4" s="95" t="str">
        <f aca="false">I4</f>
        <v>Henry Hub</v>
      </c>
      <c r="K4" s="96"/>
      <c r="L4" s="97" t="str">
        <f aca="false">J3</f>
        <v>Henry Hub</v>
      </c>
      <c r="M4" s="97" t="str">
        <f aca="false">J3</f>
        <v>Henry Hub</v>
      </c>
      <c r="N4" s="98"/>
      <c r="O4" s="98"/>
      <c r="P4" s="92"/>
      <c r="Q4" s="96" t="s">
        <v>50</v>
      </c>
      <c r="R4" s="98" t="s">
        <v>51</v>
      </c>
      <c r="S4" s="92"/>
      <c r="T4" s="97"/>
      <c r="U4" s="98"/>
      <c r="W4" s="99"/>
      <c r="X4" s="99"/>
      <c r="Y4" s="99" t="s">
        <v>52</v>
      </c>
      <c r="Z4" s="96" t="s">
        <v>53</v>
      </c>
      <c r="AA4" s="99"/>
      <c r="AB4" s="99"/>
      <c r="AC4" s="99"/>
      <c r="AD4" s="100"/>
      <c r="AE4" s="100"/>
      <c r="AF4" s="100"/>
      <c r="AG4" s="100" t="str">
        <f aca="false">H4</f>
        <v>IF-HEHUB-D</v>
      </c>
      <c r="AH4" s="100" t="str">
        <f aca="false">I4</f>
        <v>Henry Hub</v>
      </c>
      <c r="AI4" s="100" t="str">
        <f aca="false">J4</f>
        <v>Henry Hub</v>
      </c>
      <c r="AJ4" s="100" t="n">
        <f aca="false">K4</f>
        <v>0</v>
      </c>
      <c r="AK4" s="100" t="str">
        <f aca="false">L4</f>
        <v>Henry Hub</v>
      </c>
      <c r="AL4" s="100" t="str">
        <f aca="false">M4</f>
        <v>Henry Hub</v>
      </c>
      <c r="AM4" s="92"/>
      <c r="AO4" s="101"/>
      <c r="AP4" s="102" t="s">
        <v>16</v>
      </c>
      <c r="AS4" s="60"/>
    </row>
    <row r="5" customFormat="false" ht="12.75" hidden="false" customHeight="false" outlineLevel="0" collapsed="false">
      <c r="A5" s="95" t="s">
        <v>54</v>
      </c>
      <c r="B5" s="95" t="str">
        <f aca="false">IF($H$3=1,"Daily","Monthly")</f>
        <v>Daily</v>
      </c>
      <c r="C5" s="95" t="s">
        <v>55</v>
      </c>
      <c r="D5" s="95" t="s">
        <v>55</v>
      </c>
      <c r="E5" s="95" t="s">
        <v>56</v>
      </c>
      <c r="F5" s="95" t="s">
        <v>56</v>
      </c>
      <c r="G5" s="95" t="s">
        <v>57</v>
      </c>
      <c r="H5" s="95" t="s">
        <v>32</v>
      </c>
      <c r="I5" s="95" t="s">
        <v>32</v>
      </c>
      <c r="J5" s="95" t="str">
        <f aca="false">I5</f>
        <v>Basis</v>
      </c>
      <c r="K5" s="95" t="s">
        <v>33</v>
      </c>
      <c r="L5" s="95" t="s">
        <v>33</v>
      </c>
      <c r="M5" s="95" t="s">
        <v>33</v>
      </c>
      <c r="N5" s="103" t="s">
        <v>16</v>
      </c>
      <c r="O5" s="103" t="s">
        <v>58</v>
      </c>
      <c r="P5" s="92"/>
      <c r="Q5" s="95" t="s">
        <v>51</v>
      </c>
      <c r="R5" s="103" t="s">
        <v>59</v>
      </c>
      <c r="S5" s="92"/>
      <c r="T5" s="95" t="s">
        <v>7</v>
      </c>
      <c r="U5" s="103" t="s">
        <v>60</v>
      </c>
      <c r="W5" s="104" t="s">
        <v>61</v>
      </c>
      <c r="X5" s="104" t="s">
        <v>62</v>
      </c>
      <c r="Y5" s="104" t="s">
        <v>62</v>
      </c>
      <c r="Z5" s="105" t="s">
        <v>63</v>
      </c>
      <c r="AA5" s="104" t="s">
        <v>62</v>
      </c>
      <c r="AB5" s="104" t="s">
        <v>64</v>
      </c>
      <c r="AC5" s="104" t="s">
        <v>64</v>
      </c>
      <c r="AD5" s="106" t="str">
        <f aca="false">E5</f>
        <v>Nymex</v>
      </c>
      <c r="AE5" s="106" t="str">
        <f aca="false">F5</f>
        <v>Nymex</v>
      </c>
      <c r="AF5" s="106" t="str">
        <f aca="false">G5</f>
        <v>Nymex </v>
      </c>
      <c r="AG5" s="106" t="str">
        <f aca="false">H5</f>
        <v>Basis</v>
      </c>
      <c r="AH5" s="106" t="str">
        <f aca="false">I5</f>
        <v>Basis</v>
      </c>
      <c r="AI5" s="106" t="str">
        <f aca="false">J5</f>
        <v>Basis</v>
      </c>
      <c r="AJ5" s="106" t="str">
        <f aca="false">K5</f>
        <v>Index</v>
      </c>
      <c r="AK5" s="106" t="str">
        <f aca="false">L5</f>
        <v>Index</v>
      </c>
      <c r="AL5" s="106" t="str">
        <f aca="false">M5</f>
        <v>Index</v>
      </c>
      <c r="AM5" s="92"/>
      <c r="AO5" s="101" t="s">
        <v>65</v>
      </c>
      <c r="AP5" s="102" t="s">
        <v>65</v>
      </c>
      <c r="AS5" s="60"/>
    </row>
    <row r="6" customFormat="false" ht="12.75" hidden="false" customHeight="false" outlineLevel="0" collapsed="false">
      <c r="A6" s="107" t="s">
        <v>66</v>
      </c>
      <c r="B6" s="107" t="s">
        <v>67</v>
      </c>
      <c r="C6" s="107" t="s">
        <v>67</v>
      </c>
      <c r="D6" s="107" t="s">
        <v>67</v>
      </c>
      <c r="E6" s="107" t="s">
        <v>68</v>
      </c>
      <c r="F6" s="107" t="s">
        <v>69</v>
      </c>
      <c r="G6" s="107" t="str">
        <f aca="false">IF(Summary!C7=0,"Bid","Offer")</f>
        <v>Bid</v>
      </c>
      <c r="H6" s="107" t="s">
        <v>68</v>
      </c>
      <c r="I6" s="107" t="s">
        <v>69</v>
      </c>
      <c r="J6" s="107" t="str">
        <f aca="false">G6</f>
        <v>Bid</v>
      </c>
      <c r="K6" s="107" t="s">
        <v>68</v>
      </c>
      <c r="L6" s="107" t="s">
        <v>69</v>
      </c>
      <c r="M6" s="107" t="str">
        <f aca="false">G6</f>
        <v>Bid</v>
      </c>
      <c r="N6" s="108" t="str">
        <f aca="false">G6</f>
        <v>Bid</v>
      </c>
      <c r="O6" s="108" t="s">
        <v>70</v>
      </c>
      <c r="P6" s="92"/>
      <c r="Q6" s="107" t="s">
        <v>59</v>
      </c>
      <c r="R6" s="108" t="str">
        <f aca="false">IF(Summary!C7=0,"BID","OFFER")</f>
        <v>BID</v>
      </c>
      <c r="S6" s="92"/>
      <c r="T6" s="107" t="s">
        <v>71</v>
      </c>
      <c r="U6" s="108" t="s">
        <v>72</v>
      </c>
      <c r="W6" s="109" t="s">
        <v>73</v>
      </c>
      <c r="X6" s="109" t="s">
        <v>74</v>
      </c>
      <c r="Y6" s="109" t="s">
        <v>73</v>
      </c>
      <c r="Z6" s="110" t="s">
        <v>75</v>
      </c>
      <c r="AA6" s="109" t="s">
        <v>76</v>
      </c>
      <c r="AB6" s="109" t="s">
        <v>77</v>
      </c>
      <c r="AC6" s="109" t="s">
        <v>73</v>
      </c>
      <c r="AD6" s="111" t="str">
        <f aca="false">E6</f>
        <v>Mid</v>
      </c>
      <c r="AE6" s="111" t="str">
        <f aca="false">F6</f>
        <v>Contract</v>
      </c>
      <c r="AF6" s="111" t="str">
        <f aca="false">G6</f>
        <v>Bid</v>
      </c>
      <c r="AG6" s="111" t="str">
        <f aca="false">H6</f>
        <v>Mid</v>
      </c>
      <c r="AH6" s="111" t="str">
        <f aca="false">I6</f>
        <v>Contract</v>
      </c>
      <c r="AI6" s="111" t="str">
        <f aca="false">J6</f>
        <v>Bid</v>
      </c>
      <c r="AJ6" s="111" t="str">
        <f aca="false">K6</f>
        <v>Mid</v>
      </c>
      <c r="AK6" s="111" t="str">
        <f aca="false">L6</f>
        <v>Contract</v>
      </c>
      <c r="AL6" s="111" t="str">
        <f aca="false">M6</f>
        <v>Bid</v>
      </c>
      <c r="AM6" s="92"/>
      <c r="AO6" s="101" t="s">
        <v>9</v>
      </c>
      <c r="AP6" s="102" t="s">
        <v>10</v>
      </c>
      <c r="AS6" s="60"/>
    </row>
    <row r="7" customFormat="false" ht="13.5" hidden="false" customHeight="false" outlineLevel="0" collapsed="false">
      <c r="A7" s="112"/>
      <c r="B7" s="112"/>
      <c r="E7" s="69"/>
      <c r="N7" s="113" t="n">
        <f aca="false">Summary!C23</f>
        <v>-0.29</v>
      </c>
      <c r="P7" s="62"/>
      <c r="S7" s="62"/>
      <c r="Y7" s="114"/>
      <c r="AO7" s="93"/>
      <c r="AP7" s="94"/>
      <c r="AQ7" s="13" t="s">
        <v>79</v>
      </c>
      <c r="AR7" s="13" t="s">
        <v>80</v>
      </c>
      <c r="AS7" s="123" t="s">
        <v>81</v>
      </c>
      <c r="AT7" s="13" t="s">
        <v>82</v>
      </c>
    </row>
    <row r="8" customFormat="false" ht="13.5" hidden="false" customHeight="false" outlineLevel="0" collapsed="false">
      <c r="A8" s="115" t="s">
        <v>78</v>
      </c>
      <c r="B8" s="116" t="n">
        <f aca="false">C8/AC8</f>
        <v>205479</v>
      </c>
      <c r="C8" s="116" t="n">
        <f aca="false">SUM(C10:C300)</f>
        <v>1125819441</v>
      </c>
      <c r="D8" s="116" t="n">
        <f aca="false">SUM(D10:D300)</f>
        <v>415722355.751075</v>
      </c>
      <c r="E8" s="117" t="n">
        <f aca="false">SUMPRODUCT($D$10:$D$321,E10:E321)/SUM($D$10:$D$321)</f>
        <v>5.08880145180776</v>
      </c>
      <c r="F8" s="117" t="n">
        <f aca="false">SUMPRODUCT($D$10:$D$321,F10:F321)/SUM($D$10:$D$321)</f>
        <v>0</v>
      </c>
      <c r="G8" s="117" t="n">
        <f aca="false">SUMPRODUCT($D$10:$D$321,G10:G321)/SUM($D$10:$D$321)</f>
        <v>5.08880145180776</v>
      </c>
      <c r="H8" s="117" t="n">
        <f aca="false">SUMPRODUCT($D$10:$D$321,H10:H321)/SUM($D$10:$D$321)</f>
        <v>0</v>
      </c>
      <c r="I8" s="117" t="n">
        <f aca="false">SUMPRODUCT($D$10:$D$321,I10:I321)/SUM($D$10:$D$321)</f>
        <v>0</v>
      </c>
      <c r="J8" s="117" t="n">
        <f aca="false">SUMPRODUCT($D$10:$D$321,J10:J321)/SUM($D$10:$D$321)</f>
        <v>0</v>
      </c>
      <c r="K8" s="117" t="n">
        <f aca="false">SUMPRODUCT($D$10:$D$321,K10:K321)/SUM($D$10:$D$321)</f>
        <v>0</v>
      </c>
      <c r="L8" s="117" t="n">
        <f aca="false">SUMPRODUCT($D$10:$D$321,L10:L321)/SUM($D$10:$D$321)</f>
        <v>0</v>
      </c>
      <c r="M8" s="117" t="n">
        <f aca="false">SUMPRODUCT($D$10:$D$321,M10:M321)/SUM($D$10:$D$321)</f>
        <v>0</v>
      </c>
      <c r="N8" s="117" t="n">
        <f aca="false">SUMPRODUCT($D$10:$D$321,N10:N321)/SUM($D$10:$D$321)</f>
        <v>4.79880145180776</v>
      </c>
      <c r="O8" s="117" t="n">
        <f aca="false">SUMPRODUCT($D$10:$D$321,O10:O321)/SUM($D$10:$D$321)</f>
        <v>9.81903240236408</v>
      </c>
      <c r="P8" s="117"/>
      <c r="Q8" s="118" t="n">
        <f aca="false">SUMPRODUCT($D$10:$D$321,Q10:Q321)/SUM($D$10:$D$321)</f>
        <v>0.17282373311567</v>
      </c>
      <c r="R8" s="118" t="n">
        <f aca="false">SUMPRODUCT($D$10:$D$321,R10:R321)/SUM($D$10:$D$321)</f>
        <v>0.17282373311567</v>
      </c>
      <c r="S8" s="117"/>
      <c r="T8" s="117"/>
      <c r="U8" s="117"/>
      <c r="Z8" s="119"/>
      <c r="AB8" s="120" t="n">
        <f aca="false">SUM(AB10:AB300)</f>
        <v>180</v>
      </c>
      <c r="AC8" s="120" t="n">
        <f aca="false">SUM(AC10:AC300)</f>
        <v>5479</v>
      </c>
      <c r="AD8" s="121" t="n">
        <f aca="false">SUM(AD10:AD300)</f>
        <v>2115528527.49501</v>
      </c>
      <c r="AE8" s="121" t="n">
        <f aca="false">SUM(AE10:AE300)</f>
        <v>0</v>
      </c>
      <c r="AF8" s="121" t="n">
        <f aca="false">SUM(AF10:AF300)</f>
        <v>2115528527.49501</v>
      </c>
      <c r="AG8" s="121" t="n">
        <f aca="false">SUM(AG10:AG300)</f>
        <v>0</v>
      </c>
      <c r="AH8" s="121" t="n">
        <f aca="false">SUM(AH10:AH300)</f>
        <v>0</v>
      </c>
      <c r="AI8" s="121" t="n">
        <f aca="false">SUM(AI10:AI300)</f>
        <v>0</v>
      </c>
      <c r="AJ8" s="121" t="n">
        <f aca="false">SUM(AJ10:AJ300)</f>
        <v>0</v>
      </c>
      <c r="AK8" s="121" t="n">
        <f aca="false">SUM(AK10:AK300)</f>
        <v>0</v>
      </c>
      <c r="AL8" s="121" t="n">
        <f aca="false">SUM(AL10:AL300)</f>
        <v>0</v>
      </c>
      <c r="AM8" s="121"/>
      <c r="AO8" s="122" t="e">
        <f aca="false">AP8/C8</f>
        <v>#NAME?</v>
      </c>
      <c r="AP8" s="123" t="e">
        <f aca="false">SUM(AP10:AP366)</f>
        <v>#NAME?</v>
      </c>
      <c r="AQ8" s="148" t="e">
        <f aca="false">SUMPRODUCT($C$10:$C$321,AQ10:AQ321)/SUM($C$10:$C$321)</f>
        <v>#NAME?</v>
      </c>
      <c r="AR8" s="148" t="e">
        <f aca="false">SUMPRODUCT($C$10:$C$321,AR10:AR321)/SUM($C$10:$C$321)</f>
        <v>#NAME?</v>
      </c>
      <c r="AS8" s="123" t="e">
        <f aca="false">SUM(AS10:AS300)</f>
        <v>#NAME?</v>
      </c>
      <c r="AT8" s="149" t="e">
        <f aca="false">AS8/10000</f>
        <v>#NAME?</v>
      </c>
      <c r="AU8" s="68"/>
    </row>
    <row r="9" customFormat="false" ht="12.75" hidden="false" customHeight="false" outlineLevel="0" collapsed="false">
      <c r="B9" s="79"/>
      <c r="C9" s="79"/>
      <c r="D9" s="79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AD9" s="121"/>
      <c r="AE9" s="121"/>
      <c r="AF9" s="121"/>
      <c r="AG9" s="121"/>
      <c r="AH9" s="121"/>
      <c r="AI9" s="121"/>
      <c r="AJ9" s="121"/>
      <c r="AK9" s="121"/>
      <c r="AL9" s="121"/>
      <c r="AM9" s="125"/>
      <c r="AO9" s="93"/>
      <c r="AP9" s="126"/>
    </row>
    <row r="10" customFormat="false" ht="12.75" hidden="false" customHeight="false" outlineLevel="0" collapsed="false">
      <c r="A10" s="127" t="n">
        <f aca="false">mthbeg</f>
        <v>40179</v>
      </c>
      <c r="B10" s="128" t="n">
        <f aca="false">Put!B10</f>
        <v>205479</v>
      </c>
      <c r="C10" s="116" t="n">
        <f aca="false">IF(AB10=0,0,IF(AND(AB10=1,$H$3=1),B10*W10,IF($H$3=2,B10,"N/A")))</f>
        <v>6369849</v>
      </c>
      <c r="D10" s="116" t="n">
        <f aca="false">C10*AA10</f>
        <v>3792207.63314213</v>
      </c>
      <c r="E10" s="129" t="n">
        <f aca="false">VLOOKUP($A10,[1]!CurveTable,MATCH($E$4,[1]!CurveType,0))</f>
        <v>4.785</v>
      </c>
      <c r="F10" s="130"/>
      <c r="G10" s="131" t="n">
        <f aca="false">E10</f>
        <v>4.785</v>
      </c>
      <c r="H10" s="129" t="n">
        <f aca="false">VLOOKUP($A10,[1]!CurveTable,MATCH($H$4,[1]!CurveType,0))</f>
        <v>0</v>
      </c>
      <c r="I10" s="131"/>
      <c r="J10" s="131" t="n">
        <f aca="false">H10</f>
        <v>0</v>
      </c>
      <c r="L10" s="131"/>
      <c r="M10" s="131"/>
      <c r="N10" s="131" t="n">
        <f aca="false">G10+J10+M10+$N$7</f>
        <v>4.495</v>
      </c>
      <c r="O10" s="131" t="n">
        <f aca="false">Summary!$E$16</f>
        <v>9.81903240236408</v>
      </c>
      <c r="P10" s="131"/>
      <c r="Q10" s="129" t="n">
        <f aca="false">VLOOKUP($A10,[1]!CurveTable,MATCH($Q$4,[1]!CurveType,0))</f>
        <v>0.193</v>
      </c>
      <c r="R10" s="129" t="n">
        <f aca="false">Q10+Summary!$C$26</f>
        <v>0.193</v>
      </c>
      <c r="S10" s="129"/>
      <c r="T10" s="132" t="n">
        <f aca="false">X10</f>
        <v>40179</v>
      </c>
      <c r="U10" s="133" t="n">
        <f aca="false">T10-$C$3</f>
        <v>3174</v>
      </c>
      <c r="V10" s="134"/>
      <c r="W10" s="61" t="n">
        <f aca="false">A11-A10</f>
        <v>31</v>
      </c>
      <c r="X10" s="135" t="n">
        <f aca="false">CHOOSE(F$3,A11+24,A10)</f>
        <v>40179</v>
      </c>
      <c r="Y10" s="61" t="n">
        <f aca="false">X10-C$3</f>
        <v>3174</v>
      </c>
      <c r="Z10" s="136" t="n">
        <f aca="false">VLOOKUP($A10,[1]!CurveTable,MATCH($Z$4,[1]!CurveType,0))</f>
        <v>0.0605807599923862</v>
      </c>
      <c r="AA10" s="137" t="n">
        <f aca="false">1/(1+CHOOSE(F$3,(Z11+($K$3/10000))/2,(Z10+($K$3/10000))/2))^(2*Y10/365.25)</f>
        <v>0.595337131718842</v>
      </c>
      <c r="AB10" s="61" t="n">
        <f aca="false">IF(AND(mthbeg&lt;=A10,mthend&gt;=A10),1,0)</f>
        <v>1</v>
      </c>
      <c r="AC10" s="61" t="n">
        <f aca="false">W10*AB10</f>
        <v>31</v>
      </c>
      <c r="AD10" s="121" t="n">
        <f aca="false">$D10*E10</f>
        <v>18145713.5245851</v>
      </c>
      <c r="AE10" s="121" t="n">
        <f aca="false">$D10*F10</f>
        <v>0</v>
      </c>
      <c r="AF10" s="121" t="n">
        <f aca="false">$D10*G10</f>
        <v>18145713.5245851</v>
      </c>
      <c r="AG10" s="121" t="n">
        <f aca="false">$D10*H10</f>
        <v>0</v>
      </c>
      <c r="AH10" s="121" t="n">
        <f aca="false">$D10*I10</f>
        <v>0</v>
      </c>
      <c r="AI10" s="121" t="n">
        <f aca="false">$D10*J10</f>
        <v>0</v>
      </c>
      <c r="AJ10" s="121" t="n">
        <f aca="false">$D10*K10</f>
        <v>0</v>
      </c>
      <c r="AK10" s="121" t="n">
        <f aca="false">$D10*L10</f>
        <v>0</v>
      </c>
      <c r="AL10" s="121" t="n">
        <f aca="false">$D10*M10</f>
        <v>0</v>
      </c>
      <c r="AM10" s="125"/>
      <c r="AO10" s="75" t="e">
        <f aca="false">EURO(N10,O10,Z10,Z10,R10,U10,1,0)</f>
        <v>#NAME?</v>
      </c>
      <c r="AP10" s="138" t="e">
        <f aca="false">AO10*C10</f>
        <v>#NAME?</v>
      </c>
      <c r="AQ10" s="61" t="e">
        <f aca="false">EURO(N10,O10,Z10,Z10,R10,U10,1,1)</f>
        <v>#NAME?</v>
      </c>
      <c r="AR10" s="61" t="e">
        <f aca="false">AQ10+Put!AQ10</f>
        <v>#NAME?</v>
      </c>
      <c r="AS10" s="138" t="e">
        <f aca="false">AR10*C10</f>
        <v>#NAME?</v>
      </c>
      <c r="AT10" s="120" t="e">
        <f aca="false">AS10/10000</f>
        <v>#NAME?</v>
      </c>
      <c r="AV10" s="116" t="n">
        <f aca="false">C10/10000</f>
        <v>636.9849</v>
      </c>
      <c r="AW10" s="60" t="e">
        <f aca="false">AT10/AV10</f>
        <v>#NAME?</v>
      </c>
      <c r="AY10" s="60" t="e">
        <f aca="false">AS10/C10</f>
        <v>#NAME?</v>
      </c>
    </row>
    <row r="11" customFormat="false" ht="12.75" hidden="false" customHeight="false" outlineLevel="0" collapsed="false">
      <c r="A11" s="127" t="n">
        <f aca="false">EDATE(A10,1)</f>
        <v>40210</v>
      </c>
      <c r="B11" s="128" t="n">
        <f aca="false">B10</f>
        <v>205479</v>
      </c>
      <c r="C11" s="116" t="n">
        <f aca="false">IF(AB11=0,0,IF(AND(AB11=1,$H$3=1),B11*W11,IF($H$3=2,B11,"N/A")))</f>
        <v>5753412</v>
      </c>
      <c r="D11" s="116" t="n">
        <f aca="false">C11*AA11</f>
        <v>3404940.24133818</v>
      </c>
      <c r="E11" s="129" t="n">
        <f aca="false">VLOOKUP($A11,[1]!CurveTable,MATCH($E$4,[1]!CurveType,0))</f>
        <v>4.665</v>
      </c>
      <c r="F11" s="130"/>
      <c r="G11" s="131" t="n">
        <f aca="false">E11</f>
        <v>4.665</v>
      </c>
      <c r="H11" s="129" t="n">
        <f aca="false">VLOOKUP($A11,[1]!CurveTable,MATCH($H$4,[1]!CurveType,0))</f>
        <v>0</v>
      </c>
      <c r="I11" s="131"/>
      <c r="J11" s="131" t="n">
        <f aca="false">H11</f>
        <v>0</v>
      </c>
      <c r="K11" s="129"/>
      <c r="L11" s="131"/>
      <c r="M11" s="131"/>
      <c r="N11" s="131" t="n">
        <f aca="false">G11+J11+M11+$N$7</f>
        <v>4.375</v>
      </c>
      <c r="O11" s="131" t="n">
        <f aca="false">Summary!$E$16</f>
        <v>9.81903240236408</v>
      </c>
      <c r="P11" s="131"/>
      <c r="Q11" s="129" t="n">
        <f aca="false">VLOOKUP($A11,[1]!CurveTable,MATCH($Q$4,[1]!CurveType,0))</f>
        <v>0.188</v>
      </c>
      <c r="R11" s="129" t="n">
        <f aca="false">Q11+Summary!$C$26</f>
        <v>0.188</v>
      </c>
      <c r="S11" s="129"/>
      <c r="T11" s="132" t="n">
        <f aca="false">X11</f>
        <v>40210</v>
      </c>
      <c r="U11" s="133" t="n">
        <f aca="false">T11-$C$3</f>
        <v>3205</v>
      </c>
      <c r="V11" s="134"/>
      <c r="W11" s="61" t="n">
        <f aca="false">A12-A11</f>
        <v>28</v>
      </c>
      <c r="X11" s="135" t="n">
        <f aca="false">CHOOSE(F$3,A12+24,A11)</f>
        <v>40210</v>
      </c>
      <c r="Y11" s="61" t="n">
        <f aca="false">X11-C$3</f>
        <v>3205</v>
      </c>
      <c r="Z11" s="136" t="n">
        <f aca="false">VLOOKUP($A11,[1]!CurveTable,MATCH($Z$4,[1]!CurveType,0))</f>
        <v>0.0606832531831456</v>
      </c>
      <c r="AA11" s="137" t="n">
        <f aca="false">1/(1+CHOOSE(F$3,(Z12+($K$3/10000))/2,(Z11+($K$3/10000))/2))^(2*Y11/365.25)</f>
        <v>0.59181234393403</v>
      </c>
      <c r="AB11" s="61" t="n">
        <f aca="false">IF(AND(mthbeg&lt;=A11,mthend&gt;=A11),1,0)</f>
        <v>1</v>
      </c>
      <c r="AC11" s="61" t="n">
        <f aca="false">W11*AB11</f>
        <v>28</v>
      </c>
      <c r="AD11" s="121" t="n">
        <f aca="false">$D11*E11</f>
        <v>15884046.2258426</v>
      </c>
      <c r="AE11" s="121" t="n">
        <f aca="false">$D11*F11</f>
        <v>0</v>
      </c>
      <c r="AF11" s="121" t="n">
        <f aca="false">$D11*G11</f>
        <v>15884046.2258426</v>
      </c>
      <c r="AG11" s="121" t="n">
        <f aca="false">$D11*H11</f>
        <v>0</v>
      </c>
      <c r="AH11" s="121" t="n">
        <f aca="false">$D11*I11</f>
        <v>0</v>
      </c>
      <c r="AI11" s="121" t="n">
        <f aca="false">$D11*J11</f>
        <v>0</v>
      </c>
      <c r="AJ11" s="121" t="n">
        <f aca="false">$D11*K11</f>
        <v>0</v>
      </c>
      <c r="AK11" s="121" t="n">
        <f aca="false">$D11*L11</f>
        <v>0</v>
      </c>
      <c r="AL11" s="121" t="n">
        <f aca="false">$D11*M11</f>
        <v>0</v>
      </c>
      <c r="AM11" s="125"/>
      <c r="AO11" s="75" t="e">
        <f aca="false">EURO(N11,O11,Z11,Z11,R11,U11,1,0)</f>
        <v>#NAME?</v>
      </c>
      <c r="AP11" s="138" t="e">
        <f aca="false">AO11*C11</f>
        <v>#NAME?</v>
      </c>
      <c r="AQ11" s="61" t="e">
        <f aca="false">EURO(N11,O11,Z11,Z11,R11,U11,1,1)</f>
        <v>#NAME?</v>
      </c>
      <c r="AR11" s="61" t="e">
        <f aca="false">AQ11+Put!AQ11</f>
        <v>#NAME?</v>
      </c>
      <c r="AS11" s="138" t="e">
        <f aca="false">AR11*C11</f>
        <v>#NAME?</v>
      </c>
      <c r="AT11" s="120" t="e">
        <f aca="false">AS11/10000</f>
        <v>#NAME?</v>
      </c>
    </row>
    <row r="12" customFormat="false" ht="12.75" hidden="false" customHeight="false" outlineLevel="0" collapsed="false">
      <c r="A12" s="127" t="n">
        <f aca="false">EDATE(A11,1)</f>
        <v>40238</v>
      </c>
      <c r="B12" s="128" t="n">
        <f aca="false">B11</f>
        <v>205479</v>
      </c>
      <c r="C12" s="116" t="n">
        <f aca="false">IF(AB12=0,0,IF(AND(AB12=1,$H$3=1),B12*W12,IF($H$3=2,B12,"N/A")))</f>
        <v>6369849</v>
      </c>
      <c r="D12" s="116" t="n">
        <f aca="false">C12*AA12</f>
        <v>3749535.71172594</v>
      </c>
      <c r="E12" s="129" t="n">
        <f aca="false">VLOOKUP($A12,[1]!CurveTable,MATCH($E$4,[1]!CurveType,0))</f>
        <v>4.526</v>
      </c>
      <c r="F12" s="130"/>
      <c r="G12" s="131" t="n">
        <f aca="false">E12</f>
        <v>4.526</v>
      </c>
      <c r="H12" s="129" t="n">
        <f aca="false">VLOOKUP($A12,[1]!CurveTable,MATCH($H$4,[1]!CurveType,0))</f>
        <v>0</v>
      </c>
      <c r="I12" s="131"/>
      <c r="J12" s="131" t="n">
        <f aca="false">H12</f>
        <v>0</v>
      </c>
      <c r="K12" s="129"/>
      <c r="L12" s="131"/>
      <c r="M12" s="131"/>
      <c r="N12" s="131" t="n">
        <f aca="false">G12+J12+M12+$N$7</f>
        <v>4.236</v>
      </c>
      <c r="O12" s="131" t="n">
        <f aca="false">Summary!$E$16</f>
        <v>9.81903240236408</v>
      </c>
      <c r="P12" s="131"/>
      <c r="Q12" s="129" t="n">
        <f aca="false">VLOOKUP($A12,[1]!CurveTable,MATCH($Q$4,[1]!CurveType,0))</f>
        <v>0.185</v>
      </c>
      <c r="R12" s="129" t="n">
        <f aca="false">Q12+Summary!$C$26</f>
        <v>0.185</v>
      </c>
      <c r="S12" s="129"/>
      <c r="T12" s="132" t="n">
        <f aca="false">X12</f>
        <v>40238</v>
      </c>
      <c r="U12" s="133" t="n">
        <f aca="false">T12-$C$3</f>
        <v>3233</v>
      </c>
      <c r="V12" s="134"/>
      <c r="W12" s="61" t="n">
        <f aca="false">A13-A12</f>
        <v>31</v>
      </c>
      <c r="X12" s="135" t="n">
        <f aca="false">CHOOSE(F$3,A13+24,A12)</f>
        <v>40238</v>
      </c>
      <c r="Y12" s="61" t="n">
        <f aca="false">X12-C$3</f>
        <v>3233</v>
      </c>
      <c r="Z12" s="136" t="n">
        <f aca="false">VLOOKUP($A12,[1]!CurveTable,MATCH($Z$4,[1]!CurveType,0))</f>
        <v>0.0607758276810242</v>
      </c>
      <c r="AA12" s="137" t="n">
        <f aca="false">1/(1+CHOOSE(F$3,(Z13+($K$3/10000))/2,(Z12+($K$3/10000))/2))^(2*Y12/365.25)</f>
        <v>0.58863808415646</v>
      </c>
      <c r="AB12" s="61" t="n">
        <f aca="false">IF(AND(mthbeg&lt;=A12,mthend&gt;=A12),1,0)</f>
        <v>1</v>
      </c>
      <c r="AC12" s="61" t="n">
        <f aca="false">W12*AB12</f>
        <v>31</v>
      </c>
      <c r="AD12" s="121" t="n">
        <f aca="false">$D12*E12</f>
        <v>16970398.6312716</v>
      </c>
      <c r="AE12" s="121" t="n">
        <f aca="false">$D12*F12</f>
        <v>0</v>
      </c>
      <c r="AF12" s="121" t="n">
        <f aca="false">$D12*G12</f>
        <v>16970398.6312716</v>
      </c>
      <c r="AG12" s="121" t="n">
        <f aca="false">$D12*H12</f>
        <v>0</v>
      </c>
      <c r="AH12" s="121" t="n">
        <f aca="false">$D12*I12</f>
        <v>0</v>
      </c>
      <c r="AI12" s="121" t="n">
        <f aca="false">$D12*J12</f>
        <v>0</v>
      </c>
      <c r="AJ12" s="121" t="n">
        <f aca="false">$D12*K12</f>
        <v>0</v>
      </c>
      <c r="AK12" s="121" t="n">
        <f aca="false">$D12*L12</f>
        <v>0</v>
      </c>
      <c r="AL12" s="121" t="n">
        <f aca="false">$D12*M12</f>
        <v>0</v>
      </c>
      <c r="AM12" s="125"/>
      <c r="AO12" s="75" t="e">
        <f aca="false">EURO(N12,O12,Z12,Z12,R12,U12,1,0)</f>
        <v>#NAME?</v>
      </c>
      <c r="AP12" s="138" t="e">
        <f aca="false">AO12*C12</f>
        <v>#NAME?</v>
      </c>
      <c r="AQ12" s="61" t="e">
        <f aca="false">EURO(N12,O12,Z12,Z12,R12,U12,1,1)</f>
        <v>#NAME?</v>
      </c>
      <c r="AR12" s="61" t="e">
        <f aca="false">AQ12+Put!AQ12</f>
        <v>#NAME?</v>
      </c>
      <c r="AS12" s="138" t="e">
        <f aca="false">AR12*C12</f>
        <v>#NAME?</v>
      </c>
      <c r="AT12" s="120" t="e">
        <f aca="false">AS12/10000</f>
        <v>#NAME?</v>
      </c>
    </row>
    <row r="13" customFormat="false" ht="12.75" hidden="false" customHeight="false" outlineLevel="0" collapsed="false">
      <c r="A13" s="127" t="n">
        <f aca="false">EDATE(A12,1)</f>
        <v>40269</v>
      </c>
      <c r="B13" s="128" t="n">
        <f aca="false">B12</f>
        <v>205479</v>
      </c>
      <c r="C13" s="116" t="n">
        <f aca="false">IF(AB13=0,0,IF(AND(AB13=1,$H$3=1),B13*W13,IF($H$3=2,B13,"N/A")))</f>
        <v>6164370</v>
      </c>
      <c r="D13" s="116" t="n">
        <f aca="false">C13*AA13</f>
        <v>3606983.72893033</v>
      </c>
      <c r="E13" s="129" t="n">
        <f aca="false">VLOOKUP($A13,[1]!CurveTable,MATCH($E$4,[1]!CurveType,0))</f>
        <v>4.356</v>
      </c>
      <c r="F13" s="130"/>
      <c r="G13" s="131" t="n">
        <f aca="false">E13</f>
        <v>4.356</v>
      </c>
      <c r="H13" s="129" t="n">
        <f aca="false">VLOOKUP($A13,[1]!CurveTable,MATCH($H$4,[1]!CurveType,0))</f>
        <v>0</v>
      </c>
      <c r="I13" s="131"/>
      <c r="J13" s="131" t="n">
        <f aca="false">H13</f>
        <v>0</v>
      </c>
      <c r="K13" s="129"/>
      <c r="L13" s="131"/>
      <c r="M13" s="131"/>
      <c r="N13" s="131" t="n">
        <f aca="false">G13+J13+M13+$N$7</f>
        <v>4.066</v>
      </c>
      <c r="O13" s="131" t="n">
        <f aca="false">Summary!$E$16</f>
        <v>9.81903240236408</v>
      </c>
      <c r="P13" s="131"/>
      <c r="Q13" s="129" t="n">
        <f aca="false">VLOOKUP($A13,[1]!CurveTable,MATCH($Q$4,[1]!CurveType,0))</f>
        <v>0.185</v>
      </c>
      <c r="R13" s="129" t="n">
        <f aca="false">Q13+Summary!$C$26</f>
        <v>0.185</v>
      </c>
      <c r="S13" s="129"/>
      <c r="T13" s="132" t="n">
        <f aca="false">X13</f>
        <v>40269</v>
      </c>
      <c r="U13" s="133" t="n">
        <f aca="false">T13-$C$3</f>
        <v>3264</v>
      </c>
      <c r="V13" s="134"/>
      <c r="W13" s="61" t="n">
        <f aca="false">A14-A13</f>
        <v>30</v>
      </c>
      <c r="X13" s="135" t="n">
        <f aca="false">CHOOSE(F$3,A14+24,A13)</f>
        <v>40269</v>
      </c>
      <c r="Y13" s="61" t="n">
        <f aca="false">X13-C$3</f>
        <v>3264</v>
      </c>
      <c r="Z13" s="136" t="n">
        <f aca="false">VLOOKUP($A13,[1]!CurveTable,MATCH($Z$4,[1]!CurveType,0))</f>
        <v>0.060878320878424</v>
      </c>
      <c r="AA13" s="137" t="n">
        <f aca="false">1/(1+CHOOSE(F$3,(Z14+($K$3/10000))/2,(Z13+($K$3/10000))/2))^(2*Y13/365.25)</f>
        <v>0.585134203321723</v>
      </c>
      <c r="AB13" s="61" t="n">
        <f aca="false">IF(AND(mthbeg&lt;=A13,mthend&gt;=A13),1,0)</f>
        <v>1</v>
      </c>
      <c r="AC13" s="61" t="n">
        <f aca="false">W13*AB13</f>
        <v>30</v>
      </c>
      <c r="AD13" s="121" t="n">
        <f aca="false">$D13*E13</f>
        <v>15712021.1232205</v>
      </c>
      <c r="AE13" s="121" t="n">
        <f aca="false">$D13*F13</f>
        <v>0</v>
      </c>
      <c r="AF13" s="121" t="n">
        <f aca="false">$D13*G13</f>
        <v>15712021.1232205</v>
      </c>
      <c r="AG13" s="121" t="n">
        <f aca="false">$D13*H13</f>
        <v>0</v>
      </c>
      <c r="AH13" s="121" t="n">
        <f aca="false">$D13*I13</f>
        <v>0</v>
      </c>
      <c r="AI13" s="121" t="n">
        <f aca="false">$D13*J13</f>
        <v>0</v>
      </c>
      <c r="AJ13" s="121" t="n">
        <f aca="false">$D13*K13</f>
        <v>0</v>
      </c>
      <c r="AK13" s="121" t="n">
        <f aca="false">$D13*L13</f>
        <v>0</v>
      </c>
      <c r="AL13" s="121" t="n">
        <f aca="false">$D13*M13</f>
        <v>0</v>
      </c>
      <c r="AM13" s="125"/>
      <c r="AO13" s="75" t="e">
        <f aca="false">EURO(N13,O13,Z13,Z13,R13,U13,1,0)</f>
        <v>#NAME?</v>
      </c>
      <c r="AP13" s="138" t="e">
        <f aca="false">AO13*C13</f>
        <v>#NAME?</v>
      </c>
      <c r="AQ13" s="61" t="e">
        <f aca="false">EURO(N13,O13,Z13,Z13,R13,U13,1,1)</f>
        <v>#NAME?</v>
      </c>
      <c r="AR13" s="61" t="e">
        <f aca="false">AQ13+Put!AQ13</f>
        <v>#NAME?</v>
      </c>
      <c r="AS13" s="138" t="e">
        <f aca="false">AR13*C13</f>
        <v>#NAME?</v>
      </c>
      <c r="AT13" s="120" t="e">
        <f aca="false">AS13/10000</f>
        <v>#NAME?</v>
      </c>
    </row>
    <row r="14" customFormat="false" ht="12.75" hidden="false" customHeight="false" outlineLevel="0" collapsed="false">
      <c r="A14" s="127" t="n">
        <f aca="false">EDATE(A13,1)</f>
        <v>40299</v>
      </c>
      <c r="B14" s="128" t="n">
        <f aca="false">B13</f>
        <v>205479</v>
      </c>
      <c r="C14" s="116" t="n">
        <f aca="false">IF(AB14=0,0,IF(AND(AB14=1,$H$3=1),B14*W14,IF($H$3=2,B14,"N/A")))</f>
        <v>6369849</v>
      </c>
      <c r="D14" s="116" t="n">
        <f aca="false">C14*AA14</f>
        <v>3705684.38980243</v>
      </c>
      <c r="E14" s="129" t="n">
        <f aca="false">VLOOKUP($A14,[1]!CurveTable,MATCH($E$4,[1]!CurveType,0))</f>
        <v>4.415</v>
      </c>
      <c r="F14" s="130"/>
      <c r="G14" s="131" t="n">
        <f aca="false">E14</f>
        <v>4.415</v>
      </c>
      <c r="H14" s="129" t="n">
        <f aca="false">VLOOKUP($A14,[1]!CurveTable,MATCH($H$4,[1]!CurveType,0))</f>
        <v>0</v>
      </c>
      <c r="I14" s="131"/>
      <c r="J14" s="131" t="n">
        <f aca="false">H14</f>
        <v>0</v>
      </c>
      <c r="K14" s="129"/>
      <c r="L14" s="131"/>
      <c r="M14" s="131"/>
      <c r="N14" s="131" t="n">
        <f aca="false">G14+J14+M14+$N$7</f>
        <v>4.125</v>
      </c>
      <c r="O14" s="131" t="n">
        <f aca="false">Summary!$E$16</f>
        <v>9.81903240236408</v>
      </c>
      <c r="P14" s="131"/>
      <c r="Q14" s="129" t="n">
        <f aca="false">VLOOKUP($A14,[1]!CurveTable,MATCH($Q$4,[1]!CurveType,0))</f>
        <v>0.185</v>
      </c>
      <c r="R14" s="129" t="n">
        <f aca="false">Q14+Summary!$C$26</f>
        <v>0.185</v>
      </c>
      <c r="S14" s="129"/>
      <c r="T14" s="132" t="n">
        <f aca="false">X14</f>
        <v>40299</v>
      </c>
      <c r="U14" s="133" t="n">
        <f aca="false">T14-$C$3</f>
        <v>3294</v>
      </c>
      <c r="V14" s="134"/>
      <c r="W14" s="61" t="n">
        <f aca="false">A15-A14</f>
        <v>31</v>
      </c>
      <c r="X14" s="135" t="n">
        <f aca="false">CHOOSE(F$3,A15+24,A14)</f>
        <v>40299</v>
      </c>
      <c r="Y14" s="61" t="n">
        <f aca="false">X14-C$3</f>
        <v>3294</v>
      </c>
      <c r="Z14" s="136" t="n">
        <f aca="false">VLOOKUP($A14,[1]!CurveTable,MATCH($Z$4,[1]!CurveType,0))</f>
        <v>0.0609775078469714</v>
      </c>
      <c r="AA14" s="137" t="n">
        <f aca="false">1/(1+CHOOSE(F$3,(Z15+($K$3/10000))/2,(Z14+($K$3/10000))/2))^(2*Y14/365.25)</f>
        <v>0.581753882988817</v>
      </c>
      <c r="AB14" s="61" t="n">
        <f aca="false">IF(AND(mthbeg&lt;=A14,mthend&gt;=A14),1,0)</f>
        <v>1</v>
      </c>
      <c r="AC14" s="61" t="n">
        <f aca="false">W14*AB14</f>
        <v>31</v>
      </c>
      <c r="AD14" s="121" t="n">
        <f aca="false">$D14*E14</f>
        <v>16360596.5809778</v>
      </c>
      <c r="AE14" s="121" t="n">
        <f aca="false">$D14*F14</f>
        <v>0</v>
      </c>
      <c r="AF14" s="121" t="n">
        <f aca="false">$D14*G14</f>
        <v>16360596.5809778</v>
      </c>
      <c r="AG14" s="121" t="n">
        <f aca="false">$D14*H14</f>
        <v>0</v>
      </c>
      <c r="AH14" s="121" t="n">
        <f aca="false">$D14*I14</f>
        <v>0</v>
      </c>
      <c r="AI14" s="121" t="n">
        <f aca="false">$D14*J14</f>
        <v>0</v>
      </c>
      <c r="AJ14" s="121" t="n">
        <f aca="false">$D14*K14</f>
        <v>0</v>
      </c>
      <c r="AK14" s="121" t="n">
        <f aca="false">$D14*L14</f>
        <v>0</v>
      </c>
      <c r="AL14" s="121" t="n">
        <f aca="false">$D14*M14</f>
        <v>0</v>
      </c>
      <c r="AM14" s="125"/>
      <c r="AO14" s="75" t="e">
        <f aca="false">EURO(N14,O14,Z14,Z14,R14,U14,1,0)</f>
        <v>#NAME?</v>
      </c>
      <c r="AP14" s="138" t="e">
        <f aca="false">AO14*C14</f>
        <v>#NAME?</v>
      </c>
      <c r="AQ14" s="61" t="e">
        <f aca="false">EURO(N14,O14,Z14,Z14,R14,U14,1,1)</f>
        <v>#NAME?</v>
      </c>
      <c r="AR14" s="61" t="e">
        <f aca="false">AQ14+Put!AQ14</f>
        <v>#NAME?</v>
      </c>
      <c r="AS14" s="138" t="e">
        <f aca="false">AR14*C14</f>
        <v>#NAME?</v>
      </c>
      <c r="AT14" s="120" t="e">
        <f aca="false">AS14/10000</f>
        <v>#NAME?</v>
      </c>
    </row>
    <row r="15" customFormat="false" ht="12.75" hidden="false" customHeight="false" outlineLevel="0" collapsed="false">
      <c r="A15" s="127" t="n">
        <f aca="false">EDATE(A14,1)</f>
        <v>40330</v>
      </c>
      <c r="B15" s="128" t="n">
        <f aca="false">B14</f>
        <v>205479</v>
      </c>
      <c r="C15" s="116" t="n">
        <f aca="false">IF(AB15=0,0,IF(AND(AB15=1,$H$3=1),B15*W15,IF($H$3=2,B15,"N/A")))</f>
        <v>6164370</v>
      </c>
      <c r="D15" s="116" t="n">
        <f aca="false">C15*AA15</f>
        <v>3564681.45332932</v>
      </c>
      <c r="E15" s="129" t="n">
        <f aca="false">VLOOKUP($A15,[1]!CurveTable,MATCH($E$4,[1]!CurveType,0))</f>
        <v>4.455</v>
      </c>
      <c r="F15" s="130"/>
      <c r="G15" s="131" t="n">
        <f aca="false">E15</f>
        <v>4.455</v>
      </c>
      <c r="H15" s="129" t="n">
        <f aca="false">VLOOKUP($A15,[1]!CurveTable,MATCH($H$4,[1]!CurveType,0))</f>
        <v>0</v>
      </c>
      <c r="I15" s="131"/>
      <c r="J15" s="131" t="n">
        <f aca="false">H15</f>
        <v>0</v>
      </c>
      <c r="K15" s="129"/>
      <c r="L15" s="131"/>
      <c r="M15" s="131"/>
      <c r="N15" s="131" t="n">
        <f aca="false">G15+J15+M15+$N$7</f>
        <v>4.165</v>
      </c>
      <c r="O15" s="131" t="n">
        <f aca="false">Summary!$E$16</f>
        <v>9.81903240236408</v>
      </c>
      <c r="P15" s="131"/>
      <c r="Q15" s="129" t="n">
        <f aca="false">VLOOKUP($A15,[1]!CurveTable,MATCH($Q$4,[1]!CurveType,0))</f>
        <v>0.185</v>
      </c>
      <c r="R15" s="129" t="n">
        <f aca="false">Q15+Summary!$C$26</f>
        <v>0.185</v>
      </c>
      <c r="S15" s="129"/>
      <c r="T15" s="132" t="n">
        <f aca="false">X15</f>
        <v>40330</v>
      </c>
      <c r="U15" s="133" t="n">
        <f aca="false">T15-$C$3</f>
        <v>3325</v>
      </c>
      <c r="V15" s="134"/>
      <c r="W15" s="61" t="n">
        <f aca="false">A16-A15</f>
        <v>30</v>
      </c>
      <c r="X15" s="135" t="n">
        <f aca="false">CHOOSE(F$3,A16+24,A15)</f>
        <v>40330</v>
      </c>
      <c r="Y15" s="61" t="n">
        <f aca="false">X15-C$3</f>
        <v>3325</v>
      </c>
      <c r="Z15" s="136" t="n">
        <f aca="false">VLOOKUP($A15,[1]!CurveTable,MATCH($Z$4,[1]!CurveType,0))</f>
        <v>0.0610800010512365</v>
      </c>
      <c r="AA15" s="137" t="n">
        <f aca="false">1/(1+CHOOSE(F$3,(Z16+($K$3/10000))/2,(Z15+($K$3/10000))/2))^(2*Y15/365.25)</f>
        <v>0.578271819071425</v>
      </c>
      <c r="AB15" s="61" t="n">
        <f aca="false">IF(AND(mthbeg&lt;=A15,mthend&gt;=A15),1,0)</f>
        <v>1</v>
      </c>
      <c r="AC15" s="61" t="n">
        <f aca="false">W15*AB15</f>
        <v>30</v>
      </c>
      <c r="AD15" s="121" t="n">
        <f aca="false">$D15*E15</f>
        <v>15880655.8745821</v>
      </c>
      <c r="AE15" s="121" t="n">
        <f aca="false">$D15*F15</f>
        <v>0</v>
      </c>
      <c r="AF15" s="121" t="n">
        <f aca="false">$D15*G15</f>
        <v>15880655.8745821</v>
      </c>
      <c r="AG15" s="121" t="n">
        <f aca="false">$D15*H15</f>
        <v>0</v>
      </c>
      <c r="AH15" s="121" t="n">
        <f aca="false">$D15*I15</f>
        <v>0</v>
      </c>
      <c r="AI15" s="121" t="n">
        <f aca="false">$D15*J15</f>
        <v>0</v>
      </c>
      <c r="AJ15" s="121" t="n">
        <f aca="false">$D15*K15</f>
        <v>0</v>
      </c>
      <c r="AK15" s="121" t="n">
        <f aca="false">$D15*L15</f>
        <v>0</v>
      </c>
      <c r="AL15" s="121" t="n">
        <f aca="false">$D15*M15</f>
        <v>0</v>
      </c>
      <c r="AM15" s="125"/>
      <c r="AO15" s="75" t="e">
        <f aca="false">EURO(N15,O15,Z15,Z15,R15,U15,1,0)</f>
        <v>#NAME?</v>
      </c>
      <c r="AP15" s="138" t="e">
        <f aca="false">AO15*C15</f>
        <v>#NAME?</v>
      </c>
      <c r="AQ15" s="61" t="e">
        <f aca="false">EURO(N15,O15,Z15,Z15,R15,U15,1,1)</f>
        <v>#NAME?</v>
      </c>
      <c r="AR15" s="61" t="e">
        <f aca="false">AQ15+Put!AQ15</f>
        <v>#NAME?</v>
      </c>
      <c r="AS15" s="138" t="e">
        <f aca="false">AR15*C15</f>
        <v>#NAME?</v>
      </c>
      <c r="AT15" s="120" t="e">
        <f aca="false">AS15/10000</f>
        <v>#NAME?</v>
      </c>
    </row>
    <row r="16" customFormat="false" ht="12.75" hidden="false" customHeight="false" outlineLevel="0" collapsed="false">
      <c r="A16" s="127" t="n">
        <f aca="false">EDATE(A15,1)</f>
        <v>40360</v>
      </c>
      <c r="B16" s="128" t="n">
        <f aca="false">B15</f>
        <v>205479</v>
      </c>
      <c r="C16" s="116" t="n">
        <f aca="false">IF(AB16=0,0,IF(AND(AB16=1,$H$3=1),B16*W16,IF($H$3=2,B16,"N/A")))</f>
        <v>6369849</v>
      </c>
      <c r="D16" s="116" t="n">
        <f aca="false">C16*AA16</f>
        <v>3662107.14121426</v>
      </c>
      <c r="E16" s="129" t="n">
        <f aca="false">VLOOKUP($A16,[1]!CurveTable,MATCH($E$4,[1]!CurveType,0))</f>
        <v>4.5</v>
      </c>
      <c r="F16" s="130"/>
      <c r="G16" s="131" t="n">
        <f aca="false">E16</f>
        <v>4.5</v>
      </c>
      <c r="H16" s="129" t="n">
        <f aca="false">VLOOKUP($A16,[1]!CurveTable,MATCH($H$4,[1]!CurveType,0))</f>
        <v>0</v>
      </c>
      <c r="I16" s="131"/>
      <c r="J16" s="131" t="n">
        <f aca="false">H16</f>
        <v>0</v>
      </c>
      <c r="K16" s="129"/>
      <c r="L16" s="131"/>
      <c r="M16" s="131"/>
      <c r="N16" s="131" t="n">
        <f aca="false">G16+J16+M16+$N$7</f>
        <v>4.21</v>
      </c>
      <c r="O16" s="131" t="n">
        <f aca="false">Summary!$E$16</f>
        <v>9.81903240236408</v>
      </c>
      <c r="P16" s="131"/>
      <c r="Q16" s="129" t="n">
        <f aca="false">VLOOKUP($A16,[1]!CurveTable,MATCH($Q$4,[1]!CurveType,0))</f>
        <v>0.185</v>
      </c>
      <c r="R16" s="129" t="n">
        <f aca="false">Q16+Summary!$C$26</f>
        <v>0.185</v>
      </c>
      <c r="S16" s="129"/>
      <c r="T16" s="132" t="n">
        <f aca="false">X16</f>
        <v>40360</v>
      </c>
      <c r="U16" s="133" t="n">
        <f aca="false">T16-$C$3</f>
        <v>3355</v>
      </c>
      <c r="V16" s="134"/>
      <c r="W16" s="61" t="n">
        <f aca="false">A17-A16</f>
        <v>31</v>
      </c>
      <c r="X16" s="135" t="n">
        <f aca="false">CHOOSE(F$3,A17+24,A16)</f>
        <v>40360</v>
      </c>
      <c r="Y16" s="61" t="n">
        <f aca="false">X16-C$3</f>
        <v>3355</v>
      </c>
      <c r="Z16" s="136" t="n">
        <f aca="false">VLOOKUP($A16,[1]!CurveTable,MATCH($Z$4,[1]!CurveType,0))</f>
        <v>0.0611791880264274</v>
      </c>
      <c r="AA16" s="137" t="n">
        <f aca="false">1/(1+CHOOSE(F$3,(Z17+($K$3/10000))/2,(Z16+($K$3/10000))/2))^(2*Y16/365.25)</f>
        <v>0.574912708482456</v>
      </c>
      <c r="AB16" s="61" t="n">
        <f aca="false">IF(AND(mthbeg&lt;=A16,mthend&gt;=A16),1,0)</f>
        <v>1</v>
      </c>
      <c r="AC16" s="61" t="n">
        <f aca="false">W16*AB16</f>
        <v>31</v>
      </c>
      <c r="AD16" s="121" t="n">
        <f aca="false">$D16*E16</f>
        <v>16479482.1354642</v>
      </c>
      <c r="AE16" s="121" t="n">
        <f aca="false">$D16*F16</f>
        <v>0</v>
      </c>
      <c r="AF16" s="121" t="n">
        <f aca="false">$D16*G16</f>
        <v>16479482.1354642</v>
      </c>
      <c r="AG16" s="121" t="n">
        <f aca="false">$D16*H16</f>
        <v>0</v>
      </c>
      <c r="AH16" s="121" t="n">
        <f aca="false">$D16*I16</f>
        <v>0</v>
      </c>
      <c r="AI16" s="121" t="n">
        <f aca="false">$D16*J16</f>
        <v>0</v>
      </c>
      <c r="AJ16" s="121" t="n">
        <f aca="false">$D16*K16</f>
        <v>0</v>
      </c>
      <c r="AK16" s="121" t="n">
        <f aca="false">$D16*L16</f>
        <v>0</v>
      </c>
      <c r="AL16" s="121" t="n">
        <f aca="false">$D16*M16</f>
        <v>0</v>
      </c>
      <c r="AM16" s="125"/>
      <c r="AO16" s="75" t="e">
        <f aca="false">EURO(N16,O16,Z16,Z16,R16,U16,1,0)</f>
        <v>#NAME?</v>
      </c>
      <c r="AP16" s="138" t="e">
        <f aca="false">AO16*C16</f>
        <v>#NAME?</v>
      </c>
      <c r="AQ16" s="61" t="e">
        <f aca="false">EURO(N16,O16,Z16,Z16,R16,U16,1,1)</f>
        <v>#NAME?</v>
      </c>
      <c r="AR16" s="61" t="e">
        <f aca="false">AQ16+Put!AQ16</f>
        <v>#NAME?</v>
      </c>
      <c r="AS16" s="138" t="e">
        <f aca="false">AR16*C16</f>
        <v>#NAME?</v>
      </c>
      <c r="AT16" s="120" t="e">
        <f aca="false">AS16/10000</f>
        <v>#NAME?</v>
      </c>
    </row>
    <row r="17" customFormat="false" ht="12.75" hidden="false" customHeight="false" outlineLevel="0" collapsed="false">
      <c r="A17" s="127" t="n">
        <f aca="false">EDATE(A16,1)</f>
        <v>40391</v>
      </c>
      <c r="B17" s="128" t="n">
        <f aca="false">B16</f>
        <v>205479</v>
      </c>
      <c r="C17" s="116" t="n">
        <f aca="false">IF(AB17=0,0,IF(AND(AB17=1,$H$3=1),B17*W17,IF($H$3=2,B17,"N/A")))</f>
        <v>6369849</v>
      </c>
      <c r="D17" s="116" t="n">
        <f aca="false">C17*AA17</f>
        <v>3640067.15120452</v>
      </c>
      <c r="E17" s="129" t="n">
        <f aca="false">VLOOKUP($A17,[1]!CurveTable,MATCH($E$4,[1]!CurveType,0))</f>
        <v>4.535</v>
      </c>
      <c r="F17" s="130"/>
      <c r="G17" s="131" t="n">
        <f aca="false">E17</f>
        <v>4.535</v>
      </c>
      <c r="H17" s="129" t="n">
        <f aca="false">VLOOKUP($A17,[1]!CurveTable,MATCH($H$4,[1]!CurveType,0))</f>
        <v>0</v>
      </c>
      <c r="I17" s="131"/>
      <c r="J17" s="131" t="n">
        <f aca="false">H17</f>
        <v>0</v>
      </c>
      <c r="K17" s="129"/>
      <c r="L17" s="131"/>
      <c r="M17" s="131"/>
      <c r="N17" s="131" t="n">
        <f aca="false">G17+J17+M17+$N$7</f>
        <v>4.245</v>
      </c>
      <c r="O17" s="131" t="n">
        <f aca="false">Summary!$E$16</f>
        <v>9.81903240236408</v>
      </c>
      <c r="P17" s="131"/>
      <c r="Q17" s="129" t="n">
        <f aca="false">VLOOKUP($A17,[1]!CurveTable,MATCH($Q$4,[1]!CurveType,0))</f>
        <v>0.185</v>
      </c>
      <c r="R17" s="129" t="n">
        <f aca="false">Q17+Summary!$C$26</f>
        <v>0.185</v>
      </c>
      <c r="S17" s="129"/>
      <c r="T17" s="132" t="n">
        <f aca="false">X17</f>
        <v>40391</v>
      </c>
      <c r="U17" s="133" t="n">
        <f aca="false">T17-$C$3</f>
        <v>3386</v>
      </c>
      <c r="V17" s="134"/>
      <c r="W17" s="61" t="n">
        <f aca="false">A18-A17</f>
        <v>31</v>
      </c>
      <c r="X17" s="135" t="n">
        <f aca="false">CHOOSE(F$3,A18+24,A17)</f>
        <v>40391</v>
      </c>
      <c r="Y17" s="61" t="n">
        <f aca="false">X17-C$3</f>
        <v>3386</v>
      </c>
      <c r="Z17" s="136" t="n">
        <f aca="false">VLOOKUP($A17,[1]!CurveTable,MATCH($Z$4,[1]!CurveType,0))</f>
        <v>0.0612816812375567</v>
      </c>
      <c r="AA17" s="137" t="n">
        <f aca="false">1/(1+CHOOSE(F$3,(Z18+($K$3/10000))/2,(Z17+($K$3/10000))/2))^(2*Y17/365.25)</f>
        <v>0.571452659427958</v>
      </c>
      <c r="AB17" s="61" t="n">
        <f aca="false">IF(AND(mthbeg&lt;=A17,mthend&gt;=A17),1,0)</f>
        <v>1</v>
      </c>
      <c r="AC17" s="61" t="n">
        <f aca="false">W17*AB17</f>
        <v>31</v>
      </c>
      <c r="AD17" s="121" t="n">
        <f aca="false">$D17*E17</f>
        <v>16507704.5307125</v>
      </c>
      <c r="AE17" s="121" t="n">
        <f aca="false">$D17*F17</f>
        <v>0</v>
      </c>
      <c r="AF17" s="121" t="n">
        <f aca="false">$D17*G17</f>
        <v>16507704.5307125</v>
      </c>
      <c r="AG17" s="121" t="n">
        <f aca="false">$D17*H17</f>
        <v>0</v>
      </c>
      <c r="AH17" s="121" t="n">
        <f aca="false">$D17*I17</f>
        <v>0</v>
      </c>
      <c r="AI17" s="121" t="n">
        <f aca="false">$D17*J17</f>
        <v>0</v>
      </c>
      <c r="AJ17" s="121" t="n">
        <f aca="false">$D17*K17</f>
        <v>0</v>
      </c>
      <c r="AK17" s="121" t="n">
        <f aca="false">$D17*L17</f>
        <v>0</v>
      </c>
      <c r="AL17" s="121" t="n">
        <f aca="false">$D17*M17</f>
        <v>0</v>
      </c>
      <c r="AM17" s="125"/>
      <c r="AO17" s="75" t="e">
        <f aca="false">EURO(N17,O17,Z17,Z17,R17,U17,1,0)</f>
        <v>#NAME?</v>
      </c>
      <c r="AP17" s="138" t="e">
        <f aca="false">AO17*C17</f>
        <v>#NAME?</v>
      </c>
      <c r="AQ17" s="61" t="e">
        <f aca="false">EURO(N17,O17,Z17,Z17,R17,U17,1,1)</f>
        <v>#NAME?</v>
      </c>
      <c r="AR17" s="61" t="e">
        <f aca="false">AQ17+Put!AQ17</f>
        <v>#NAME?</v>
      </c>
      <c r="AS17" s="138" t="e">
        <f aca="false">AR17*C17</f>
        <v>#NAME?</v>
      </c>
      <c r="AT17" s="120" t="e">
        <f aca="false">AS17/10000</f>
        <v>#NAME?</v>
      </c>
    </row>
    <row r="18" customFormat="false" ht="12.75" hidden="false" customHeight="false" outlineLevel="0" collapsed="false">
      <c r="A18" s="127" t="n">
        <f aca="false">EDATE(A17,1)</f>
        <v>40422</v>
      </c>
      <c r="B18" s="128" t="n">
        <f aca="false">B17</f>
        <v>205479</v>
      </c>
      <c r="C18" s="116" t="n">
        <f aca="false">IF(AB18=0,0,IF(AND(AB18=1,$H$3=1),B18*W18,IF($H$3=2,B18,"N/A")))</f>
        <v>6164370</v>
      </c>
      <c r="D18" s="116" t="n">
        <f aca="false">C18*AA18</f>
        <v>3501386.02820654</v>
      </c>
      <c r="E18" s="129" t="n">
        <f aca="false">VLOOKUP($A18,[1]!CurveTable,MATCH($E$4,[1]!CurveType,0))</f>
        <v>4.54</v>
      </c>
      <c r="F18" s="130"/>
      <c r="G18" s="131" t="n">
        <f aca="false">E18</f>
        <v>4.54</v>
      </c>
      <c r="H18" s="129" t="n">
        <f aca="false">VLOOKUP($A18,[1]!CurveTable,MATCH($H$4,[1]!CurveType,0))</f>
        <v>0</v>
      </c>
      <c r="I18" s="131"/>
      <c r="J18" s="131" t="n">
        <f aca="false">H18</f>
        <v>0</v>
      </c>
      <c r="K18" s="129"/>
      <c r="L18" s="131"/>
      <c r="M18" s="131"/>
      <c r="N18" s="131" t="n">
        <f aca="false">G18+J18+M18+$N$7</f>
        <v>4.25</v>
      </c>
      <c r="O18" s="131" t="n">
        <f aca="false">Summary!$E$16</f>
        <v>9.81903240236408</v>
      </c>
      <c r="P18" s="131"/>
      <c r="Q18" s="129" t="n">
        <f aca="false">VLOOKUP($A18,[1]!CurveTable,MATCH($Q$4,[1]!CurveType,0))</f>
        <v>0.185</v>
      </c>
      <c r="R18" s="129" t="n">
        <f aca="false">Q18+Summary!$C$26</f>
        <v>0.185</v>
      </c>
      <c r="S18" s="129"/>
      <c r="T18" s="132" t="n">
        <f aca="false">X18</f>
        <v>40422</v>
      </c>
      <c r="U18" s="133" t="n">
        <f aca="false">T18-$C$3</f>
        <v>3417</v>
      </c>
      <c r="V18" s="134"/>
      <c r="W18" s="61" t="n">
        <f aca="false">A19-A18</f>
        <v>30</v>
      </c>
      <c r="X18" s="135" t="n">
        <f aca="false">CHOOSE(F$3,A19+24,A18)</f>
        <v>40422</v>
      </c>
      <c r="Y18" s="61" t="n">
        <f aca="false">X18-C$3</f>
        <v>3417</v>
      </c>
      <c r="Z18" s="136" t="n">
        <f aca="false">VLOOKUP($A18,[1]!CurveTable,MATCH($Z$4,[1]!CurveType,0))</f>
        <v>0.0613841744521744</v>
      </c>
      <c r="AA18" s="137" t="n">
        <f aca="false">1/(1+CHOOSE(F$3,(Z19+($K$3/10000))/2,(Z18+($K$3/10000))/2))^(2*Y18/365.25)</f>
        <v>0.568003871962024</v>
      </c>
      <c r="AB18" s="61" t="n">
        <f aca="false">IF(AND(mthbeg&lt;=A18,mthend&gt;=A18),1,0)</f>
        <v>1</v>
      </c>
      <c r="AC18" s="61" t="n">
        <f aca="false">W18*AB18</f>
        <v>30</v>
      </c>
      <c r="AD18" s="121" t="n">
        <f aca="false">$D18*E18</f>
        <v>15896292.5680577</v>
      </c>
      <c r="AE18" s="121" t="n">
        <f aca="false">$D18*F18</f>
        <v>0</v>
      </c>
      <c r="AF18" s="121" t="n">
        <f aca="false">$D18*G18</f>
        <v>15896292.5680577</v>
      </c>
      <c r="AG18" s="121" t="n">
        <f aca="false">$D18*H18</f>
        <v>0</v>
      </c>
      <c r="AH18" s="121" t="n">
        <f aca="false">$D18*I18</f>
        <v>0</v>
      </c>
      <c r="AI18" s="121" t="n">
        <f aca="false">$D18*J18</f>
        <v>0</v>
      </c>
      <c r="AJ18" s="121" t="n">
        <f aca="false">$D18*K18</f>
        <v>0</v>
      </c>
      <c r="AK18" s="121" t="n">
        <f aca="false">$D18*L18</f>
        <v>0</v>
      </c>
      <c r="AL18" s="121" t="n">
        <f aca="false">$D18*M18</f>
        <v>0</v>
      </c>
      <c r="AM18" s="125"/>
      <c r="AO18" s="75" t="e">
        <f aca="false">EURO(N18,O18,Z18,Z18,R18,U18,1,0)</f>
        <v>#NAME?</v>
      </c>
      <c r="AP18" s="138" t="e">
        <f aca="false">AO18*C18</f>
        <v>#NAME?</v>
      </c>
      <c r="AQ18" s="61" t="e">
        <f aca="false">EURO(N18,O18,Z18,Z18,R18,U18,1,1)</f>
        <v>#NAME?</v>
      </c>
      <c r="AR18" s="61" t="e">
        <f aca="false">AQ18+Put!AQ18</f>
        <v>#NAME?</v>
      </c>
      <c r="AS18" s="138" t="e">
        <f aca="false">AR18*C18</f>
        <v>#NAME?</v>
      </c>
      <c r="AT18" s="120" t="e">
        <f aca="false">AS18/10000</f>
        <v>#NAME?</v>
      </c>
    </row>
    <row r="19" customFormat="false" ht="12.75" hidden="false" customHeight="false" outlineLevel="0" collapsed="false">
      <c r="A19" s="127" t="n">
        <f aca="false">EDATE(A18,1)</f>
        <v>40452</v>
      </c>
      <c r="B19" s="128" t="n">
        <f aca="false">B18</f>
        <v>205479</v>
      </c>
      <c r="C19" s="116" t="n">
        <f aca="false">IF(AB19=0,0,IF(AND(AB19=1,$H$3=1),B19*W19,IF($H$3=2,B19,"N/A")))</f>
        <v>6369849</v>
      </c>
      <c r="D19" s="116" t="n">
        <f aca="false">C19*AA19</f>
        <v>3596907.88582807</v>
      </c>
      <c r="E19" s="129" t="n">
        <f aca="false">VLOOKUP($A19,[1]!CurveTable,MATCH($E$4,[1]!CurveType,0))</f>
        <v>4.57</v>
      </c>
      <c r="F19" s="130"/>
      <c r="G19" s="131" t="n">
        <f aca="false">E19</f>
        <v>4.57</v>
      </c>
      <c r="H19" s="129" t="n">
        <f aca="false">VLOOKUP($A19,[1]!CurveTable,MATCH($H$4,[1]!CurveType,0))</f>
        <v>0</v>
      </c>
      <c r="I19" s="131"/>
      <c r="J19" s="131" t="n">
        <f aca="false">H19</f>
        <v>0</v>
      </c>
      <c r="K19" s="129"/>
      <c r="L19" s="131"/>
      <c r="M19" s="131"/>
      <c r="N19" s="131" t="n">
        <f aca="false">G19+J19+M19+$N$7</f>
        <v>4.28</v>
      </c>
      <c r="O19" s="131" t="n">
        <f aca="false">Summary!$E$16</f>
        <v>9.81903240236408</v>
      </c>
      <c r="P19" s="131"/>
      <c r="Q19" s="129" t="n">
        <f aca="false">VLOOKUP($A19,[1]!CurveTable,MATCH($Q$4,[1]!CurveType,0))</f>
        <v>0.185</v>
      </c>
      <c r="R19" s="129" t="n">
        <f aca="false">Q19+Summary!$C$26</f>
        <v>0.185</v>
      </c>
      <c r="S19" s="129"/>
      <c r="T19" s="132" t="n">
        <f aca="false">X19</f>
        <v>40452</v>
      </c>
      <c r="U19" s="133" t="n">
        <f aca="false">T19-$C$3</f>
        <v>3447</v>
      </c>
      <c r="V19" s="134"/>
      <c r="W19" s="61" t="n">
        <f aca="false">A20-A19</f>
        <v>31</v>
      </c>
      <c r="X19" s="135" t="n">
        <f aca="false">CHOOSE(F$3,A20+24,A19)</f>
        <v>40452</v>
      </c>
      <c r="Y19" s="61" t="n">
        <f aca="false">X19-C$3</f>
        <v>3447</v>
      </c>
      <c r="Z19" s="136" t="n">
        <f aca="false">VLOOKUP($A19,[1]!CurveTable,MATCH($Z$4,[1]!CurveType,0))</f>
        <v>0.0614833614373835</v>
      </c>
      <c r="AA19" s="137" t="n">
        <f aca="false">1/(1+CHOOSE(F$3,(Z20+($K$3/10000))/2,(Z19+($K$3/10000))/2))^(2*Y19/365.25)</f>
        <v>0.564677103935756</v>
      </c>
      <c r="AB19" s="61" t="n">
        <f aca="false">IF(AND(mthbeg&lt;=A19,mthend&gt;=A19),1,0)</f>
        <v>1</v>
      </c>
      <c r="AC19" s="61" t="n">
        <f aca="false">W19*AB19</f>
        <v>31</v>
      </c>
      <c r="AD19" s="121" t="n">
        <f aca="false">$D19*E19</f>
        <v>16437869.0382343</v>
      </c>
      <c r="AE19" s="121" t="n">
        <f aca="false">$D19*F19</f>
        <v>0</v>
      </c>
      <c r="AF19" s="121" t="n">
        <f aca="false">$D19*G19</f>
        <v>16437869.0382343</v>
      </c>
      <c r="AG19" s="121" t="n">
        <f aca="false">$D19*H19</f>
        <v>0</v>
      </c>
      <c r="AH19" s="121" t="n">
        <f aca="false">$D19*I19</f>
        <v>0</v>
      </c>
      <c r="AI19" s="121" t="n">
        <f aca="false">$D19*J19</f>
        <v>0</v>
      </c>
      <c r="AJ19" s="121" t="n">
        <f aca="false">$D19*K19</f>
        <v>0</v>
      </c>
      <c r="AK19" s="121" t="n">
        <f aca="false">$D19*L19</f>
        <v>0</v>
      </c>
      <c r="AL19" s="121" t="n">
        <f aca="false">$D19*M19</f>
        <v>0</v>
      </c>
      <c r="AM19" s="125"/>
      <c r="AO19" s="75" t="e">
        <f aca="false">EURO(N19,O19,Z19,Z19,R19,U19,1,0)</f>
        <v>#NAME?</v>
      </c>
      <c r="AP19" s="138" t="e">
        <f aca="false">AO19*C19</f>
        <v>#NAME?</v>
      </c>
      <c r="AQ19" s="61" t="e">
        <f aca="false">EURO(N19,O19,Z19,Z19,R19,U19,1,1)</f>
        <v>#NAME?</v>
      </c>
      <c r="AR19" s="61" t="e">
        <f aca="false">AQ19+Put!AQ19</f>
        <v>#NAME?</v>
      </c>
      <c r="AS19" s="138" t="e">
        <f aca="false">AR19*C19</f>
        <v>#NAME?</v>
      </c>
      <c r="AT19" s="120" t="e">
        <f aca="false">AS19/10000</f>
        <v>#NAME?</v>
      </c>
    </row>
    <row r="20" customFormat="false" ht="12.75" hidden="false" customHeight="false" outlineLevel="0" collapsed="false">
      <c r="A20" s="127" t="n">
        <f aca="false">EDATE(A19,1)</f>
        <v>40483</v>
      </c>
      <c r="B20" s="128" t="n">
        <f aca="false">B19</f>
        <v>205479</v>
      </c>
      <c r="C20" s="116" t="n">
        <f aca="false">IF(AB20=0,0,IF(AND(AB20=1,$H$3=1),B20*W20,IF($H$3=2,B20,"N/A")))</f>
        <v>6164370</v>
      </c>
      <c r="D20" s="116" t="n">
        <f aca="false">C20*AA20</f>
        <v>3459756.46709229</v>
      </c>
      <c r="E20" s="129" t="n">
        <f aca="false">VLOOKUP($A20,[1]!CurveTable,MATCH($E$4,[1]!CurveType,0))</f>
        <v>4.68</v>
      </c>
      <c r="F20" s="130"/>
      <c r="G20" s="131" t="n">
        <f aca="false">E20</f>
        <v>4.68</v>
      </c>
      <c r="H20" s="129" t="n">
        <f aca="false">VLOOKUP($A20,[1]!CurveTable,MATCH($H$4,[1]!CurveType,0))</f>
        <v>0</v>
      </c>
      <c r="I20" s="131"/>
      <c r="J20" s="131" t="n">
        <f aca="false">H20</f>
        <v>0</v>
      </c>
      <c r="K20" s="129"/>
      <c r="L20" s="131"/>
      <c r="M20" s="131"/>
      <c r="N20" s="131" t="n">
        <f aca="false">G20+J20+M20+$N$7</f>
        <v>4.39</v>
      </c>
      <c r="O20" s="131" t="n">
        <f aca="false">Summary!$E$16</f>
        <v>9.81903240236408</v>
      </c>
      <c r="P20" s="131"/>
      <c r="Q20" s="129" t="n">
        <f aca="false">VLOOKUP($A20,[1]!CurveTable,MATCH($Q$4,[1]!CurveType,0))</f>
        <v>0.185</v>
      </c>
      <c r="R20" s="129" t="n">
        <f aca="false">Q20+Summary!$C$26</f>
        <v>0.185</v>
      </c>
      <c r="S20" s="129"/>
      <c r="T20" s="132" t="n">
        <f aca="false">X20</f>
        <v>40483</v>
      </c>
      <c r="U20" s="133" t="n">
        <f aca="false">T20-$C$3</f>
        <v>3478</v>
      </c>
      <c r="V20" s="134"/>
      <c r="W20" s="61" t="n">
        <f aca="false">A21-A20</f>
        <v>30</v>
      </c>
      <c r="X20" s="135" t="n">
        <f aca="false">CHOOSE(F$3,A21+24,A20)</f>
        <v>40483</v>
      </c>
      <c r="Y20" s="61" t="n">
        <f aca="false">X20-C$3</f>
        <v>3478</v>
      </c>
      <c r="Z20" s="136" t="n">
        <f aca="false">VLOOKUP($A20,[1]!CurveTable,MATCH($Z$4,[1]!CurveType,0))</f>
        <v>0.061585854658865</v>
      </c>
      <c r="AA20" s="137" t="n">
        <f aca="false">1/(1+CHOOSE(F$3,(Z21+($K$3/10000))/2,(Z20+($K$3/10000))/2))^(2*Y20/365.25)</f>
        <v>0.561250617190774</v>
      </c>
      <c r="AB20" s="61" t="n">
        <f aca="false">IF(AND(mthbeg&lt;=A20,mthend&gt;=A20),1,0)</f>
        <v>1</v>
      </c>
      <c r="AC20" s="61" t="n">
        <f aca="false">W20*AB20</f>
        <v>30</v>
      </c>
      <c r="AD20" s="121" t="n">
        <f aca="false">$D20*E20</f>
        <v>16191660.2659919</v>
      </c>
      <c r="AE20" s="121" t="n">
        <f aca="false">$D20*F20</f>
        <v>0</v>
      </c>
      <c r="AF20" s="121" t="n">
        <f aca="false">$D20*G20</f>
        <v>16191660.2659919</v>
      </c>
      <c r="AG20" s="121" t="n">
        <f aca="false">$D20*H20</f>
        <v>0</v>
      </c>
      <c r="AH20" s="121" t="n">
        <f aca="false">$D20*I20</f>
        <v>0</v>
      </c>
      <c r="AI20" s="121" t="n">
        <f aca="false">$D20*J20</f>
        <v>0</v>
      </c>
      <c r="AJ20" s="121" t="n">
        <f aca="false">$D20*K20</f>
        <v>0</v>
      </c>
      <c r="AK20" s="121" t="n">
        <f aca="false">$D20*L20</f>
        <v>0</v>
      </c>
      <c r="AL20" s="121" t="n">
        <f aca="false">$D20*M20</f>
        <v>0</v>
      </c>
      <c r="AM20" s="125"/>
      <c r="AO20" s="75" t="e">
        <f aca="false">EURO(N20,O20,Z20,Z20,R20,U20,1,0)</f>
        <v>#NAME?</v>
      </c>
      <c r="AP20" s="138" t="e">
        <f aca="false">AO20*C20</f>
        <v>#NAME?</v>
      </c>
      <c r="AQ20" s="61" t="e">
        <f aca="false">EURO(N20,O20,Z20,Z20,R20,U20,1,1)</f>
        <v>#NAME?</v>
      </c>
      <c r="AR20" s="61" t="e">
        <f aca="false">AQ20+Put!AQ20</f>
        <v>#NAME?</v>
      </c>
      <c r="AS20" s="138" t="e">
        <f aca="false">AR20*C20</f>
        <v>#NAME?</v>
      </c>
      <c r="AT20" s="120" t="e">
        <f aca="false">AS20/10000</f>
        <v>#NAME?</v>
      </c>
    </row>
    <row r="21" customFormat="false" ht="12.75" hidden="false" customHeight="false" outlineLevel="0" collapsed="false">
      <c r="A21" s="127" t="n">
        <f aca="false">EDATE(A20,1)</f>
        <v>40513</v>
      </c>
      <c r="B21" s="128" t="n">
        <f aca="false">B20</f>
        <v>205479</v>
      </c>
      <c r="C21" s="116" t="n">
        <f aca="false">IF(AB21=0,0,IF(AND(AB21=1,$H$3=1),B21*W21,IF($H$3=2,B21,"N/A")))</f>
        <v>6369849</v>
      </c>
      <c r="D21" s="116" t="n">
        <f aca="false">C21*AA21</f>
        <v>3554028.70613079</v>
      </c>
      <c r="E21" s="129" t="n">
        <f aca="false">VLOOKUP($A21,[1]!CurveTable,MATCH($E$4,[1]!CurveType,0))</f>
        <v>4.8</v>
      </c>
      <c r="F21" s="130"/>
      <c r="G21" s="131" t="n">
        <f aca="false">E21</f>
        <v>4.8</v>
      </c>
      <c r="H21" s="129" t="n">
        <f aca="false">VLOOKUP($A21,[1]!CurveTable,MATCH($H$4,[1]!CurveType,0))</f>
        <v>0</v>
      </c>
      <c r="I21" s="131"/>
      <c r="J21" s="131" t="n">
        <f aca="false">H21</f>
        <v>0</v>
      </c>
      <c r="K21" s="129"/>
      <c r="L21" s="131"/>
      <c r="M21" s="131"/>
      <c r="N21" s="131" t="n">
        <f aca="false">G21+J21+M21+$N$7</f>
        <v>4.51</v>
      </c>
      <c r="O21" s="131" t="n">
        <f aca="false">Summary!$E$16</f>
        <v>9.81903240236408</v>
      </c>
      <c r="P21" s="131"/>
      <c r="Q21" s="129" t="n">
        <f aca="false">VLOOKUP($A21,[1]!CurveTable,MATCH($Q$4,[1]!CurveType,0))</f>
        <v>0.185</v>
      </c>
      <c r="R21" s="129" t="n">
        <f aca="false">Q21+Summary!$C$26</f>
        <v>0.185</v>
      </c>
      <c r="S21" s="129"/>
      <c r="T21" s="132" t="n">
        <f aca="false">X21</f>
        <v>40513</v>
      </c>
      <c r="U21" s="133" t="n">
        <f aca="false">T21-$C$3</f>
        <v>3508</v>
      </c>
      <c r="V21" s="134"/>
      <c r="W21" s="61" t="n">
        <f aca="false">A22-A21</f>
        <v>31</v>
      </c>
      <c r="X21" s="135" t="n">
        <f aca="false">CHOOSE(F$3,A22+24,A21)</f>
        <v>40513</v>
      </c>
      <c r="Y21" s="61" t="n">
        <f aca="false">X21-C$3</f>
        <v>3508</v>
      </c>
      <c r="Z21" s="136" t="n">
        <f aca="false">VLOOKUP($A21,[1]!CurveTable,MATCH($Z$4,[1]!CurveType,0))</f>
        <v>0.0616850416507155</v>
      </c>
      <c r="AA21" s="137" t="n">
        <f aca="false">1/(1+CHOOSE(F$3,(Z22+($K$3/10000))/2,(Z21+($K$3/10000))/2))^(2*Y21/365.25)</f>
        <v>0.557945518980244</v>
      </c>
      <c r="AB21" s="61" t="n">
        <f aca="false">IF(AND(mthbeg&lt;=A21,mthend&gt;=A21),1,0)</f>
        <v>1</v>
      </c>
      <c r="AC21" s="61" t="n">
        <f aca="false">W21*AB21</f>
        <v>31</v>
      </c>
      <c r="AD21" s="121" t="n">
        <f aca="false">$D21*E21</f>
        <v>17059337.7894278</v>
      </c>
      <c r="AE21" s="121" t="n">
        <f aca="false">$D21*F21</f>
        <v>0</v>
      </c>
      <c r="AF21" s="121" t="n">
        <f aca="false">$D21*G21</f>
        <v>17059337.7894278</v>
      </c>
      <c r="AG21" s="121" t="n">
        <f aca="false">$D21*H21</f>
        <v>0</v>
      </c>
      <c r="AH21" s="121" t="n">
        <f aca="false">$D21*I21</f>
        <v>0</v>
      </c>
      <c r="AI21" s="121" t="n">
        <f aca="false">$D21*J21</f>
        <v>0</v>
      </c>
      <c r="AJ21" s="121" t="n">
        <f aca="false">$D21*K21</f>
        <v>0</v>
      </c>
      <c r="AK21" s="121" t="n">
        <f aca="false">$D21*L21</f>
        <v>0</v>
      </c>
      <c r="AL21" s="121" t="n">
        <f aca="false">$D21*M21</f>
        <v>0</v>
      </c>
      <c r="AM21" s="125"/>
      <c r="AO21" s="75" t="e">
        <f aca="false">EURO(N21,O21,Z21,Z21,R21,U21,1,0)</f>
        <v>#NAME?</v>
      </c>
      <c r="AP21" s="138" t="e">
        <f aca="false">AO21*C21</f>
        <v>#NAME?</v>
      </c>
      <c r="AQ21" s="61" t="e">
        <f aca="false">EURO(N21,O21,Z21,Z21,R21,U21,1,1)</f>
        <v>#NAME?</v>
      </c>
      <c r="AR21" s="61" t="e">
        <f aca="false">AQ21+Put!AQ21</f>
        <v>#NAME?</v>
      </c>
      <c r="AS21" s="138" t="e">
        <f aca="false">AR21*C21</f>
        <v>#NAME?</v>
      </c>
      <c r="AT21" s="120" t="e">
        <f aca="false">AS21/10000</f>
        <v>#NAME?</v>
      </c>
    </row>
    <row r="22" customFormat="false" ht="12.75" hidden="false" customHeight="false" outlineLevel="0" collapsed="false">
      <c r="A22" s="127" t="n">
        <f aca="false">EDATE(A21,1)</f>
        <v>40544</v>
      </c>
      <c r="B22" s="128" t="n">
        <f aca="false">B21</f>
        <v>205479</v>
      </c>
      <c r="C22" s="116" t="n">
        <f aca="false">IF(AB22=0,0,IF(AND(AB22=1,$H$3=1),B22*W22,IF($H$3=2,B22,"N/A")))</f>
        <v>6369849</v>
      </c>
      <c r="D22" s="116" t="n">
        <f aca="false">C22*AA22</f>
        <v>3532345.70923571</v>
      </c>
      <c r="E22" s="129" t="n">
        <f aca="false">VLOOKUP($A22,[1]!CurveTable,MATCH($E$4,[1]!CurveType,0))</f>
        <v>4.86</v>
      </c>
      <c r="F22" s="130"/>
      <c r="G22" s="131" t="n">
        <f aca="false">E22</f>
        <v>4.86</v>
      </c>
      <c r="H22" s="129" t="n">
        <f aca="false">VLOOKUP($A22,[1]!CurveTable,MATCH($H$4,[1]!CurveType,0))</f>
        <v>0</v>
      </c>
      <c r="I22" s="131"/>
      <c r="J22" s="131" t="n">
        <f aca="false">H22</f>
        <v>0</v>
      </c>
      <c r="K22" s="129"/>
      <c r="L22" s="131"/>
      <c r="M22" s="131"/>
      <c r="N22" s="131" t="n">
        <f aca="false">G22+J22+M22+$N$7</f>
        <v>4.57</v>
      </c>
      <c r="O22" s="131" t="n">
        <f aca="false">Summary!$E$16</f>
        <v>9.81903240236408</v>
      </c>
      <c r="P22" s="131"/>
      <c r="Q22" s="129" t="n">
        <f aca="false">VLOOKUP($A22,[1]!CurveTable,MATCH($Q$4,[1]!CurveType,0))</f>
        <v>0.185</v>
      </c>
      <c r="R22" s="129" t="n">
        <f aca="false">Q22+Summary!$C$26</f>
        <v>0.185</v>
      </c>
      <c r="S22" s="129"/>
      <c r="T22" s="132" t="n">
        <f aca="false">X22</f>
        <v>40544</v>
      </c>
      <c r="U22" s="133" t="n">
        <f aca="false">T22-$C$3</f>
        <v>3539</v>
      </c>
      <c r="V22" s="134"/>
      <c r="W22" s="61" t="n">
        <f aca="false">A23-A22</f>
        <v>31</v>
      </c>
      <c r="X22" s="135" t="n">
        <f aca="false">CHOOSE(F$3,A23+24,A22)</f>
        <v>40544</v>
      </c>
      <c r="Y22" s="61" t="n">
        <f aca="false">X22-C$3</f>
        <v>3539</v>
      </c>
      <c r="Z22" s="136" t="n">
        <f aca="false">VLOOKUP($A22,[1]!CurveTable,MATCH($Z$4,[1]!CurveType,0))</f>
        <v>0.0617875348790591</v>
      </c>
      <c r="AA22" s="137" t="n">
        <f aca="false">1/(1+CHOOSE(F$3,(Z23+($K$3/10000))/2,(Z22+($K$3/10000))/2))^(2*Y22/365.25)</f>
        <v>0.554541514129411</v>
      </c>
      <c r="AB22" s="61" t="n">
        <f aca="false">IF(AND(mthbeg&lt;=A22,mthend&gt;=A22),1,0)</f>
        <v>1</v>
      </c>
      <c r="AC22" s="61" t="n">
        <f aca="false">W22*AB22</f>
        <v>31</v>
      </c>
      <c r="AD22" s="121" t="n">
        <f aca="false">$D22*E22</f>
        <v>17167200.1468856</v>
      </c>
      <c r="AE22" s="121" t="n">
        <f aca="false">$D22*F22</f>
        <v>0</v>
      </c>
      <c r="AF22" s="121" t="n">
        <f aca="false">$D22*G22</f>
        <v>17167200.1468856</v>
      </c>
      <c r="AG22" s="121" t="n">
        <f aca="false">$D22*H22</f>
        <v>0</v>
      </c>
      <c r="AH22" s="121" t="n">
        <f aca="false">$D22*I22</f>
        <v>0</v>
      </c>
      <c r="AI22" s="121" t="n">
        <f aca="false">$D22*J22</f>
        <v>0</v>
      </c>
      <c r="AJ22" s="121" t="n">
        <f aca="false">$D22*K22</f>
        <v>0</v>
      </c>
      <c r="AK22" s="121" t="n">
        <f aca="false">$D22*L22</f>
        <v>0</v>
      </c>
      <c r="AL22" s="121" t="n">
        <f aca="false">$D22*M22</f>
        <v>0</v>
      </c>
      <c r="AM22" s="125"/>
      <c r="AO22" s="75" t="e">
        <f aca="false">EURO(N22,O22,Z22,Z22,R22,U22,1,0)</f>
        <v>#NAME?</v>
      </c>
      <c r="AP22" s="138" t="e">
        <f aca="false">AO22*C22</f>
        <v>#NAME?</v>
      </c>
      <c r="AQ22" s="61" t="e">
        <f aca="false">EURO(N22,O22,Z22,Z22,R22,U22,1,1)</f>
        <v>#NAME?</v>
      </c>
      <c r="AR22" s="61" t="e">
        <f aca="false">AQ22+Put!AQ22</f>
        <v>#NAME?</v>
      </c>
      <c r="AS22" s="138" t="e">
        <f aca="false">AR22*C22</f>
        <v>#NAME?</v>
      </c>
      <c r="AT22" s="120" t="e">
        <f aca="false">AS22/10000</f>
        <v>#NAME?</v>
      </c>
    </row>
    <row r="23" customFormat="false" ht="12.75" hidden="false" customHeight="false" outlineLevel="0" collapsed="false">
      <c r="A23" s="127" t="n">
        <f aca="false">EDATE(A22,1)</f>
        <v>40575</v>
      </c>
      <c r="B23" s="128" t="n">
        <f aca="false">B22</f>
        <v>205479</v>
      </c>
      <c r="C23" s="116" t="n">
        <f aca="false">IF(AB23=0,0,IF(AND(AB23=1,$H$3=1),B23*W23,IF($H$3=2,B23,"N/A")))</f>
        <v>5753412</v>
      </c>
      <c r="D23" s="116" t="n">
        <f aca="false">C23*AA23</f>
        <v>3170987.28079603</v>
      </c>
      <c r="E23" s="129" t="n">
        <f aca="false">VLOOKUP($A23,[1]!CurveTable,MATCH($E$4,[1]!CurveType,0))</f>
        <v>4.74</v>
      </c>
      <c r="F23" s="130"/>
      <c r="G23" s="131" t="n">
        <f aca="false">E23</f>
        <v>4.74</v>
      </c>
      <c r="H23" s="129" t="n">
        <f aca="false">VLOOKUP($A23,[1]!CurveTable,MATCH($H$4,[1]!CurveType,0))</f>
        <v>0</v>
      </c>
      <c r="I23" s="131"/>
      <c r="J23" s="131" t="n">
        <f aca="false">H23</f>
        <v>0</v>
      </c>
      <c r="K23" s="129"/>
      <c r="L23" s="131"/>
      <c r="M23" s="131"/>
      <c r="N23" s="131" t="n">
        <f aca="false">G23+J23+M23+$N$7</f>
        <v>4.45</v>
      </c>
      <c r="O23" s="131" t="n">
        <f aca="false">Summary!$E$16</f>
        <v>9.81903240236408</v>
      </c>
      <c r="P23" s="131"/>
      <c r="Q23" s="129" t="n">
        <f aca="false">VLOOKUP($A23,[1]!CurveTable,MATCH($Q$4,[1]!CurveType,0))</f>
        <v>0.185</v>
      </c>
      <c r="R23" s="129" t="n">
        <f aca="false">Q23+Summary!$C$26</f>
        <v>0.185</v>
      </c>
      <c r="S23" s="129"/>
      <c r="T23" s="132" t="n">
        <f aca="false">X23</f>
        <v>40575</v>
      </c>
      <c r="U23" s="133" t="n">
        <f aca="false">T23-$C$3</f>
        <v>3570</v>
      </c>
      <c r="V23" s="134"/>
      <c r="W23" s="61" t="n">
        <f aca="false">A24-A23</f>
        <v>28</v>
      </c>
      <c r="X23" s="135" t="n">
        <f aca="false">CHOOSE(F$3,A24+24,A23)</f>
        <v>40575</v>
      </c>
      <c r="Y23" s="61" t="n">
        <f aca="false">X23-C$3</f>
        <v>3570</v>
      </c>
      <c r="Z23" s="136" t="n">
        <f aca="false">VLOOKUP($A23,[1]!CurveTable,MATCH($Z$4,[1]!CurveType,0))</f>
        <v>0.0618900281108901</v>
      </c>
      <c r="AA23" s="137" t="n">
        <f aca="false">1/(1+CHOOSE(F$3,(Z24+($K$3/10000))/2,(Z23+($K$3/10000))/2))^(2*Y23/365.25)</f>
        <v>0.551149001809019</v>
      </c>
      <c r="AB23" s="61" t="n">
        <f aca="false">IF(AND(mthbeg&lt;=A23,mthend&gt;=A23),1,0)</f>
        <v>1</v>
      </c>
      <c r="AC23" s="61" t="n">
        <f aca="false">W23*AB23</f>
        <v>28</v>
      </c>
      <c r="AD23" s="121" t="n">
        <f aca="false">$D23*E23</f>
        <v>15030479.7109732</v>
      </c>
      <c r="AE23" s="121" t="n">
        <f aca="false">$D23*F23</f>
        <v>0</v>
      </c>
      <c r="AF23" s="121" t="n">
        <f aca="false">$D23*G23</f>
        <v>15030479.7109732</v>
      </c>
      <c r="AG23" s="121" t="n">
        <f aca="false">$D23*H23</f>
        <v>0</v>
      </c>
      <c r="AH23" s="121" t="n">
        <f aca="false">$D23*I23</f>
        <v>0</v>
      </c>
      <c r="AI23" s="121" t="n">
        <f aca="false">$D23*J23</f>
        <v>0</v>
      </c>
      <c r="AJ23" s="121" t="n">
        <f aca="false">$D23*K23</f>
        <v>0</v>
      </c>
      <c r="AK23" s="121" t="n">
        <f aca="false">$D23*L23</f>
        <v>0</v>
      </c>
      <c r="AL23" s="121" t="n">
        <f aca="false">$D23*M23</f>
        <v>0</v>
      </c>
      <c r="AM23" s="125"/>
      <c r="AO23" s="75" t="e">
        <f aca="false">EURO(N23,O23,Z23,Z23,R23,U23,1,0)</f>
        <v>#NAME?</v>
      </c>
      <c r="AP23" s="138" t="e">
        <f aca="false">AO23*C23</f>
        <v>#NAME?</v>
      </c>
      <c r="AQ23" s="61" t="e">
        <f aca="false">EURO(N23,O23,Z23,Z23,R23,U23,1,1)</f>
        <v>#NAME?</v>
      </c>
      <c r="AR23" s="61" t="e">
        <f aca="false">AQ23+Put!AQ23</f>
        <v>#NAME?</v>
      </c>
      <c r="AS23" s="138" t="e">
        <f aca="false">AR23*C23</f>
        <v>#NAME?</v>
      </c>
      <c r="AT23" s="120" t="e">
        <f aca="false">AS23/10000</f>
        <v>#NAME?</v>
      </c>
    </row>
    <row r="24" customFormat="false" ht="12.75" hidden="false" customHeight="false" outlineLevel="0" collapsed="false">
      <c r="A24" s="127" t="n">
        <f aca="false">EDATE(A23,1)</f>
        <v>40603</v>
      </c>
      <c r="B24" s="128" t="n">
        <f aca="false">B23</f>
        <v>205479</v>
      </c>
      <c r="C24" s="116" t="n">
        <f aca="false">IF(AB24=0,0,IF(AND(AB24=1,$H$3=1),B24*W24,IF($H$3=2,B24,"N/A")))</f>
        <v>6369849</v>
      </c>
      <c r="D24" s="116" t="n">
        <f aca="false">C24*AA24</f>
        <v>3491280.55313585</v>
      </c>
      <c r="E24" s="129" t="n">
        <f aca="false">VLOOKUP($A24,[1]!CurveTable,MATCH($E$4,[1]!CurveType,0))</f>
        <v>4.601</v>
      </c>
      <c r="F24" s="130"/>
      <c r="G24" s="131" t="n">
        <f aca="false">E24</f>
        <v>4.601</v>
      </c>
      <c r="H24" s="129" t="n">
        <f aca="false">VLOOKUP($A24,[1]!CurveTable,MATCH($H$4,[1]!CurveType,0))</f>
        <v>0</v>
      </c>
      <c r="I24" s="131"/>
      <c r="J24" s="131" t="n">
        <f aca="false">H24</f>
        <v>0</v>
      </c>
      <c r="K24" s="129"/>
      <c r="L24" s="131"/>
      <c r="M24" s="131"/>
      <c r="N24" s="131" t="n">
        <f aca="false">G24+J24+M24+$N$7</f>
        <v>4.311</v>
      </c>
      <c r="O24" s="131" t="n">
        <f aca="false">Summary!$E$16</f>
        <v>9.81903240236408</v>
      </c>
      <c r="P24" s="131"/>
      <c r="Q24" s="129" t="n">
        <f aca="false">VLOOKUP($A24,[1]!CurveTable,MATCH($Q$4,[1]!CurveType,0))</f>
        <v>0.18</v>
      </c>
      <c r="R24" s="129" t="n">
        <f aca="false">Q24+Summary!$C$26</f>
        <v>0.18</v>
      </c>
      <c r="S24" s="129"/>
      <c r="T24" s="132" t="n">
        <f aca="false">X24</f>
        <v>40603</v>
      </c>
      <c r="U24" s="133" t="n">
        <f aca="false">T24-$C$3</f>
        <v>3598</v>
      </c>
      <c r="V24" s="134"/>
      <c r="W24" s="61" t="n">
        <f aca="false">A25-A24</f>
        <v>31</v>
      </c>
      <c r="X24" s="135" t="n">
        <f aca="false">CHOOSE(F$3,A25+24,A24)</f>
        <v>40603</v>
      </c>
      <c r="Y24" s="61" t="n">
        <f aca="false">X24-C$3</f>
        <v>3598</v>
      </c>
      <c r="Z24" s="136" t="n">
        <f aca="false">VLOOKUP($A24,[1]!CurveTable,MATCH($Z$4,[1]!CurveType,0))</f>
        <v>0.0619826026458643</v>
      </c>
      <c r="AA24" s="137" t="n">
        <f aca="false">1/(1+CHOOSE(F$3,(Z25+($K$3/10000))/2,(Z24+($K$3/10000))/2))^(2*Y24/365.25)</f>
        <v>0.548094711999585</v>
      </c>
      <c r="AB24" s="61" t="n">
        <f aca="false">IF(AND(mthbeg&lt;=A24,mthend&gt;=A24),1,0)</f>
        <v>1</v>
      </c>
      <c r="AC24" s="61" t="n">
        <f aca="false">W24*AB24</f>
        <v>31</v>
      </c>
      <c r="AD24" s="121" t="n">
        <f aca="false">$D24*E24</f>
        <v>16063381.824978</v>
      </c>
      <c r="AE24" s="121" t="n">
        <f aca="false">$D24*F24</f>
        <v>0</v>
      </c>
      <c r="AF24" s="121" t="n">
        <f aca="false">$D24*G24</f>
        <v>16063381.824978</v>
      </c>
      <c r="AG24" s="121" t="n">
        <f aca="false">$D24*H24</f>
        <v>0</v>
      </c>
      <c r="AH24" s="121" t="n">
        <f aca="false">$D24*I24</f>
        <v>0</v>
      </c>
      <c r="AI24" s="121" t="n">
        <f aca="false">$D24*J24</f>
        <v>0</v>
      </c>
      <c r="AJ24" s="121" t="n">
        <f aca="false">$D24*K24</f>
        <v>0</v>
      </c>
      <c r="AK24" s="121" t="n">
        <f aca="false">$D24*L24</f>
        <v>0</v>
      </c>
      <c r="AL24" s="121" t="n">
        <f aca="false">$D24*M24</f>
        <v>0</v>
      </c>
      <c r="AM24" s="125"/>
      <c r="AO24" s="75" t="e">
        <f aca="false">EURO(N24,O24,Z24,Z24,R24,U24,1,0)</f>
        <v>#NAME?</v>
      </c>
      <c r="AP24" s="138" t="e">
        <f aca="false">AO24*C24</f>
        <v>#NAME?</v>
      </c>
      <c r="AQ24" s="61" t="e">
        <f aca="false">EURO(N24,O24,Z24,Z24,R24,U24,1,1)</f>
        <v>#NAME?</v>
      </c>
      <c r="AR24" s="61" t="e">
        <f aca="false">AQ24+Put!AQ24</f>
        <v>#NAME?</v>
      </c>
      <c r="AS24" s="138" t="e">
        <f aca="false">AR24*C24</f>
        <v>#NAME?</v>
      </c>
      <c r="AT24" s="120" t="e">
        <f aca="false">AS24/10000</f>
        <v>#NAME?</v>
      </c>
    </row>
    <row r="25" customFormat="false" ht="12.75" hidden="false" customHeight="false" outlineLevel="0" collapsed="false">
      <c r="A25" s="127" t="n">
        <f aca="false">EDATE(A24,1)</f>
        <v>40634</v>
      </c>
      <c r="B25" s="128" t="n">
        <f aca="false">B24</f>
        <v>205479</v>
      </c>
      <c r="C25" s="116" t="n">
        <f aca="false">IF(AB25=0,0,IF(AND(AB25=1,$H$3=1),B25*W25,IF($H$3=2,B25,"N/A")))</f>
        <v>6164370</v>
      </c>
      <c r="D25" s="116" t="n">
        <f aca="false">C25*AA25</f>
        <v>3357881.47967493</v>
      </c>
      <c r="E25" s="129" t="n">
        <f aca="false">VLOOKUP($A25,[1]!CurveTable,MATCH($E$4,[1]!CurveType,0))</f>
        <v>4.431</v>
      </c>
      <c r="F25" s="130"/>
      <c r="G25" s="131" t="n">
        <f aca="false">E25</f>
        <v>4.431</v>
      </c>
      <c r="H25" s="129" t="n">
        <f aca="false">VLOOKUP($A25,[1]!CurveTable,MATCH($H$4,[1]!CurveType,0))</f>
        <v>0</v>
      </c>
      <c r="I25" s="131"/>
      <c r="J25" s="131" t="n">
        <f aca="false">H25</f>
        <v>0</v>
      </c>
      <c r="K25" s="129"/>
      <c r="L25" s="131"/>
      <c r="M25" s="131"/>
      <c r="N25" s="131" t="n">
        <f aca="false">G25+J25+M25+$N$7</f>
        <v>4.141</v>
      </c>
      <c r="O25" s="131" t="n">
        <f aca="false">Summary!$E$16</f>
        <v>9.81903240236408</v>
      </c>
      <c r="P25" s="131"/>
      <c r="Q25" s="129" t="n">
        <f aca="false">VLOOKUP($A25,[1]!CurveTable,MATCH($Q$4,[1]!CurveType,0))</f>
        <v>0.18</v>
      </c>
      <c r="R25" s="129" t="n">
        <f aca="false">Q25+Summary!$C$26</f>
        <v>0.18</v>
      </c>
      <c r="S25" s="129"/>
      <c r="T25" s="132" t="n">
        <f aca="false">X25</f>
        <v>40634</v>
      </c>
      <c r="U25" s="133" t="n">
        <f aca="false">T25-$C$3</f>
        <v>3629</v>
      </c>
      <c r="V25" s="134"/>
      <c r="W25" s="61" t="n">
        <f aca="false">A26-A25</f>
        <v>30</v>
      </c>
      <c r="X25" s="135" t="n">
        <f aca="false">CHOOSE(F$3,A26+24,A25)</f>
        <v>40634</v>
      </c>
      <c r="Y25" s="61" t="n">
        <f aca="false">X25-C$3</f>
        <v>3629</v>
      </c>
      <c r="Z25" s="136" t="n">
        <f aca="false">VLOOKUP($A25,[1]!CurveTable,MATCH($Z$4,[1]!CurveType,0))</f>
        <v>0.0620850958843318</v>
      </c>
      <c r="AA25" s="137" t="n">
        <f aca="false">1/(1+CHOOSE(F$3,(Z26+($K$3/10000))/2,(Z25+($K$3/10000))/2))^(2*Y25/365.25)</f>
        <v>0.544724193984937</v>
      </c>
      <c r="AB25" s="61" t="n">
        <f aca="false">IF(AND(mthbeg&lt;=A25,mthend&gt;=A25),1,0)</f>
        <v>1</v>
      </c>
      <c r="AC25" s="61" t="n">
        <f aca="false">W25*AB25</f>
        <v>30</v>
      </c>
      <c r="AD25" s="121" t="n">
        <f aca="false">$D25*E25</f>
        <v>14878772.8364396</v>
      </c>
      <c r="AE25" s="121" t="n">
        <f aca="false">$D25*F25</f>
        <v>0</v>
      </c>
      <c r="AF25" s="121" t="n">
        <f aca="false">$D25*G25</f>
        <v>14878772.8364396</v>
      </c>
      <c r="AG25" s="121" t="n">
        <f aca="false">$D25*H25</f>
        <v>0</v>
      </c>
      <c r="AH25" s="121" t="n">
        <f aca="false">$D25*I25</f>
        <v>0</v>
      </c>
      <c r="AI25" s="121" t="n">
        <f aca="false">$D25*J25</f>
        <v>0</v>
      </c>
      <c r="AJ25" s="121" t="n">
        <f aca="false">$D25*K25</f>
        <v>0</v>
      </c>
      <c r="AK25" s="121" t="n">
        <f aca="false">$D25*L25</f>
        <v>0</v>
      </c>
      <c r="AL25" s="121" t="n">
        <f aca="false">$D25*M25</f>
        <v>0</v>
      </c>
      <c r="AM25" s="125"/>
      <c r="AO25" s="75" t="e">
        <f aca="false">EURO(N25,O25,Z25,Z25,R25,U25,1,0)</f>
        <v>#NAME?</v>
      </c>
      <c r="AP25" s="138" t="e">
        <f aca="false">AO25*C25</f>
        <v>#NAME?</v>
      </c>
      <c r="AQ25" s="61" t="e">
        <f aca="false">EURO(N25,O25,Z25,Z25,R25,U25,1,1)</f>
        <v>#NAME?</v>
      </c>
      <c r="AR25" s="61" t="e">
        <f aca="false">AQ25+Put!AQ25</f>
        <v>#NAME?</v>
      </c>
      <c r="AS25" s="138" t="e">
        <f aca="false">AR25*C25</f>
        <v>#NAME?</v>
      </c>
      <c r="AT25" s="120" t="e">
        <f aca="false">AS25/10000</f>
        <v>#NAME?</v>
      </c>
    </row>
    <row r="26" customFormat="false" ht="12.75" hidden="false" customHeight="false" outlineLevel="0" collapsed="false">
      <c r="A26" s="127" t="n">
        <f aca="false">EDATE(A25,1)</f>
        <v>40664</v>
      </c>
      <c r="B26" s="128" t="n">
        <f aca="false">B25</f>
        <v>205479</v>
      </c>
      <c r="C26" s="116" t="n">
        <f aca="false">IF(AB26=0,0,IF(AND(AB26=1,$H$3=1),B26*W26,IF($H$3=2,B26,"N/A")))</f>
        <v>6369849</v>
      </c>
      <c r="D26" s="116" t="n">
        <f aca="false">C26*AA26</f>
        <v>3449428.38425087</v>
      </c>
      <c r="E26" s="129" t="n">
        <f aca="false">VLOOKUP($A26,[1]!CurveTable,MATCH($E$4,[1]!CurveType,0))</f>
        <v>4.49</v>
      </c>
      <c r="F26" s="130"/>
      <c r="G26" s="131" t="n">
        <f aca="false">E26</f>
        <v>4.49</v>
      </c>
      <c r="H26" s="129" t="n">
        <f aca="false">VLOOKUP($A26,[1]!CurveTable,MATCH($H$4,[1]!CurveType,0))</f>
        <v>0</v>
      </c>
      <c r="I26" s="131"/>
      <c r="J26" s="131" t="n">
        <f aca="false">H26</f>
        <v>0</v>
      </c>
      <c r="K26" s="129"/>
      <c r="L26" s="131"/>
      <c r="M26" s="131"/>
      <c r="N26" s="131" t="n">
        <f aca="false">G26+J26+M26+$N$7</f>
        <v>4.2</v>
      </c>
      <c r="O26" s="131" t="n">
        <f aca="false">Summary!$E$16</f>
        <v>9.81903240236408</v>
      </c>
      <c r="P26" s="131"/>
      <c r="Q26" s="129" t="n">
        <f aca="false">VLOOKUP($A26,[1]!CurveTable,MATCH($Q$4,[1]!CurveType,0))</f>
        <v>0.18</v>
      </c>
      <c r="R26" s="129" t="n">
        <f aca="false">Q26+Summary!$C$26</f>
        <v>0.18</v>
      </c>
      <c r="S26" s="129"/>
      <c r="T26" s="132" t="n">
        <f aca="false">X26</f>
        <v>40664</v>
      </c>
      <c r="U26" s="133" t="n">
        <f aca="false">T26-$C$3</f>
        <v>3659</v>
      </c>
      <c r="V26" s="134"/>
      <c r="W26" s="61" t="n">
        <f aca="false">A27-A26</f>
        <v>31</v>
      </c>
      <c r="X26" s="135" t="n">
        <f aca="false">CHOOSE(F$3,A27+24,A26)</f>
        <v>40664</v>
      </c>
      <c r="Y26" s="61" t="n">
        <f aca="false">X26-C$3</f>
        <v>3659</v>
      </c>
      <c r="Z26" s="136" t="n">
        <f aca="false">VLOOKUP($A26,[1]!CurveTable,MATCH($Z$4,[1]!CurveType,0))</f>
        <v>0.0621746094126641</v>
      </c>
      <c r="AA26" s="137" t="n">
        <f aca="false">1/(1+CHOOSE(F$3,(Z27+($K$3/10000))/2,(Z26+($K$3/10000))/2))^(2*Y26/365.25)</f>
        <v>0.541524357053184</v>
      </c>
      <c r="AB26" s="61" t="n">
        <f aca="false">IF(AND(mthbeg&lt;=A26,mthend&gt;=A26),1,0)</f>
        <v>1</v>
      </c>
      <c r="AC26" s="61" t="n">
        <f aca="false">W26*AB26</f>
        <v>31</v>
      </c>
      <c r="AD26" s="121" t="n">
        <f aca="false">$D26*E26</f>
        <v>15487933.4452864</v>
      </c>
      <c r="AE26" s="121" t="n">
        <f aca="false">$D26*F26</f>
        <v>0</v>
      </c>
      <c r="AF26" s="121" t="n">
        <f aca="false">$D26*G26</f>
        <v>15487933.4452864</v>
      </c>
      <c r="AG26" s="121" t="n">
        <f aca="false">$D26*H26</f>
        <v>0</v>
      </c>
      <c r="AH26" s="121" t="n">
        <f aca="false">$D26*I26</f>
        <v>0</v>
      </c>
      <c r="AI26" s="121" t="n">
        <f aca="false">$D26*J26</f>
        <v>0</v>
      </c>
      <c r="AJ26" s="121" t="n">
        <f aca="false">$D26*K26</f>
        <v>0</v>
      </c>
      <c r="AK26" s="121" t="n">
        <f aca="false">$D26*L26</f>
        <v>0</v>
      </c>
      <c r="AL26" s="121" t="n">
        <f aca="false">$D26*M26</f>
        <v>0</v>
      </c>
      <c r="AM26" s="125"/>
      <c r="AO26" s="75" t="e">
        <f aca="false">EURO(N26,O26,Z26,Z26,R26,U26,1,0)</f>
        <v>#NAME?</v>
      </c>
      <c r="AP26" s="138" t="e">
        <f aca="false">AO26*C26</f>
        <v>#NAME?</v>
      </c>
      <c r="AQ26" s="61" t="e">
        <f aca="false">EURO(N26,O26,Z26,Z26,R26,U26,1,1)</f>
        <v>#NAME?</v>
      </c>
      <c r="AR26" s="61" t="e">
        <f aca="false">AQ26+Put!AQ26</f>
        <v>#NAME?</v>
      </c>
      <c r="AS26" s="138" t="e">
        <f aca="false">AR26*C26</f>
        <v>#NAME?</v>
      </c>
      <c r="AT26" s="120" t="e">
        <f aca="false">AS26/10000</f>
        <v>#NAME?</v>
      </c>
    </row>
    <row r="27" customFormat="false" ht="12.75" hidden="false" customHeight="false" outlineLevel="0" collapsed="false">
      <c r="A27" s="127" t="n">
        <f aca="false">EDATE(A26,1)</f>
        <v>40695</v>
      </c>
      <c r="B27" s="128" t="n">
        <f aca="false">B26</f>
        <v>205479</v>
      </c>
      <c r="C27" s="116" t="n">
        <f aca="false">IF(AB27=0,0,IF(AND(AB27=1,$H$3=1),B27*W27,IF($H$3=2,B27,"N/A")))</f>
        <v>6164370</v>
      </c>
      <c r="D27" s="116" t="n">
        <f aca="false">C27*AA27</f>
        <v>3319471.27270409</v>
      </c>
      <c r="E27" s="129" t="n">
        <f aca="false">VLOOKUP($A27,[1]!CurveTable,MATCH($E$4,[1]!CurveType,0))</f>
        <v>4.53</v>
      </c>
      <c r="F27" s="130"/>
      <c r="G27" s="131" t="n">
        <f aca="false">E27</f>
        <v>4.53</v>
      </c>
      <c r="H27" s="129" t="n">
        <f aca="false">VLOOKUP($A27,[1]!CurveTable,MATCH($H$4,[1]!CurveType,0))</f>
        <v>0</v>
      </c>
      <c r="I27" s="131"/>
      <c r="J27" s="131" t="n">
        <f aca="false">H27</f>
        <v>0</v>
      </c>
      <c r="K27" s="129"/>
      <c r="L27" s="131"/>
      <c r="M27" s="131"/>
      <c r="N27" s="131" t="n">
        <f aca="false">G27+J27+M27+$N$7</f>
        <v>4.24</v>
      </c>
      <c r="O27" s="131" t="n">
        <f aca="false">Summary!$E$16</f>
        <v>9.81903240236408</v>
      </c>
      <c r="P27" s="131"/>
      <c r="Q27" s="129" t="n">
        <f aca="false">VLOOKUP($A27,[1]!CurveTable,MATCH($Q$4,[1]!CurveType,0))</f>
        <v>0.18</v>
      </c>
      <c r="R27" s="129" t="n">
        <f aca="false">Q27+Summary!$C$26</f>
        <v>0.18</v>
      </c>
      <c r="S27" s="129"/>
      <c r="T27" s="132" t="n">
        <f aca="false">X27</f>
        <v>40695</v>
      </c>
      <c r="U27" s="133" t="n">
        <f aca="false">T27-$C$3</f>
        <v>3690</v>
      </c>
      <c r="V27" s="134"/>
      <c r="W27" s="61" t="n">
        <f aca="false">A28-A27</f>
        <v>30</v>
      </c>
      <c r="X27" s="135" t="n">
        <f aca="false">CHOOSE(F$3,A28+24,A27)</f>
        <v>40695</v>
      </c>
      <c r="Y27" s="61" t="n">
        <f aca="false">X27-C$3</f>
        <v>3690</v>
      </c>
      <c r="Z27" s="136" t="n">
        <f aca="false">VLOOKUP($A27,[1]!CurveTable,MATCH($Z$4,[1]!CurveType,0))</f>
        <v>0.0622171270805874</v>
      </c>
      <c r="AA27" s="137" t="n">
        <f aca="false">1/(1+CHOOSE(F$3,(Z28+($K$3/10000))/2,(Z27+($K$3/10000))/2))^(2*Y27/365.25)</f>
        <v>0.538493191145906</v>
      </c>
      <c r="AB27" s="61" t="n">
        <f aca="false">IF(AND(mthbeg&lt;=A27,mthend&gt;=A27),1,0)</f>
        <v>1</v>
      </c>
      <c r="AC27" s="61" t="n">
        <f aca="false">W27*AB27</f>
        <v>30</v>
      </c>
      <c r="AD27" s="121" t="n">
        <f aca="false">$D27*E27</f>
        <v>15037204.8653495</v>
      </c>
      <c r="AE27" s="121" t="n">
        <f aca="false">$D27*F27</f>
        <v>0</v>
      </c>
      <c r="AF27" s="121" t="n">
        <f aca="false">$D27*G27</f>
        <v>15037204.8653495</v>
      </c>
      <c r="AG27" s="121" t="n">
        <f aca="false">$D27*H27</f>
        <v>0</v>
      </c>
      <c r="AH27" s="121" t="n">
        <f aca="false">$D27*I27</f>
        <v>0</v>
      </c>
      <c r="AI27" s="121" t="n">
        <f aca="false">$D27*J27</f>
        <v>0</v>
      </c>
      <c r="AJ27" s="121" t="n">
        <f aca="false">$D27*K27</f>
        <v>0</v>
      </c>
      <c r="AK27" s="121" t="n">
        <f aca="false">$D27*L27</f>
        <v>0</v>
      </c>
      <c r="AL27" s="121" t="n">
        <f aca="false">$D27*M27</f>
        <v>0</v>
      </c>
      <c r="AM27" s="125"/>
      <c r="AO27" s="75" t="e">
        <f aca="false">EURO(N27,O27,Z27,Z27,R27,U27,1,0)</f>
        <v>#NAME?</v>
      </c>
      <c r="AP27" s="138" t="e">
        <f aca="false">AO27*C27</f>
        <v>#NAME?</v>
      </c>
      <c r="AQ27" s="61" t="e">
        <f aca="false">EURO(N27,O27,Z27,Z27,R27,U27,1,1)</f>
        <v>#NAME?</v>
      </c>
      <c r="AR27" s="61" t="e">
        <f aca="false">AQ27+Put!AQ27</f>
        <v>#NAME?</v>
      </c>
      <c r="AS27" s="138" t="e">
        <f aca="false">AR27*C27</f>
        <v>#NAME?</v>
      </c>
      <c r="AT27" s="120" t="e">
        <f aca="false">AS27/10000</f>
        <v>#NAME?</v>
      </c>
    </row>
    <row r="28" customFormat="false" ht="12.75" hidden="false" customHeight="false" outlineLevel="0" collapsed="false">
      <c r="A28" s="127" t="n">
        <f aca="false">EDATE(A27,1)</f>
        <v>40725</v>
      </c>
      <c r="B28" s="128" t="n">
        <f aca="false">B27</f>
        <v>205479</v>
      </c>
      <c r="C28" s="116" t="n">
        <f aca="false">IF(AB28=0,0,IF(AND(AB28=1,$H$3=1),B28*W28,IF($H$3=2,B28,"N/A")))</f>
        <v>6369849</v>
      </c>
      <c r="D28" s="116" t="n">
        <f aca="false">C28*AA28</f>
        <v>3411515.28812844</v>
      </c>
      <c r="E28" s="129" t="n">
        <f aca="false">VLOOKUP($A28,[1]!CurveTable,MATCH($E$4,[1]!CurveType,0))</f>
        <v>4.575</v>
      </c>
      <c r="F28" s="130"/>
      <c r="G28" s="131" t="n">
        <f aca="false">E28</f>
        <v>4.575</v>
      </c>
      <c r="H28" s="129" t="n">
        <f aca="false">VLOOKUP($A28,[1]!CurveTable,MATCH($H$4,[1]!CurveType,0))</f>
        <v>0</v>
      </c>
      <c r="I28" s="131"/>
      <c r="J28" s="131" t="n">
        <f aca="false">H28</f>
        <v>0</v>
      </c>
      <c r="K28" s="129"/>
      <c r="L28" s="131"/>
      <c r="M28" s="131"/>
      <c r="N28" s="131" t="n">
        <f aca="false">G28+J28+M28+$N$7</f>
        <v>4.285</v>
      </c>
      <c r="O28" s="131" t="n">
        <f aca="false">Summary!$E$16</f>
        <v>9.81903240236408</v>
      </c>
      <c r="P28" s="131"/>
      <c r="Q28" s="129" t="n">
        <f aca="false">VLOOKUP($A28,[1]!CurveTable,MATCH($Q$4,[1]!CurveType,0))</f>
        <v>0.18</v>
      </c>
      <c r="R28" s="129" t="n">
        <f aca="false">Q28+Summary!$C$26</f>
        <v>0.18</v>
      </c>
      <c r="S28" s="129"/>
      <c r="T28" s="132" t="n">
        <f aca="false">X28</f>
        <v>40725</v>
      </c>
      <c r="U28" s="133" t="n">
        <f aca="false">T28-$C$3</f>
        <v>3720</v>
      </c>
      <c r="V28" s="134"/>
      <c r="W28" s="61" t="n">
        <f aca="false">A29-A28</f>
        <v>31</v>
      </c>
      <c r="X28" s="135" t="n">
        <f aca="false">CHOOSE(F$3,A29+24,A28)</f>
        <v>40725</v>
      </c>
      <c r="Y28" s="61" t="n">
        <f aca="false">X28-C$3</f>
        <v>3720</v>
      </c>
      <c r="Z28" s="136" t="n">
        <f aca="false">VLOOKUP($A28,[1]!CurveTable,MATCH($Z$4,[1]!CurveType,0))</f>
        <v>0.0622582732114063</v>
      </c>
      <c r="AA28" s="137" t="n">
        <f aca="false">1/(1+CHOOSE(F$3,(Z29+($K$3/10000))/2,(Z28+($K$3/10000))/2))^(2*Y28/365.25)</f>
        <v>0.535572395535348</v>
      </c>
      <c r="AB28" s="61" t="n">
        <f aca="false">IF(AND(mthbeg&lt;=A28,mthend&gt;=A28),1,0)</f>
        <v>1</v>
      </c>
      <c r="AC28" s="61" t="n">
        <f aca="false">W28*AB28</f>
        <v>31</v>
      </c>
      <c r="AD28" s="121" t="n">
        <f aca="false">$D28*E28</f>
        <v>15607682.4431876</v>
      </c>
      <c r="AE28" s="121" t="n">
        <f aca="false">$D28*F28</f>
        <v>0</v>
      </c>
      <c r="AF28" s="121" t="n">
        <f aca="false">$D28*G28</f>
        <v>15607682.4431876</v>
      </c>
      <c r="AG28" s="121" t="n">
        <f aca="false">$D28*H28</f>
        <v>0</v>
      </c>
      <c r="AH28" s="121" t="n">
        <f aca="false">$D28*I28</f>
        <v>0</v>
      </c>
      <c r="AI28" s="121" t="n">
        <f aca="false">$D28*J28</f>
        <v>0</v>
      </c>
      <c r="AJ28" s="121" t="n">
        <f aca="false">$D28*K28</f>
        <v>0</v>
      </c>
      <c r="AK28" s="121" t="n">
        <f aca="false">$D28*L28</f>
        <v>0</v>
      </c>
      <c r="AL28" s="121" t="n">
        <f aca="false">$D28*M28</f>
        <v>0</v>
      </c>
      <c r="AM28" s="125"/>
      <c r="AO28" s="75" t="e">
        <f aca="false">EURO(N28,O28,Z28,Z28,R28,U28,1,0)</f>
        <v>#NAME?</v>
      </c>
      <c r="AP28" s="138" t="e">
        <f aca="false">AO28*C28</f>
        <v>#NAME?</v>
      </c>
      <c r="AQ28" s="61" t="e">
        <f aca="false">EURO(N28,O28,Z28,Z28,R28,U28,1,1)</f>
        <v>#NAME?</v>
      </c>
      <c r="AR28" s="61" t="e">
        <f aca="false">AQ28+Put!AQ28</f>
        <v>#NAME?</v>
      </c>
      <c r="AS28" s="138" t="e">
        <f aca="false">AR28*C28</f>
        <v>#NAME?</v>
      </c>
      <c r="AT28" s="120" t="e">
        <f aca="false">AS28/10000</f>
        <v>#NAME?</v>
      </c>
    </row>
    <row r="29" customFormat="false" ht="12.75" hidden="false" customHeight="false" outlineLevel="0" collapsed="false">
      <c r="A29" s="127" t="n">
        <f aca="false">EDATE(A28,1)</f>
        <v>40756</v>
      </c>
      <c r="B29" s="128" t="n">
        <f aca="false">B28</f>
        <v>205479</v>
      </c>
      <c r="C29" s="116" t="n">
        <f aca="false">IF(AB29=0,0,IF(AND(AB29=1,$H$3=1),B29*W29,IF($H$3=2,B29,"N/A")))</f>
        <v>6369849</v>
      </c>
      <c r="D29" s="116" t="n">
        <f aca="false">C29*AA29</f>
        <v>3392372.77025674</v>
      </c>
      <c r="E29" s="129" t="n">
        <f aca="false">VLOOKUP($A29,[1]!CurveTable,MATCH($E$4,[1]!CurveType,0))</f>
        <v>4.61</v>
      </c>
      <c r="F29" s="130"/>
      <c r="G29" s="131" t="n">
        <f aca="false">E29</f>
        <v>4.61</v>
      </c>
      <c r="H29" s="129" t="n">
        <f aca="false">VLOOKUP($A29,[1]!CurveTable,MATCH($H$4,[1]!CurveType,0))</f>
        <v>0</v>
      </c>
      <c r="I29" s="131"/>
      <c r="J29" s="131" t="n">
        <f aca="false">H29</f>
        <v>0</v>
      </c>
      <c r="K29" s="129"/>
      <c r="L29" s="131"/>
      <c r="M29" s="131"/>
      <c r="N29" s="131" t="n">
        <f aca="false">G29+J29+M29+$N$7</f>
        <v>4.32</v>
      </c>
      <c r="O29" s="131" t="n">
        <f aca="false">Summary!$E$16</f>
        <v>9.81903240236408</v>
      </c>
      <c r="P29" s="131"/>
      <c r="Q29" s="129" t="n">
        <f aca="false">VLOOKUP($A29,[1]!CurveTable,MATCH($Q$4,[1]!CurveType,0))</f>
        <v>0.18</v>
      </c>
      <c r="R29" s="129" t="n">
        <f aca="false">Q29+Summary!$C$26</f>
        <v>0.18</v>
      </c>
      <c r="S29" s="129"/>
      <c r="T29" s="132" t="n">
        <f aca="false">X29</f>
        <v>40756</v>
      </c>
      <c r="U29" s="133" t="n">
        <f aca="false">T29-$C$3</f>
        <v>3751</v>
      </c>
      <c r="V29" s="134"/>
      <c r="W29" s="61" t="n">
        <f aca="false">A30-A29</f>
        <v>31</v>
      </c>
      <c r="X29" s="135" t="n">
        <f aca="false">CHOOSE(F$3,A30+24,A29)</f>
        <v>40756</v>
      </c>
      <c r="Y29" s="61" t="n">
        <f aca="false">X29-C$3</f>
        <v>3751</v>
      </c>
      <c r="Z29" s="136" t="n">
        <f aca="false">VLOOKUP($A29,[1]!CurveTable,MATCH($Z$4,[1]!CurveType,0))</f>
        <v>0.06230079088051</v>
      </c>
      <c r="AA29" s="137" t="n">
        <f aca="false">1/(1+CHOOSE(F$3,(Z30+($K$3/10000))/2,(Z29+($K$3/10000))/2))^(2*Y29/365.25)</f>
        <v>0.532567219451629</v>
      </c>
      <c r="AB29" s="61" t="n">
        <f aca="false">IF(AND(mthbeg&lt;=A29,mthend&gt;=A29),1,0)</f>
        <v>1</v>
      </c>
      <c r="AC29" s="61" t="n">
        <f aca="false">W29*AB29</f>
        <v>31</v>
      </c>
      <c r="AD29" s="121" t="n">
        <f aca="false">$D29*E29</f>
        <v>15638838.4708836</v>
      </c>
      <c r="AE29" s="121" t="n">
        <f aca="false">$D29*F29</f>
        <v>0</v>
      </c>
      <c r="AF29" s="121" t="n">
        <f aca="false">$D29*G29</f>
        <v>15638838.4708836</v>
      </c>
      <c r="AG29" s="121" t="n">
        <f aca="false">$D29*H29</f>
        <v>0</v>
      </c>
      <c r="AH29" s="121" t="n">
        <f aca="false">$D29*I29</f>
        <v>0</v>
      </c>
      <c r="AI29" s="121" t="n">
        <f aca="false">$D29*J29</f>
        <v>0</v>
      </c>
      <c r="AJ29" s="121" t="n">
        <f aca="false">$D29*K29</f>
        <v>0</v>
      </c>
      <c r="AK29" s="121" t="n">
        <f aca="false">$D29*L29</f>
        <v>0</v>
      </c>
      <c r="AL29" s="121" t="n">
        <f aca="false">$D29*M29</f>
        <v>0</v>
      </c>
      <c r="AM29" s="125"/>
      <c r="AO29" s="75" t="e">
        <f aca="false">EURO(N29,O29,Z29,Z29,R29,U29,1,0)</f>
        <v>#NAME?</v>
      </c>
      <c r="AP29" s="138" t="e">
        <f aca="false">AO29*C29</f>
        <v>#NAME?</v>
      </c>
      <c r="AQ29" s="61" t="e">
        <f aca="false">EURO(N29,O29,Z29,Z29,R29,U29,1,1)</f>
        <v>#NAME?</v>
      </c>
      <c r="AR29" s="61" t="e">
        <f aca="false">AQ29+Put!AQ29</f>
        <v>#NAME?</v>
      </c>
      <c r="AS29" s="138" t="e">
        <f aca="false">AR29*C29</f>
        <v>#NAME?</v>
      </c>
      <c r="AT29" s="120" t="e">
        <f aca="false">AS29/10000</f>
        <v>#NAME?</v>
      </c>
    </row>
    <row r="30" customFormat="false" ht="12.75" hidden="false" customHeight="false" outlineLevel="0" collapsed="false">
      <c r="A30" s="127" t="n">
        <f aca="false">EDATE(A29,1)</f>
        <v>40787</v>
      </c>
      <c r="B30" s="128" t="n">
        <f aca="false">B29</f>
        <v>205479</v>
      </c>
      <c r="C30" s="116" t="n">
        <f aca="false">IF(AB30=0,0,IF(AND(AB30=1,$H$3=1),B30*W30,IF($H$3=2,B30,"N/A")))</f>
        <v>6164370</v>
      </c>
      <c r="D30" s="116" t="n">
        <f aca="false">C30*AA30</f>
        <v>3264497.49939643</v>
      </c>
      <c r="E30" s="129" t="n">
        <f aca="false">VLOOKUP($A30,[1]!CurveTable,MATCH($E$4,[1]!CurveType,0))</f>
        <v>4.615</v>
      </c>
      <c r="F30" s="130"/>
      <c r="G30" s="131" t="n">
        <f aca="false">E30</f>
        <v>4.615</v>
      </c>
      <c r="H30" s="129" t="n">
        <f aca="false">VLOOKUP($A30,[1]!CurveTable,MATCH($H$4,[1]!CurveType,0))</f>
        <v>0</v>
      </c>
      <c r="I30" s="131"/>
      <c r="J30" s="131" t="n">
        <f aca="false">H30</f>
        <v>0</v>
      </c>
      <c r="K30" s="129"/>
      <c r="L30" s="131"/>
      <c r="M30" s="131"/>
      <c r="N30" s="131" t="n">
        <f aca="false">G30+J30+M30+$N$7</f>
        <v>4.325</v>
      </c>
      <c r="O30" s="131" t="n">
        <f aca="false">Summary!$E$16</f>
        <v>9.81903240236408</v>
      </c>
      <c r="P30" s="131"/>
      <c r="Q30" s="129" t="n">
        <f aca="false">VLOOKUP($A30,[1]!CurveTable,MATCH($Q$4,[1]!CurveType,0))</f>
        <v>0.18</v>
      </c>
      <c r="R30" s="129" t="n">
        <f aca="false">Q30+Summary!$C$26</f>
        <v>0.18</v>
      </c>
      <c r="S30" s="129"/>
      <c r="T30" s="132" t="n">
        <f aca="false">X30</f>
        <v>40787</v>
      </c>
      <c r="U30" s="133" t="n">
        <f aca="false">T30-$C$3</f>
        <v>3782</v>
      </c>
      <c r="V30" s="134"/>
      <c r="W30" s="61" t="n">
        <f aca="false">A31-A30</f>
        <v>30</v>
      </c>
      <c r="X30" s="135" t="n">
        <f aca="false">CHOOSE(F$3,A31+24,A30)</f>
        <v>40787</v>
      </c>
      <c r="Y30" s="61" t="n">
        <f aca="false">X30-C$3</f>
        <v>3782</v>
      </c>
      <c r="Z30" s="136" t="n">
        <f aca="false">VLOOKUP($A30,[1]!CurveTable,MATCH($Z$4,[1]!CurveType,0))</f>
        <v>0.0623433085502136</v>
      </c>
      <c r="AA30" s="137" t="n">
        <f aca="false">1/(1+CHOOSE(F$3,(Z31+($K$3/10000))/2,(Z30+($K$3/10000))/2))^(2*Y30/365.25)</f>
        <v>0.529575203856424</v>
      </c>
      <c r="AB30" s="61" t="n">
        <f aca="false">IF(AND(mthbeg&lt;=A30,mthend&gt;=A30),1,0)</f>
        <v>1</v>
      </c>
      <c r="AC30" s="61" t="n">
        <f aca="false">W30*AB30</f>
        <v>30</v>
      </c>
      <c r="AD30" s="121" t="n">
        <f aca="false">$D30*E30</f>
        <v>15065655.9597145</v>
      </c>
      <c r="AE30" s="121" t="n">
        <f aca="false">$D30*F30</f>
        <v>0</v>
      </c>
      <c r="AF30" s="121" t="n">
        <f aca="false">$D30*G30</f>
        <v>15065655.9597145</v>
      </c>
      <c r="AG30" s="121" t="n">
        <f aca="false">$D30*H30</f>
        <v>0</v>
      </c>
      <c r="AH30" s="121" t="n">
        <f aca="false">$D30*I30</f>
        <v>0</v>
      </c>
      <c r="AI30" s="121" t="n">
        <f aca="false">$D30*J30</f>
        <v>0</v>
      </c>
      <c r="AJ30" s="121" t="n">
        <f aca="false">$D30*K30</f>
        <v>0</v>
      </c>
      <c r="AK30" s="121" t="n">
        <f aca="false">$D30*L30</f>
        <v>0</v>
      </c>
      <c r="AL30" s="121" t="n">
        <f aca="false">$D30*M30</f>
        <v>0</v>
      </c>
      <c r="AM30" s="125"/>
      <c r="AO30" s="75" t="e">
        <f aca="false">EURO(N30,O30,Z30,Z30,R30,U30,1,0)</f>
        <v>#NAME?</v>
      </c>
      <c r="AP30" s="138" t="e">
        <f aca="false">AO30*C30</f>
        <v>#NAME?</v>
      </c>
      <c r="AQ30" s="61" t="e">
        <f aca="false">EURO(N30,O30,Z30,Z30,R30,U30,1,1)</f>
        <v>#NAME?</v>
      </c>
      <c r="AR30" s="61" t="e">
        <f aca="false">AQ30+Put!AQ30</f>
        <v>#NAME?</v>
      </c>
      <c r="AS30" s="138" t="e">
        <f aca="false">AR30*C30</f>
        <v>#NAME?</v>
      </c>
      <c r="AT30" s="120" t="e">
        <f aca="false">AS30/10000</f>
        <v>#NAME?</v>
      </c>
    </row>
    <row r="31" customFormat="false" ht="12.75" hidden="false" customHeight="false" outlineLevel="0" collapsed="false">
      <c r="A31" s="127" t="n">
        <f aca="false">EDATE(A30,1)</f>
        <v>40817</v>
      </c>
      <c r="B31" s="128" t="n">
        <f aca="false">B30</f>
        <v>205479</v>
      </c>
      <c r="C31" s="116" t="n">
        <f aca="false">IF(AB31=0,0,IF(AND(AB31=1,$H$3=1),B31*W31,IF($H$3=2,B31,"N/A")))</f>
        <v>6369849</v>
      </c>
      <c r="D31" s="116" t="n">
        <f aca="false">C31*AA31</f>
        <v>3354949.81652551</v>
      </c>
      <c r="E31" s="129" t="n">
        <f aca="false">VLOOKUP($A31,[1]!CurveTable,MATCH($E$4,[1]!CurveType,0))</f>
        <v>4.645</v>
      </c>
      <c r="F31" s="130"/>
      <c r="G31" s="131" t="n">
        <f aca="false">E31</f>
        <v>4.645</v>
      </c>
      <c r="H31" s="129" t="n">
        <f aca="false">VLOOKUP($A31,[1]!CurveTable,MATCH($H$4,[1]!CurveType,0))</f>
        <v>0</v>
      </c>
      <c r="I31" s="131"/>
      <c r="J31" s="131" t="n">
        <f aca="false">H31</f>
        <v>0</v>
      </c>
      <c r="K31" s="129"/>
      <c r="L31" s="131"/>
      <c r="M31" s="131"/>
      <c r="N31" s="131" t="n">
        <f aca="false">G31+J31+M31+$N$7</f>
        <v>4.355</v>
      </c>
      <c r="O31" s="131" t="n">
        <f aca="false">Summary!$E$16</f>
        <v>9.81903240236408</v>
      </c>
      <c r="P31" s="131"/>
      <c r="Q31" s="129" t="n">
        <f aca="false">VLOOKUP($A31,[1]!CurveTable,MATCH($Q$4,[1]!CurveType,0))</f>
        <v>0.18</v>
      </c>
      <c r="R31" s="129" t="n">
        <f aca="false">Q31+Summary!$C$26</f>
        <v>0.18</v>
      </c>
      <c r="S31" s="129"/>
      <c r="T31" s="132" t="n">
        <f aca="false">X31</f>
        <v>40817</v>
      </c>
      <c r="U31" s="133" t="n">
        <f aca="false">T31-$C$3</f>
        <v>3812</v>
      </c>
      <c r="V31" s="134"/>
      <c r="W31" s="61" t="n">
        <f aca="false">A32-A31</f>
        <v>31</v>
      </c>
      <c r="X31" s="135" t="n">
        <f aca="false">CHOOSE(F$3,A32+24,A31)</f>
        <v>40817</v>
      </c>
      <c r="Y31" s="61" t="n">
        <f aca="false">X31-C$3</f>
        <v>3812</v>
      </c>
      <c r="Z31" s="136" t="n">
        <f aca="false">VLOOKUP($A31,[1]!CurveTable,MATCH($Z$4,[1]!CurveType,0))</f>
        <v>0.0623844546827561</v>
      </c>
      <c r="AA31" s="137" t="n">
        <f aca="false">1/(1+CHOOSE(F$3,(Z32+($K$3/10000))/2,(Z31+($K$3/10000))/2))^(2*Y31/365.25)</f>
        <v>0.526692205188146</v>
      </c>
      <c r="AB31" s="61" t="n">
        <f aca="false">IF(AND(mthbeg&lt;=A31,mthend&gt;=A31),1,0)</f>
        <v>1</v>
      </c>
      <c r="AC31" s="61" t="n">
        <f aca="false">W31*AB31</f>
        <v>31</v>
      </c>
      <c r="AD31" s="121" t="n">
        <f aca="false">$D31*E31</f>
        <v>15583741.897761</v>
      </c>
      <c r="AE31" s="121" t="n">
        <f aca="false">$D31*F31</f>
        <v>0</v>
      </c>
      <c r="AF31" s="121" t="n">
        <f aca="false">$D31*G31</f>
        <v>15583741.897761</v>
      </c>
      <c r="AG31" s="121" t="n">
        <f aca="false">$D31*H31</f>
        <v>0</v>
      </c>
      <c r="AH31" s="121" t="n">
        <f aca="false">$D31*I31</f>
        <v>0</v>
      </c>
      <c r="AI31" s="121" t="n">
        <f aca="false">$D31*J31</f>
        <v>0</v>
      </c>
      <c r="AJ31" s="121" t="n">
        <f aca="false">$D31*K31</f>
        <v>0</v>
      </c>
      <c r="AK31" s="121" t="n">
        <f aca="false">$D31*L31</f>
        <v>0</v>
      </c>
      <c r="AL31" s="121" t="n">
        <f aca="false">$D31*M31</f>
        <v>0</v>
      </c>
      <c r="AM31" s="125"/>
      <c r="AO31" s="75" t="e">
        <f aca="false">EURO(N31,O31,Z31,Z31,R31,U31,1,0)</f>
        <v>#NAME?</v>
      </c>
      <c r="AP31" s="138" t="e">
        <f aca="false">AO31*C31</f>
        <v>#NAME?</v>
      </c>
      <c r="AQ31" s="61" t="e">
        <f aca="false">EURO(N31,O31,Z31,Z31,R31,U31,1,1)</f>
        <v>#NAME?</v>
      </c>
      <c r="AR31" s="61" t="e">
        <f aca="false">AQ31+Put!AQ31</f>
        <v>#NAME?</v>
      </c>
      <c r="AS31" s="138" t="e">
        <f aca="false">AR31*C31</f>
        <v>#NAME?</v>
      </c>
      <c r="AT31" s="120" t="e">
        <f aca="false">AS31/10000</f>
        <v>#NAME?</v>
      </c>
    </row>
    <row r="32" customFormat="false" ht="12.75" hidden="false" customHeight="false" outlineLevel="0" collapsed="false">
      <c r="A32" s="127" t="n">
        <f aca="false">EDATE(A31,1)</f>
        <v>40848</v>
      </c>
      <c r="B32" s="128" t="n">
        <f aca="false">B31</f>
        <v>205479</v>
      </c>
      <c r="C32" s="116" t="n">
        <f aca="false">IF(AB32=0,0,IF(AND(AB32=1,$H$3=1),B32*W32,IF($H$3=2,B32,"N/A")))</f>
        <v>6164370</v>
      </c>
      <c r="D32" s="116" t="n">
        <f aca="false">C32*AA32</f>
        <v>3228440.79448647</v>
      </c>
      <c r="E32" s="129" t="n">
        <f aca="false">VLOOKUP($A32,[1]!CurveTable,MATCH($E$4,[1]!CurveType,0))</f>
        <v>4.755</v>
      </c>
      <c r="F32" s="130"/>
      <c r="G32" s="131" t="n">
        <f aca="false">E32</f>
        <v>4.755</v>
      </c>
      <c r="H32" s="129" t="n">
        <f aca="false">VLOOKUP($A32,[1]!CurveTable,MATCH($H$4,[1]!CurveType,0))</f>
        <v>0</v>
      </c>
      <c r="I32" s="131"/>
      <c r="J32" s="131" t="n">
        <f aca="false">H32</f>
        <v>0</v>
      </c>
      <c r="K32" s="129"/>
      <c r="L32" s="131"/>
      <c r="M32" s="131"/>
      <c r="N32" s="131" t="n">
        <f aca="false">G32+J32+M32+$N$7</f>
        <v>4.465</v>
      </c>
      <c r="O32" s="131" t="n">
        <f aca="false">Summary!$E$16</f>
        <v>9.81903240236408</v>
      </c>
      <c r="P32" s="131"/>
      <c r="Q32" s="129" t="n">
        <f aca="false">VLOOKUP($A32,[1]!CurveTable,MATCH($Q$4,[1]!CurveType,0))</f>
        <v>0.18</v>
      </c>
      <c r="R32" s="129" t="n">
        <f aca="false">Q32+Summary!$C$26</f>
        <v>0.18</v>
      </c>
      <c r="S32" s="129"/>
      <c r="T32" s="132" t="n">
        <f aca="false">X32</f>
        <v>40848</v>
      </c>
      <c r="U32" s="133" t="n">
        <f aca="false">T32-$C$3</f>
        <v>3843</v>
      </c>
      <c r="V32" s="134"/>
      <c r="W32" s="61" t="n">
        <f aca="false">A33-A32</f>
        <v>30</v>
      </c>
      <c r="X32" s="135" t="n">
        <f aca="false">CHOOSE(F$3,A33+24,A32)</f>
        <v>40848</v>
      </c>
      <c r="Y32" s="61" t="n">
        <f aca="false">X32-C$3</f>
        <v>3843</v>
      </c>
      <c r="Z32" s="136" t="n">
        <f aca="false">VLOOKUP($A32,[1]!CurveTable,MATCH($Z$4,[1]!CurveType,0))</f>
        <v>0.0624269723536406</v>
      </c>
      <c r="AA32" s="137" t="n">
        <f aca="false">1/(1+CHOOSE(F$3,(Z33+($K$3/10000))/2,(Z32+($K$3/10000))/2))^(2*Y32/365.25)</f>
        <v>0.523725992191655</v>
      </c>
      <c r="AB32" s="61" t="n">
        <f aca="false">IF(AND(mthbeg&lt;=A32,mthend&gt;=A32),1,0)</f>
        <v>1</v>
      </c>
      <c r="AC32" s="61" t="n">
        <f aca="false">W32*AB32</f>
        <v>30</v>
      </c>
      <c r="AD32" s="121" t="n">
        <f aca="false">$D32*E32</f>
        <v>15351235.9777832</v>
      </c>
      <c r="AE32" s="121" t="n">
        <f aca="false">$D32*F32</f>
        <v>0</v>
      </c>
      <c r="AF32" s="121" t="n">
        <f aca="false">$D32*G32</f>
        <v>15351235.9777832</v>
      </c>
      <c r="AG32" s="121" t="n">
        <f aca="false">$D32*H32</f>
        <v>0</v>
      </c>
      <c r="AH32" s="121" t="n">
        <f aca="false">$D32*I32</f>
        <v>0</v>
      </c>
      <c r="AI32" s="121" t="n">
        <f aca="false">$D32*J32</f>
        <v>0</v>
      </c>
      <c r="AJ32" s="121" t="n">
        <f aca="false">$D32*K32</f>
        <v>0</v>
      </c>
      <c r="AK32" s="121" t="n">
        <f aca="false">$D32*L32</f>
        <v>0</v>
      </c>
      <c r="AL32" s="121" t="n">
        <f aca="false">$D32*M32</f>
        <v>0</v>
      </c>
      <c r="AM32" s="125"/>
      <c r="AO32" s="75" t="e">
        <f aca="false">EURO(N32,O32,Z32,Z32,R32,U32,1,0)</f>
        <v>#NAME?</v>
      </c>
      <c r="AP32" s="138" t="e">
        <f aca="false">AO32*C32</f>
        <v>#NAME?</v>
      </c>
      <c r="AQ32" s="61" t="e">
        <f aca="false">EURO(N32,O32,Z32,Z32,R32,U32,1,1)</f>
        <v>#NAME?</v>
      </c>
      <c r="AR32" s="61" t="e">
        <f aca="false">AQ32+Put!AQ32</f>
        <v>#NAME?</v>
      </c>
      <c r="AS32" s="138" t="e">
        <f aca="false">AR32*C32</f>
        <v>#NAME?</v>
      </c>
      <c r="AT32" s="120" t="e">
        <f aca="false">AS32/10000</f>
        <v>#NAME?</v>
      </c>
    </row>
    <row r="33" customFormat="false" ht="12.75" hidden="false" customHeight="false" outlineLevel="0" collapsed="false">
      <c r="A33" s="127" t="n">
        <f aca="false">EDATE(A32,1)</f>
        <v>40878</v>
      </c>
      <c r="B33" s="128" t="n">
        <f aca="false">B32</f>
        <v>205479</v>
      </c>
      <c r="C33" s="116" t="n">
        <f aca="false">IF(AB33=0,0,IF(AND(AB33=1,$H$3=1),B33*W33,IF($H$3=2,B33,"N/A")))</f>
        <v>6369849</v>
      </c>
      <c r="D33" s="116" t="n">
        <f aca="false">C33*AA33</f>
        <v>3317849.89333443</v>
      </c>
      <c r="E33" s="129" t="n">
        <f aca="false">VLOOKUP($A33,[1]!CurveTable,MATCH($E$4,[1]!CurveType,0))</f>
        <v>4.875</v>
      </c>
      <c r="F33" s="130"/>
      <c r="G33" s="131" t="n">
        <f aca="false">E33</f>
        <v>4.875</v>
      </c>
      <c r="H33" s="129" t="n">
        <f aca="false">VLOOKUP($A33,[1]!CurveTable,MATCH($H$4,[1]!CurveType,0))</f>
        <v>0</v>
      </c>
      <c r="I33" s="131"/>
      <c r="J33" s="131" t="n">
        <f aca="false">H33</f>
        <v>0</v>
      </c>
      <c r="K33" s="129"/>
      <c r="L33" s="131"/>
      <c r="M33" s="131"/>
      <c r="N33" s="131" t="n">
        <f aca="false">G33+J33+M33+$N$7</f>
        <v>4.585</v>
      </c>
      <c r="O33" s="131" t="n">
        <f aca="false">Summary!$E$16</f>
        <v>9.81903240236408</v>
      </c>
      <c r="P33" s="131"/>
      <c r="Q33" s="129" t="n">
        <f aca="false">VLOOKUP($A33,[1]!CurveTable,MATCH($Q$4,[1]!CurveType,0))</f>
        <v>0.18</v>
      </c>
      <c r="R33" s="129" t="n">
        <f aca="false">Q33+Summary!$C$26</f>
        <v>0.18</v>
      </c>
      <c r="S33" s="129"/>
      <c r="T33" s="132" t="n">
        <f aca="false">X33</f>
        <v>40878</v>
      </c>
      <c r="U33" s="133" t="n">
        <f aca="false">T33-$C$3</f>
        <v>3873</v>
      </c>
      <c r="V33" s="134"/>
      <c r="W33" s="61" t="n">
        <f aca="false">A34-A33</f>
        <v>31</v>
      </c>
      <c r="X33" s="135" t="n">
        <f aca="false">CHOOSE(F$3,A34+24,A33)</f>
        <v>40878</v>
      </c>
      <c r="Y33" s="61" t="n">
        <f aca="false">X33-C$3</f>
        <v>3873</v>
      </c>
      <c r="Z33" s="136" t="n">
        <f aca="false">VLOOKUP($A33,[1]!CurveTable,MATCH($Z$4,[1]!CurveType,0))</f>
        <v>0.0624681184873252</v>
      </c>
      <c r="AA33" s="137" t="n">
        <f aca="false">1/(1+CHOOSE(F$3,(Z34+($K$3/10000))/2,(Z33+($K$3/10000))/2))^(2*Y33/365.25)</f>
        <v>0.520867903357588</v>
      </c>
      <c r="AB33" s="61" t="n">
        <f aca="false">IF(AND(mthbeg&lt;=A33,mthend&gt;=A33),1,0)</f>
        <v>1</v>
      </c>
      <c r="AC33" s="61" t="n">
        <f aca="false">W33*AB33</f>
        <v>31</v>
      </c>
      <c r="AD33" s="121" t="n">
        <f aca="false">$D33*E33</f>
        <v>16174518.2300053</v>
      </c>
      <c r="AE33" s="121" t="n">
        <f aca="false">$D33*F33</f>
        <v>0</v>
      </c>
      <c r="AF33" s="121" t="n">
        <f aca="false">$D33*G33</f>
        <v>16174518.2300053</v>
      </c>
      <c r="AG33" s="121" t="n">
        <f aca="false">$D33*H33</f>
        <v>0</v>
      </c>
      <c r="AH33" s="121" t="n">
        <f aca="false">$D33*I33</f>
        <v>0</v>
      </c>
      <c r="AI33" s="121" t="n">
        <f aca="false">$D33*J33</f>
        <v>0</v>
      </c>
      <c r="AJ33" s="121" t="n">
        <f aca="false">$D33*K33</f>
        <v>0</v>
      </c>
      <c r="AK33" s="121" t="n">
        <f aca="false">$D33*L33</f>
        <v>0</v>
      </c>
      <c r="AL33" s="121" t="n">
        <f aca="false">$D33*M33</f>
        <v>0</v>
      </c>
      <c r="AM33" s="125"/>
      <c r="AO33" s="75" t="e">
        <f aca="false">EURO(N33,O33,Z33,Z33,R33,U33,1,0)</f>
        <v>#NAME?</v>
      </c>
      <c r="AP33" s="138" t="e">
        <f aca="false">AO33*C33</f>
        <v>#NAME?</v>
      </c>
      <c r="AQ33" s="61" t="e">
        <f aca="false">EURO(N33,O33,Z33,Z33,R33,U33,1,1)</f>
        <v>#NAME?</v>
      </c>
      <c r="AR33" s="61" t="e">
        <f aca="false">AQ33+Put!AQ33</f>
        <v>#NAME?</v>
      </c>
      <c r="AS33" s="138" t="e">
        <f aca="false">AR33*C33</f>
        <v>#NAME?</v>
      </c>
      <c r="AT33" s="120" t="e">
        <f aca="false">AS33/10000</f>
        <v>#NAME?</v>
      </c>
    </row>
    <row r="34" customFormat="false" ht="12.75" hidden="false" customHeight="false" outlineLevel="0" collapsed="false">
      <c r="A34" s="127" t="n">
        <f aca="false">EDATE(A33,1)</f>
        <v>40909</v>
      </c>
      <c r="B34" s="128" t="n">
        <f aca="false">B33</f>
        <v>205479</v>
      </c>
      <c r="C34" s="116" t="n">
        <f aca="false">IF(AB34=0,0,IF(AND(AB34=1,$H$3=1),B34*W34,IF($H$3=2,B34,"N/A")))</f>
        <v>6369849</v>
      </c>
      <c r="D34" s="116" t="n">
        <f aca="false">C34*AA34</f>
        <v>3299119.12653318</v>
      </c>
      <c r="E34" s="129" t="n">
        <f aca="false">VLOOKUP($A34,[1]!CurveTable,MATCH($E$4,[1]!CurveType,0))</f>
        <v>4.94</v>
      </c>
      <c r="F34" s="130"/>
      <c r="G34" s="131" t="n">
        <f aca="false">E34</f>
        <v>4.94</v>
      </c>
      <c r="H34" s="129" t="n">
        <f aca="false">VLOOKUP($A34,[1]!CurveTable,MATCH($H$4,[1]!CurveType,0))</f>
        <v>0</v>
      </c>
      <c r="I34" s="131"/>
      <c r="J34" s="131" t="n">
        <f aca="false">H34</f>
        <v>0</v>
      </c>
      <c r="K34" s="129"/>
      <c r="L34" s="131"/>
      <c r="M34" s="131"/>
      <c r="N34" s="131" t="n">
        <f aca="false">G34+J34+M34+$N$7</f>
        <v>4.65</v>
      </c>
      <c r="O34" s="131" t="n">
        <f aca="false">Summary!$E$16</f>
        <v>9.81903240236408</v>
      </c>
      <c r="P34" s="131"/>
      <c r="Q34" s="129" t="n">
        <f aca="false">VLOOKUP($A34,[1]!CurveTable,MATCH($Q$4,[1]!CurveType,0))</f>
        <v>0.18</v>
      </c>
      <c r="R34" s="129" t="n">
        <f aca="false">Q34+Summary!$C$26</f>
        <v>0.18</v>
      </c>
      <c r="S34" s="129"/>
      <c r="T34" s="132" t="n">
        <f aca="false">X34</f>
        <v>40909</v>
      </c>
      <c r="U34" s="133" t="n">
        <f aca="false">T34-$C$3</f>
        <v>3904</v>
      </c>
      <c r="V34" s="134"/>
      <c r="W34" s="61" t="n">
        <f aca="false">A35-A34</f>
        <v>31</v>
      </c>
      <c r="X34" s="135" t="n">
        <f aca="false">CHOOSE(F$3,A35+24,A34)</f>
        <v>40909</v>
      </c>
      <c r="Y34" s="61" t="n">
        <f aca="false">X34-C$3</f>
        <v>3904</v>
      </c>
      <c r="Z34" s="136" t="n">
        <f aca="false">VLOOKUP($A34,[1]!CurveTable,MATCH($Z$4,[1]!CurveType,0))</f>
        <v>0.0625106361593901</v>
      </c>
      <c r="AA34" s="137" t="n">
        <f aca="false">1/(1+CHOOSE(F$3,(Z35+($K$3/10000))/2,(Z34+($K$3/10000))/2))^(2*Y34/365.25)</f>
        <v>0.517927367906709</v>
      </c>
      <c r="AB34" s="61" t="n">
        <f aca="false">IF(AND(mthbeg&lt;=A34,mthend&gt;=A34),1,0)</f>
        <v>1</v>
      </c>
      <c r="AC34" s="61" t="n">
        <f aca="false">W34*AB34</f>
        <v>31</v>
      </c>
      <c r="AD34" s="121" t="n">
        <f aca="false">$D34*E34</f>
        <v>16297648.4850739</v>
      </c>
      <c r="AE34" s="121" t="n">
        <f aca="false">$D34*F34</f>
        <v>0</v>
      </c>
      <c r="AF34" s="121" t="n">
        <f aca="false">$D34*G34</f>
        <v>16297648.4850739</v>
      </c>
      <c r="AG34" s="121" t="n">
        <f aca="false">$D34*H34</f>
        <v>0</v>
      </c>
      <c r="AH34" s="121" t="n">
        <f aca="false">$D34*I34</f>
        <v>0</v>
      </c>
      <c r="AI34" s="121" t="n">
        <f aca="false">$D34*J34</f>
        <v>0</v>
      </c>
      <c r="AJ34" s="121" t="n">
        <f aca="false">$D34*K34</f>
        <v>0</v>
      </c>
      <c r="AK34" s="121" t="n">
        <f aca="false">$D34*L34</f>
        <v>0</v>
      </c>
      <c r="AL34" s="121" t="n">
        <f aca="false">$D34*M34</f>
        <v>0</v>
      </c>
      <c r="AM34" s="125"/>
      <c r="AO34" s="75" t="e">
        <f aca="false">EURO(N34,O34,Z34,Z34,R34,U34,1,0)</f>
        <v>#NAME?</v>
      </c>
      <c r="AP34" s="138" t="e">
        <f aca="false">AO34*C34</f>
        <v>#NAME?</v>
      </c>
      <c r="AQ34" s="61" t="e">
        <f aca="false">EURO(N34,O34,Z34,Z34,R34,U34,1,1)</f>
        <v>#NAME?</v>
      </c>
      <c r="AR34" s="61" t="e">
        <f aca="false">AQ34+Put!AQ34</f>
        <v>#NAME?</v>
      </c>
      <c r="AS34" s="138" t="e">
        <f aca="false">AR34*C34</f>
        <v>#NAME?</v>
      </c>
      <c r="AT34" s="120" t="e">
        <f aca="false">AS34/10000</f>
        <v>#NAME?</v>
      </c>
    </row>
    <row r="35" customFormat="false" ht="12.75" hidden="false" customHeight="false" outlineLevel="0" collapsed="false">
      <c r="A35" s="127" t="n">
        <f aca="false">EDATE(A34,1)</f>
        <v>40940</v>
      </c>
      <c r="B35" s="128" t="n">
        <f aca="false">B34</f>
        <v>205479</v>
      </c>
      <c r="C35" s="116" t="n">
        <f aca="false">IF(AB35=0,0,IF(AND(AB35=1,$H$3=1),B35*W35,IF($H$3=2,B35,"N/A")))</f>
        <v>5958891</v>
      </c>
      <c r="D35" s="116" t="n">
        <f aca="false">C35*AA35</f>
        <v>3068827.87314104</v>
      </c>
      <c r="E35" s="129" t="n">
        <f aca="false">VLOOKUP($A35,[1]!CurveTable,MATCH($E$4,[1]!CurveType,0))</f>
        <v>4.82</v>
      </c>
      <c r="F35" s="130"/>
      <c r="G35" s="131" t="n">
        <f aca="false">E35</f>
        <v>4.82</v>
      </c>
      <c r="H35" s="129" t="n">
        <f aca="false">VLOOKUP($A35,[1]!CurveTable,MATCH($H$4,[1]!CurveType,0))</f>
        <v>0</v>
      </c>
      <c r="I35" s="131"/>
      <c r="J35" s="131" t="n">
        <f aca="false">H35</f>
        <v>0</v>
      </c>
      <c r="K35" s="129"/>
      <c r="L35" s="131"/>
      <c r="M35" s="131"/>
      <c r="N35" s="131" t="n">
        <f aca="false">G35+J35+M35+$N$7</f>
        <v>4.53</v>
      </c>
      <c r="O35" s="131" t="n">
        <f aca="false">Summary!$E$16</f>
        <v>9.81903240236408</v>
      </c>
      <c r="P35" s="131"/>
      <c r="Q35" s="129" t="n">
        <f aca="false">VLOOKUP($A35,[1]!CurveTable,MATCH($Q$4,[1]!CurveType,0))</f>
        <v>0.175</v>
      </c>
      <c r="R35" s="129" t="n">
        <f aca="false">Q35+Summary!$C$26</f>
        <v>0.175</v>
      </c>
      <c r="S35" s="129"/>
      <c r="T35" s="132" t="n">
        <f aca="false">X35</f>
        <v>40940</v>
      </c>
      <c r="U35" s="133" t="n">
        <f aca="false">T35-$C$3</f>
        <v>3935</v>
      </c>
      <c r="W35" s="61" t="n">
        <f aca="false">A36-A35</f>
        <v>29</v>
      </c>
      <c r="X35" s="135" t="n">
        <f aca="false">CHOOSE(F$3,A36+24,A35)</f>
        <v>40940</v>
      </c>
      <c r="Y35" s="61" t="n">
        <f aca="false">X35-C$3</f>
        <v>3935</v>
      </c>
      <c r="Z35" s="136" t="n">
        <f aca="false">VLOOKUP($A35,[1]!CurveTable,MATCH($Z$4,[1]!CurveType,0))</f>
        <v>0.0625531538320545</v>
      </c>
      <c r="AA35" s="137" t="n">
        <f aca="false">1/(1+CHOOSE(F$3,(Z36+($K$3/10000))/2,(Z35+($K$3/10000))/2))^(2*Y35/365.25)</f>
        <v>0.51499983354974</v>
      </c>
      <c r="AB35" s="61" t="n">
        <f aca="false">IF(AND(mthbeg&lt;=A35,mthend&gt;=A35),1,0)</f>
        <v>1</v>
      </c>
      <c r="AC35" s="61" t="n">
        <f aca="false">W35*AB35</f>
        <v>29</v>
      </c>
      <c r="AD35" s="121" t="n">
        <f aca="false">$D35*E35</f>
        <v>14791750.3485398</v>
      </c>
      <c r="AE35" s="121" t="n">
        <f aca="false">$D35*F35</f>
        <v>0</v>
      </c>
      <c r="AF35" s="121" t="n">
        <f aca="false">$D35*G35</f>
        <v>14791750.3485398</v>
      </c>
      <c r="AG35" s="121" t="n">
        <f aca="false">$D35*H35</f>
        <v>0</v>
      </c>
      <c r="AH35" s="121" t="n">
        <f aca="false">$D35*I35</f>
        <v>0</v>
      </c>
      <c r="AI35" s="121" t="n">
        <f aca="false">$D35*J35</f>
        <v>0</v>
      </c>
      <c r="AJ35" s="121" t="n">
        <f aca="false">$D35*K35</f>
        <v>0</v>
      </c>
      <c r="AK35" s="121" t="n">
        <f aca="false">$D35*L35</f>
        <v>0</v>
      </c>
      <c r="AL35" s="121" t="n">
        <f aca="false">$D35*M35</f>
        <v>0</v>
      </c>
      <c r="AM35" s="125"/>
      <c r="AO35" s="75" t="e">
        <f aca="false">EURO(N35,O35,Z35,Z35,R35,U35,1,0)</f>
        <v>#NAME?</v>
      </c>
      <c r="AP35" s="138" t="e">
        <f aca="false">AO35*C35</f>
        <v>#NAME?</v>
      </c>
      <c r="AQ35" s="61" t="e">
        <f aca="false">EURO(N35,O35,Z35,Z35,R35,U35,1,1)</f>
        <v>#NAME?</v>
      </c>
      <c r="AR35" s="61" t="e">
        <f aca="false">AQ35+Put!AQ35</f>
        <v>#NAME?</v>
      </c>
      <c r="AS35" s="138" t="e">
        <f aca="false">AR35*C35</f>
        <v>#NAME?</v>
      </c>
      <c r="AT35" s="120" t="e">
        <f aca="false">AS35/10000</f>
        <v>#NAME?</v>
      </c>
    </row>
    <row r="36" customFormat="false" ht="12.75" hidden="false" customHeight="false" outlineLevel="0" collapsed="false">
      <c r="A36" s="127" t="n">
        <f aca="false">EDATE(A35,1)</f>
        <v>40969</v>
      </c>
      <c r="B36" s="128" t="n">
        <f aca="false">B35</f>
        <v>205479</v>
      </c>
      <c r="C36" s="116" t="n">
        <f aca="false">IF(AB36=0,0,IF(AND(AB36=1,$H$3=1),B36*W36,IF($H$3=2,B36,"N/A")))</f>
        <v>6369849</v>
      </c>
      <c r="D36" s="116" t="n">
        <f aca="false">C36*AA36</f>
        <v>3263101.10583809</v>
      </c>
      <c r="E36" s="129" t="n">
        <f aca="false">VLOOKUP($A36,[1]!CurveTable,MATCH($E$4,[1]!CurveType,0))</f>
        <v>4.681</v>
      </c>
      <c r="F36" s="130"/>
      <c r="G36" s="131" t="n">
        <f aca="false">E36</f>
        <v>4.681</v>
      </c>
      <c r="H36" s="129" t="n">
        <f aca="false">VLOOKUP($A36,[1]!CurveTable,MATCH($H$4,[1]!CurveType,0))</f>
        <v>0</v>
      </c>
      <c r="I36" s="131"/>
      <c r="J36" s="131" t="n">
        <f aca="false">H36</f>
        <v>0</v>
      </c>
      <c r="K36" s="129"/>
      <c r="L36" s="131"/>
      <c r="M36" s="131"/>
      <c r="N36" s="131" t="n">
        <f aca="false">G36+J36+M36+$N$7</f>
        <v>4.391</v>
      </c>
      <c r="O36" s="131" t="n">
        <f aca="false">Summary!$E$16</f>
        <v>9.81903240236408</v>
      </c>
      <c r="P36" s="131"/>
      <c r="Q36" s="129" t="n">
        <f aca="false">VLOOKUP($A36,[1]!CurveTable,MATCH($Q$4,[1]!CurveType,0))</f>
        <v>0.17</v>
      </c>
      <c r="R36" s="129" t="n">
        <f aca="false">Q36+Summary!$C$26</f>
        <v>0.17</v>
      </c>
      <c r="S36" s="129"/>
      <c r="T36" s="132" t="n">
        <f aca="false">X36</f>
        <v>40969</v>
      </c>
      <c r="U36" s="133" t="n">
        <f aca="false">T36-$C$3</f>
        <v>3964</v>
      </c>
      <c r="W36" s="61" t="n">
        <f aca="false">A37-A36</f>
        <v>31</v>
      </c>
      <c r="X36" s="135" t="n">
        <f aca="false">CHOOSE(F$3,A37+24,A36)</f>
        <v>40969</v>
      </c>
      <c r="Y36" s="61" t="n">
        <f aca="false">X36-C$3</f>
        <v>3964</v>
      </c>
      <c r="Z36" s="136" t="n">
        <f aca="false">VLOOKUP($A36,[1]!CurveTable,MATCH($Z$4,[1]!CurveType,0))</f>
        <v>0.0625929284296065</v>
      </c>
      <c r="AA36" s="137" t="n">
        <f aca="false">1/(1+CHOOSE(F$3,(Z37+($K$3/10000))/2,(Z36+($K$3/10000))/2))^(2*Y36/365.25)</f>
        <v>0.512272913508325</v>
      </c>
      <c r="AB36" s="61" t="n">
        <f aca="false">IF(AND(mthbeg&lt;=A36,mthend&gt;=A36),1,0)</f>
        <v>1</v>
      </c>
      <c r="AC36" s="61" t="n">
        <f aca="false">W36*AB36</f>
        <v>31</v>
      </c>
      <c r="AD36" s="121" t="n">
        <f aca="false">$D36*E36</f>
        <v>15274576.2764281</v>
      </c>
      <c r="AE36" s="121" t="n">
        <f aca="false">$D36*F36</f>
        <v>0</v>
      </c>
      <c r="AF36" s="121" t="n">
        <f aca="false">$D36*G36</f>
        <v>15274576.2764281</v>
      </c>
      <c r="AG36" s="121" t="n">
        <f aca="false">$D36*H36</f>
        <v>0</v>
      </c>
      <c r="AH36" s="121" t="n">
        <f aca="false">$D36*I36</f>
        <v>0</v>
      </c>
      <c r="AI36" s="121" t="n">
        <f aca="false">$D36*J36</f>
        <v>0</v>
      </c>
      <c r="AJ36" s="121" t="n">
        <f aca="false">$D36*K36</f>
        <v>0</v>
      </c>
      <c r="AK36" s="121" t="n">
        <f aca="false">$D36*L36</f>
        <v>0</v>
      </c>
      <c r="AL36" s="121" t="n">
        <f aca="false">$D36*M36</f>
        <v>0</v>
      </c>
      <c r="AM36" s="125"/>
      <c r="AO36" s="75" t="e">
        <f aca="false">EURO(N36,O36,Z36,Z36,R36,U36,1,0)</f>
        <v>#NAME?</v>
      </c>
      <c r="AP36" s="138" t="e">
        <f aca="false">AO36*C36</f>
        <v>#NAME?</v>
      </c>
      <c r="AQ36" s="61" t="e">
        <f aca="false">EURO(N36,O36,Z36,Z36,R36,U36,1,1)</f>
        <v>#NAME?</v>
      </c>
      <c r="AR36" s="61" t="e">
        <f aca="false">AQ36+Put!AQ36</f>
        <v>#NAME?</v>
      </c>
      <c r="AS36" s="138" t="e">
        <f aca="false">AR36*C36</f>
        <v>#NAME?</v>
      </c>
      <c r="AT36" s="120" t="e">
        <f aca="false">AS36/10000</f>
        <v>#NAME?</v>
      </c>
    </row>
    <row r="37" customFormat="false" ht="12.75" hidden="false" customHeight="false" outlineLevel="0" collapsed="false">
      <c r="A37" s="127" t="n">
        <f aca="false">EDATE(A36,1)</f>
        <v>41000</v>
      </c>
      <c r="B37" s="128" t="n">
        <f aca="false">B36</f>
        <v>205479</v>
      </c>
      <c r="C37" s="116" t="n">
        <f aca="false">IF(AB37=0,0,IF(AND(AB37=1,$H$3=1),B37*W37,IF($H$3=2,B37,"N/A")))</f>
        <v>6164370</v>
      </c>
      <c r="D37" s="116" t="n">
        <f aca="false">C37*AA37</f>
        <v>3139947.9206079</v>
      </c>
      <c r="E37" s="129" t="n">
        <f aca="false">VLOOKUP($A37,[1]!CurveTable,MATCH($E$4,[1]!CurveType,0))</f>
        <v>4.511</v>
      </c>
      <c r="F37" s="130"/>
      <c r="G37" s="131" t="n">
        <f aca="false">E37</f>
        <v>4.511</v>
      </c>
      <c r="H37" s="129" t="n">
        <f aca="false">VLOOKUP($A37,[1]!CurveTable,MATCH($H$4,[1]!CurveType,0))</f>
        <v>0</v>
      </c>
      <c r="I37" s="131"/>
      <c r="J37" s="131" t="n">
        <f aca="false">H37</f>
        <v>0</v>
      </c>
      <c r="K37" s="129"/>
      <c r="L37" s="131"/>
      <c r="M37" s="131"/>
      <c r="N37" s="131" t="n">
        <f aca="false">G37+J37+M37+$N$7</f>
        <v>4.221</v>
      </c>
      <c r="O37" s="131" t="n">
        <f aca="false">Summary!$E$16</f>
        <v>9.81903240236408</v>
      </c>
      <c r="P37" s="131"/>
      <c r="Q37" s="129" t="n">
        <f aca="false">VLOOKUP($A37,[1]!CurveTable,MATCH($Q$4,[1]!CurveType,0))</f>
        <v>0.17</v>
      </c>
      <c r="R37" s="129" t="n">
        <f aca="false">Q37+Summary!$C$26</f>
        <v>0.17</v>
      </c>
      <c r="S37" s="129"/>
      <c r="T37" s="132" t="n">
        <f aca="false">X37</f>
        <v>41000</v>
      </c>
      <c r="U37" s="133" t="n">
        <f aca="false">T37-$C$3</f>
        <v>3995</v>
      </c>
      <c r="W37" s="61" t="n">
        <f aca="false">A38-A37</f>
        <v>30</v>
      </c>
      <c r="X37" s="135" t="n">
        <f aca="false">CHOOSE(F$3,A38+24,A37)</f>
        <v>41000</v>
      </c>
      <c r="Y37" s="61" t="n">
        <f aca="false">X37-C$3</f>
        <v>3995</v>
      </c>
      <c r="Z37" s="136" t="n">
        <f aca="false">VLOOKUP($A37,[1]!CurveTable,MATCH($Z$4,[1]!CurveType,0))</f>
        <v>0.0626354461034322</v>
      </c>
      <c r="AA37" s="137" t="n">
        <f aca="false">1/(1+CHOOSE(F$3,(Z38+($K$3/10000))/2,(Z37+($K$3/10000))/2))^(2*Y37/365.25)</f>
        <v>0.50937044995805</v>
      </c>
      <c r="AB37" s="61" t="n">
        <f aca="false">IF(AND(mthbeg&lt;=A37,mthend&gt;=A37),1,0)</f>
        <v>1</v>
      </c>
      <c r="AC37" s="61" t="n">
        <f aca="false">W37*AB37</f>
        <v>30</v>
      </c>
      <c r="AD37" s="121" t="n">
        <f aca="false">$D37*E37</f>
        <v>14164305.0698622</v>
      </c>
      <c r="AE37" s="121" t="n">
        <f aca="false">$D37*F37</f>
        <v>0</v>
      </c>
      <c r="AF37" s="121" t="n">
        <f aca="false">$D37*G37</f>
        <v>14164305.0698622</v>
      </c>
      <c r="AG37" s="121" t="n">
        <f aca="false">$D37*H37</f>
        <v>0</v>
      </c>
      <c r="AH37" s="121" t="n">
        <f aca="false">$D37*I37</f>
        <v>0</v>
      </c>
      <c r="AI37" s="121" t="n">
        <f aca="false">$D37*J37</f>
        <v>0</v>
      </c>
      <c r="AJ37" s="121" t="n">
        <f aca="false">$D37*K37</f>
        <v>0</v>
      </c>
      <c r="AK37" s="121" t="n">
        <f aca="false">$D37*L37</f>
        <v>0</v>
      </c>
      <c r="AL37" s="121" t="n">
        <f aca="false">$D37*M37</f>
        <v>0</v>
      </c>
      <c r="AM37" s="125"/>
      <c r="AO37" s="75" t="e">
        <f aca="false">EURO(N37,O37,Z37,Z37,R37,U37,1,0)</f>
        <v>#NAME?</v>
      </c>
      <c r="AP37" s="138" t="e">
        <f aca="false">AO37*C37</f>
        <v>#NAME?</v>
      </c>
      <c r="AQ37" s="61" t="e">
        <f aca="false">EURO(N37,O37,Z37,Z37,R37,U37,1,1)</f>
        <v>#NAME?</v>
      </c>
      <c r="AR37" s="61" t="e">
        <f aca="false">AQ37+Put!AQ37</f>
        <v>#NAME?</v>
      </c>
      <c r="AS37" s="138" t="e">
        <f aca="false">AR37*C37</f>
        <v>#NAME?</v>
      </c>
      <c r="AT37" s="120" t="e">
        <f aca="false">AS37/10000</f>
        <v>#NAME?</v>
      </c>
    </row>
    <row r="38" customFormat="false" ht="12.75" hidden="false" customHeight="false" outlineLevel="0" collapsed="false">
      <c r="A38" s="127" t="n">
        <f aca="false">EDATE(A37,1)</f>
        <v>41030</v>
      </c>
      <c r="B38" s="128" t="n">
        <f aca="false">B37</f>
        <v>205479</v>
      </c>
      <c r="C38" s="116" t="n">
        <f aca="false">IF(AB38=0,0,IF(AND(AB38=1,$H$3=1),B38*W38,IF($H$3=2,B38,"N/A")))</f>
        <v>6369849</v>
      </c>
      <c r="D38" s="116" t="n">
        <f aca="false">C38*AA38</f>
        <v>3226799.26374465</v>
      </c>
      <c r="E38" s="129" t="n">
        <f aca="false">VLOOKUP($A38,[1]!CurveTable,MATCH($E$4,[1]!CurveType,0))</f>
        <v>4.57</v>
      </c>
      <c r="F38" s="130"/>
      <c r="G38" s="131" t="n">
        <f aca="false">E38</f>
        <v>4.57</v>
      </c>
      <c r="H38" s="129" t="n">
        <f aca="false">VLOOKUP($A38,[1]!CurveTable,MATCH($H$4,[1]!CurveType,0))</f>
        <v>0</v>
      </c>
      <c r="I38" s="131"/>
      <c r="J38" s="131" t="n">
        <f aca="false">H38</f>
        <v>0</v>
      </c>
      <c r="K38" s="129"/>
      <c r="L38" s="131"/>
      <c r="M38" s="131"/>
      <c r="N38" s="131" t="n">
        <f aca="false">G38+J38+M38+$N$7</f>
        <v>4.28</v>
      </c>
      <c r="O38" s="131" t="n">
        <f aca="false">Summary!$E$16</f>
        <v>9.81903240236408</v>
      </c>
      <c r="P38" s="131"/>
      <c r="Q38" s="129" t="n">
        <f aca="false">VLOOKUP($A38,[1]!CurveTable,MATCH($Q$4,[1]!CurveType,0))</f>
        <v>0.17</v>
      </c>
      <c r="R38" s="129" t="n">
        <f aca="false">Q38+Summary!$C$26</f>
        <v>0.17</v>
      </c>
      <c r="S38" s="129"/>
      <c r="T38" s="132" t="n">
        <f aca="false">X38</f>
        <v>41030</v>
      </c>
      <c r="U38" s="133" t="n">
        <f aca="false">T38-$C$3</f>
        <v>4025</v>
      </c>
      <c r="W38" s="61" t="n">
        <f aca="false">A39-A38</f>
        <v>31</v>
      </c>
      <c r="X38" s="135" t="n">
        <f aca="false">CHOOSE(F$3,A39+24,A38)</f>
        <v>41030</v>
      </c>
      <c r="Y38" s="61" t="n">
        <f aca="false">X38-C$3</f>
        <v>4025</v>
      </c>
      <c r="Z38" s="136" t="n">
        <f aca="false">VLOOKUP($A38,[1]!CurveTable,MATCH($Z$4,[1]!CurveType,0))</f>
        <v>0.0626765922399639</v>
      </c>
      <c r="AA38" s="137" t="n">
        <f aca="false">1/(1+CHOOSE(F$3,(Z39+($K$3/10000))/2,(Z38+($K$3/10000))/2))^(2*Y38/365.25)</f>
        <v>0.506573902104218</v>
      </c>
      <c r="AB38" s="61" t="n">
        <f aca="false">IF(AND(mthbeg&lt;=A38,mthend&gt;=A38),1,0)</f>
        <v>1</v>
      </c>
      <c r="AC38" s="61" t="n">
        <f aca="false">W38*AB38</f>
        <v>31</v>
      </c>
      <c r="AD38" s="121" t="n">
        <f aca="false">$D38*E38</f>
        <v>14746472.6353131</v>
      </c>
      <c r="AE38" s="121" t="n">
        <f aca="false">$D38*F38</f>
        <v>0</v>
      </c>
      <c r="AF38" s="121" t="n">
        <f aca="false">$D38*G38</f>
        <v>14746472.6353131</v>
      </c>
      <c r="AG38" s="121" t="n">
        <f aca="false">$D38*H38</f>
        <v>0</v>
      </c>
      <c r="AH38" s="121" t="n">
        <f aca="false">$D38*I38</f>
        <v>0</v>
      </c>
      <c r="AI38" s="121" t="n">
        <f aca="false">$D38*J38</f>
        <v>0</v>
      </c>
      <c r="AJ38" s="121" t="n">
        <f aca="false">$D38*K38</f>
        <v>0</v>
      </c>
      <c r="AK38" s="121" t="n">
        <f aca="false">$D38*L38</f>
        <v>0</v>
      </c>
      <c r="AL38" s="121" t="n">
        <f aca="false">$D38*M38</f>
        <v>0</v>
      </c>
      <c r="AM38" s="125"/>
      <c r="AO38" s="75" t="e">
        <f aca="false">EURO(N38,O38,Z38,Z38,R38,U38,1,0)</f>
        <v>#NAME?</v>
      </c>
      <c r="AP38" s="138" t="e">
        <f aca="false">AO38*C38</f>
        <v>#NAME?</v>
      </c>
      <c r="AQ38" s="61" t="e">
        <f aca="false">EURO(N38,O38,Z38,Z38,R38,U38,1,1)</f>
        <v>#NAME?</v>
      </c>
      <c r="AR38" s="61" t="e">
        <f aca="false">AQ38+Put!AQ38</f>
        <v>#NAME?</v>
      </c>
      <c r="AS38" s="138" t="e">
        <f aca="false">AR38*C38</f>
        <v>#NAME?</v>
      </c>
      <c r="AT38" s="120" t="e">
        <f aca="false">AS38/10000</f>
        <v>#NAME?</v>
      </c>
    </row>
    <row r="39" customFormat="false" ht="12.75" hidden="false" customHeight="false" outlineLevel="0" collapsed="false">
      <c r="A39" s="127" t="n">
        <f aca="false">EDATE(A38,1)</f>
        <v>41061</v>
      </c>
      <c r="B39" s="128" t="n">
        <f aca="false">B38</f>
        <v>205479</v>
      </c>
      <c r="C39" s="116" t="n">
        <f aca="false">IF(AB39=0,0,IF(AND(AB39=1,$H$3=1),B39*W39,IF($H$3=2,B39,"N/A")))</f>
        <v>6164370</v>
      </c>
      <c r="D39" s="116" t="n">
        <f aca="false">C39*AA39</f>
        <v>3104973.45211116</v>
      </c>
      <c r="E39" s="129" t="n">
        <f aca="false">VLOOKUP($A39,[1]!CurveTable,MATCH($E$4,[1]!CurveType,0))</f>
        <v>4.61</v>
      </c>
      <c r="F39" s="130"/>
      <c r="G39" s="131" t="n">
        <f aca="false">E39</f>
        <v>4.61</v>
      </c>
      <c r="H39" s="129" t="n">
        <f aca="false">VLOOKUP($A39,[1]!CurveTable,MATCH($H$4,[1]!CurveType,0))</f>
        <v>0</v>
      </c>
      <c r="I39" s="131"/>
      <c r="J39" s="131" t="n">
        <f aca="false">H39</f>
        <v>0</v>
      </c>
      <c r="K39" s="129"/>
      <c r="L39" s="131"/>
      <c r="M39" s="131"/>
      <c r="N39" s="131" t="n">
        <f aca="false">G39+J39+M39+$N$7</f>
        <v>4.32</v>
      </c>
      <c r="O39" s="131" t="n">
        <f aca="false">Summary!$E$16</f>
        <v>9.81903240236408</v>
      </c>
      <c r="P39" s="131"/>
      <c r="Q39" s="129" t="n">
        <f aca="false">VLOOKUP($A39,[1]!CurveTable,MATCH($Q$4,[1]!CurveType,0))</f>
        <v>0.17</v>
      </c>
      <c r="R39" s="129" t="n">
        <f aca="false">Q39+Summary!$C$26</f>
        <v>0.17</v>
      </c>
      <c r="S39" s="129"/>
      <c r="T39" s="132" t="n">
        <f aca="false">X39</f>
        <v>41061</v>
      </c>
      <c r="U39" s="133" t="n">
        <f aca="false">T39-$C$3</f>
        <v>4056</v>
      </c>
      <c r="W39" s="61" t="n">
        <f aca="false">A40-A39</f>
        <v>30</v>
      </c>
      <c r="X39" s="135" t="n">
        <f aca="false">CHOOSE(F$3,A40+24,A39)</f>
        <v>41061</v>
      </c>
      <c r="Y39" s="61" t="n">
        <f aca="false">X39-C$3</f>
        <v>4056</v>
      </c>
      <c r="Z39" s="136" t="n">
        <f aca="false">VLOOKUP($A39,[1]!CurveTable,MATCH($Z$4,[1]!CurveType,0))</f>
        <v>0.0627191099149695</v>
      </c>
      <c r="AA39" s="137" t="n">
        <f aca="false">1/(1+CHOOSE(F$3,(Z40+($K$3/10000))/2,(Z39+($K$3/10000))/2))^(2*Y39/365.25)</f>
        <v>0.50369680147544</v>
      </c>
      <c r="AB39" s="61" t="n">
        <f aca="false">IF(AND(mthbeg&lt;=A39,mthend&gt;=A39),1,0)</f>
        <v>1</v>
      </c>
      <c r="AC39" s="61" t="n">
        <f aca="false">W39*AB39</f>
        <v>30</v>
      </c>
      <c r="AD39" s="121" t="n">
        <f aca="false">$D39*E39</f>
        <v>14313927.6142324</v>
      </c>
      <c r="AE39" s="121" t="n">
        <f aca="false">$D39*F39</f>
        <v>0</v>
      </c>
      <c r="AF39" s="121" t="n">
        <f aca="false">$D39*G39</f>
        <v>14313927.6142324</v>
      </c>
      <c r="AG39" s="121" t="n">
        <f aca="false">$D39*H39</f>
        <v>0</v>
      </c>
      <c r="AH39" s="121" t="n">
        <f aca="false">$D39*I39</f>
        <v>0</v>
      </c>
      <c r="AI39" s="121" t="n">
        <f aca="false">$D39*J39</f>
        <v>0</v>
      </c>
      <c r="AJ39" s="121" t="n">
        <f aca="false">$D39*K39</f>
        <v>0</v>
      </c>
      <c r="AK39" s="121" t="n">
        <f aca="false">$D39*L39</f>
        <v>0</v>
      </c>
      <c r="AL39" s="121" t="n">
        <f aca="false">$D39*M39</f>
        <v>0</v>
      </c>
      <c r="AM39" s="125"/>
      <c r="AO39" s="75" t="e">
        <f aca="false">EURO(N39,O39,Z39,Z39,R39,U39,1,0)</f>
        <v>#NAME?</v>
      </c>
      <c r="AP39" s="138" t="e">
        <f aca="false">AO39*C39</f>
        <v>#NAME?</v>
      </c>
      <c r="AQ39" s="61" t="e">
        <f aca="false">EURO(N39,O39,Z39,Z39,R39,U39,1,1)</f>
        <v>#NAME?</v>
      </c>
      <c r="AR39" s="61" t="e">
        <f aca="false">AQ39+Put!AQ39</f>
        <v>#NAME?</v>
      </c>
      <c r="AS39" s="138" t="e">
        <f aca="false">AR39*C39</f>
        <v>#NAME?</v>
      </c>
      <c r="AT39" s="120" t="e">
        <f aca="false">AS39/10000</f>
        <v>#NAME?</v>
      </c>
    </row>
    <row r="40" customFormat="false" ht="12.75" hidden="false" customHeight="false" outlineLevel="0" collapsed="false">
      <c r="A40" s="127" t="n">
        <f aca="false">EDATE(A39,1)</f>
        <v>41091</v>
      </c>
      <c r="B40" s="128" t="n">
        <f aca="false">B39</f>
        <v>205479</v>
      </c>
      <c r="C40" s="116" t="n">
        <f aca="false">IF(AB40=0,0,IF(AND(AB40=1,$H$3=1),B40*W40,IF($H$3=2,B40,"N/A")))</f>
        <v>6369849</v>
      </c>
      <c r="D40" s="116" t="n">
        <f aca="false">C40*AA40</f>
        <v>3190814.93383365</v>
      </c>
      <c r="E40" s="129" t="n">
        <f aca="false">VLOOKUP($A40,[1]!CurveTable,MATCH($E$4,[1]!CurveType,0))</f>
        <v>4.655</v>
      </c>
      <c r="F40" s="130"/>
      <c r="G40" s="131" t="n">
        <f aca="false">E40</f>
        <v>4.655</v>
      </c>
      <c r="H40" s="129" t="n">
        <f aca="false">VLOOKUP($A40,[1]!CurveTable,MATCH($H$4,[1]!CurveType,0))</f>
        <v>0</v>
      </c>
      <c r="I40" s="131"/>
      <c r="J40" s="131" t="n">
        <f aca="false">H40</f>
        <v>0</v>
      </c>
      <c r="K40" s="129"/>
      <c r="L40" s="131"/>
      <c r="M40" s="131"/>
      <c r="N40" s="131" t="n">
        <f aca="false">G40+J40+M40+$N$7</f>
        <v>4.365</v>
      </c>
      <c r="O40" s="131" t="n">
        <f aca="false">Summary!$E$16</f>
        <v>9.81903240236408</v>
      </c>
      <c r="P40" s="131"/>
      <c r="Q40" s="129" t="n">
        <f aca="false">VLOOKUP($A40,[1]!CurveTable,MATCH($Q$4,[1]!CurveType,0))</f>
        <v>0.17</v>
      </c>
      <c r="R40" s="129" t="n">
        <f aca="false">Q40+Summary!$C$26</f>
        <v>0.17</v>
      </c>
      <c r="S40" s="129"/>
      <c r="T40" s="132" t="n">
        <f aca="false">X40</f>
        <v>41091</v>
      </c>
      <c r="U40" s="133" t="n">
        <f aca="false">T40-$C$3</f>
        <v>4086</v>
      </c>
      <c r="W40" s="61" t="n">
        <f aca="false">A41-A40</f>
        <v>31</v>
      </c>
      <c r="X40" s="135" t="n">
        <f aca="false">CHOOSE(F$3,A41+24,A40)</f>
        <v>41091</v>
      </c>
      <c r="Y40" s="61" t="n">
        <f aca="false">X40-C$3</f>
        <v>4086</v>
      </c>
      <c r="Z40" s="136" t="n">
        <f aca="false">VLOOKUP($A40,[1]!CurveTable,MATCH($Z$4,[1]!CurveType,0))</f>
        <v>0.0627602560526439</v>
      </c>
      <c r="AA40" s="137" t="n">
        <f aca="false">1/(1+CHOOSE(F$3,(Z41+($K$3/10000))/2,(Z40+($K$3/10000))/2))^(2*Y40/365.25)</f>
        <v>0.500924736808306</v>
      </c>
      <c r="AB40" s="61" t="n">
        <f aca="false">IF(AND(mthbeg&lt;=A40,mthend&gt;=A40),1,0)</f>
        <v>1</v>
      </c>
      <c r="AC40" s="61" t="n">
        <f aca="false">W40*AB40</f>
        <v>31</v>
      </c>
      <c r="AD40" s="121" t="n">
        <f aca="false">$D40*E40</f>
        <v>14853243.5169957</v>
      </c>
      <c r="AE40" s="121" t="n">
        <f aca="false">$D40*F40</f>
        <v>0</v>
      </c>
      <c r="AF40" s="121" t="n">
        <f aca="false">$D40*G40</f>
        <v>14853243.5169957</v>
      </c>
      <c r="AG40" s="121" t="n">
        <f aca="false">$D40*H40</f>
        <v>0</v>
      </c>
      <c r="AH40" s="121" t="n">
        <f aca="false">$D40*I40</f>
        <v>0</v>
      </c>
      <c r="AI40" s="121" t="n">
        <f aca="false">$D40*J40</f>
        <v>0</v>
      </c>
      <c r="AJ40" s="121" t="n">
        <f aca="false">$D40*K40</f>
        <v>0</v>
      </c>
      <c r="AK40" s="121" t="n">
        <f aca="false">$D40*L40</f>
        <v>0</v>
      </c>
      <c r="AL40" s="121" t="n">
        <f aca="false">$D40*M40</f>
        <v>0</v>
      </c>
      <c r="AM40" s="125"/>
      <c r="AO40" s="75" t="e">
        <f aca="false">EURO(N40,O40,Z40,Z40,R40,U40,1,0)</f>
        <v>#NAME?</v>
      </c>
      <c r="AP40" s="138" t="e">
        <f aca="false">AO40*C40</f>
        <v>#NAME?</v>
      </c>
      <c r="AQ40" s="61" t="e">
        <f aca="false">EURO(N40,O40,Z40,Z40,R40,U40,1,1)</f>
        <v>#NAME?</v>
      </c>
      <c r="AR40" s="61" t="e">
        <f aca="false">AQ40+Put!AQ40</f>
        <v>#NAME?</v>
      </c>
      <c r="AS40" s="138" t="e">
        <f aca="false">AR40*C40</f>
        <v>#NAME?</v>
      </c>
      <c r="AT40" s="120" t="e">
        <f aca="false">AS40/10000</f>
        <v>#NAME?</v>
      </c>
    </row>
    <row r="41" customFormat="false" ht="12.75" hidden="false" customHeight="false" outlineLevel="0" collapsed="false">
      <c r="A41" s="127" t="n">
        <f aca="false">EDATE(A40,1)</f>
        <v>41122</v>
      </c>
      <c r="B41" s="128" t="n">
        <f aca="false">B40</f>
        <v>205479</v>
      </c>
      <c r="C41" s="116" t="n">
        <f aca="false">IF(AB41=0,0,IF(AND(AB41=1,$H$3=1),B41*W41,IF($H$3=2,B41,"N/A")))</f>
        <v>6369849</v>
      </c>
      <c r="D41" s="116" t="n">
        <f aca="false">C41*AA41</f>
        <v>3172648.98361724</v>
      </c>
      <c r="E41" s="129" t="n">
        <f aca="false">VLOOKUP($A41,[1]!CurveTable,MATCH($E$4,[1]!CurveType,0))</f>
        <v>4.69</v>
      </c>
      <c r="F41" s="130"/>
      <c r="G41" s="131" t="n">
        <f aca="false">E41</f>
        <v>4.69</v>
      </c>
      <c r="H41" s="129" t="n">
        <f aca="false">VLOOKUP($A41,[1]!CurveTable,MATCH($H$4,[1]!CurveType,0))</f>
        <v>0</v>
      </c>
      <c r="I41" s="131"/>
      <c r="J41" s="131" t="n">
        <f aca="false">H41</f>
        <v>0</v>
      </c>
      <c r="K41" s="129"/>
      <c r="L41" s="131"/>
      <c r="M41" s="131"/>
      <c r="N41" s="131" t="n">
        <f aca="false">G41+J41+M41+$N$7</f>
        <v>4.4</v>
      </c>
      <c r="O41" s="131" t="n">
        <f aca="false">Summary!$E$16</f>
        <v>9.81903240236408</v>
      </c>
      <c r="P41" s="131"/>
      <c r="Q41" s="129" t="n">
        <f aca="false">VLOOKUP($A41,[1]!CurveTable,MATCH($Q$4,[1]!CurveType,0))</f>
        <v>0.17</v>
      </c>
      <c r="R41" s="129" t="n">
        <f aca="false">Q41+Summary!$C$26</f>
        <v>0.17</v>
      </c>
      <c r="S41" s="129"/>
      <c r="T41" s="132" t="n">
        <f aca="false">X41</f>
        <v>41122</v>
      </c>
      <c r="U41" s="133" t="n">
        <f aca="false">T41-$C$3</f>
        <v>4117</v>
      </c>
      <c r="W41" s="61" t="n">
        <f aca="false">A42-A41</f>
        <v>31</v>
      </c>
      <c r="X41" s="135" t="n">
        <f aca="false">CHOOSE(F$3,A42+24,A41)</f>
        <v>41122</v>
      </c>
      <c r="Y41" s="61" t="n">
        <f aca="false">X41-C$3</f>
        <v>4117</v>
      </c>
      <c r="Z41" s="136" t="n">
        <f aca="false">VLOOKUP($A41,[1]!CurveTable,MATCH($Z$4,[1]!CurveType,0))</f>
        <v>0.0628027737288299</v>
      </c>
      <c r="AA41" s="137" t="n">
        <f aca="false">1/(1+CHOOSE(F$3,(Z42+($K$3/10000))/2,(Z41+($K$3/10000))/2))^(2*Y41/365.25)</f>
        <v>0.498072871683024</v>
      </c>
      <c r="AB41" s="61" t="n">
        <f aca="false">IF(AND(mthbeg&lt;=A41,mthend&gt;=A41),1,0)</f>
        <v>1</v>
      </c>
      <c r="AC41" s="61" t="n">
        <f aca="false">W41*AB41</f>
        <v>31</v>
      </c>
      <c r="AD41" s="121" t="n">
        <f aca="false">$D41*E41</f>
        <v>14879723.7331649</v>
      </c>
      <c r="AE41" s="121" t="n">
        <f aca="false">$D41*F41</f>
        <v>0</v>
      </c>
      <c r="AF41" s="121" t="n">
        <f aca="false">$D41*G41</f>
        <v>14879723.7331649</v>
      </c>
      <c r="AG41" s="121" t="n">
        <f aca="false">$D41*H41</f>
        <v>0</v>
      </c>
      <c r="AH41" s="121" t="n">
        <f aca="false">$D41*I41</f>
        <v>0</v>
      </c>
      <c r="AI41" s="121" t="n">
        <f aca="false">$D41*J41</f>
        <v>0</v>
      </c>
      <c r="AJ41" s="121" t="n">
        <f aca="false">$D41*K41</f>
        <v>0</v>
      </c>
      <c r="AK41" s="121" t="n">
        <f aca="false">$D41*L41</f>
        <v>0</v>
      </c>
      <c r="AL41" s="121" t="n">
        <f aca="false">$D41*M41</f>
        <v>0</v>
      </c>
      <c r="AM41" s="125"/>
      <c r="AO41" s="75" t="e">
        <f aca="false">EURO(N41,O41,Z41,Z41,R41,U41,1,0)</f>
        <v>#NAME?</v>
      </c>
      <c r="AP41" s="138" t="e">
        <f aca="false">AO41*C41</f>
        <v>#NAME?</v>
      </c>
      <c r="AQ41" s="61" t="e">
        <f aca="false">EURO(N41,O41,Z41,Z41,R41,U41,1,1)</f>
        <v>#NAME?</v>
      </c>
      <c r="AR41" s="61" t="e">
        <f aca="false">AQ41+Put!AQ41</f>
        <v>#NAME?</v>
      </c>
      <c r="AS41" s="138" t="e">
        <f aca="false">AR41*C41</f>
        <v>#NAME?</v>
      </c>
      <c r="AT41" s="120" t="e">
        <f aca="false">AS41/10000</f>
        <v>#NAME?</v>
      </c>
    </row>
    <row r="42" customFormat="false" ht="12.75" hidden="false" customHeight="false" outlineLevel="0" collapsed="false">
      <c r="A42" s="127" t="n">
        <f aca="false">EDATE(A41,1)</f>
        <v>41153</v>
      </c>
      <c r="B42" s="128" t="n">
        <f aca="false">B41</f>
        <v>205479</v>
      </c>
      <c r="C42" s="116" t="n">
        <f aca="false">IF(AB42=0,0,IF(AND(AB42=1,$H$3=1),B42*W42,IF($H$3=2,B42,"N/A")))</f>
        <v>6164370</v>
      </c>
      <c r="D42" s="116" t="n">
        <f aca="false">C42*AA42</f>
        <v>3052804.26951765</v>
      </c>
      <c r="E42" s="129" t="n">
        <f aca="false">VLOOKUP($A42,[1]!CurveTable,MATCH($E$4,[1]!CurveType,0))</f>
        <v>4.695</v>
      </c>
      <c r="F42" s="130"/>
      <c r="G42" s="131" t="n">
        <f aca="false">E42</f>
        <v>4.695</v>
      </c>
      <c r="H42" s="129" t="n">
        <f aca="false">VLOOKUP($A42,[1]!CurveTable,MATCH($H$4,[1]!CurveType,0))</f>
        <v>0</v>
      </c>
      <c r="I42" s="131"/>
      <c r="J42" s="131" t="n">
        <f aca="false">H42</f>
        <v>0</v>
      </c>
      <c r="K42" s="129"/>
      <c r="L42" s="131"/>
      <c r="M42" s="131"/>
      <c r="N42" s="131" t="n">
        <f aca="false">G42+J42+M42+$N$7</f>
        <v>4.405</v>
      </c>
      <c r="O42" s="131" t="n">
        <f aca="false">Summary!$E$16</f>
        <v>9.81903240236408</v>
      </c>
      <c r="P42" s="131"/>
      <c r="Q42" s="129" t="n">
        <f aca="false">VLOOKUP($A42,[1]!CurveTable,MATCH($Q$4,[1]!CurveType,0))</f>
        <v>0.17</v>
      </c>
      <c r="R42" s="129" t="n">
        <f aca="false">Q42+Summary!$C$26</f>
        <v>0.17</v>
      </c>
      <c r="S42" s="129"/>
      <c r="T42" s="132" t="n">
        <f aca="false">X42</f>
        <v>41153</v>
      </c>
      <c r="U42" s="133" t="n">
        <f aca="false">T42-$C$3</f>
        <v>4148</v>
      </c>
      <c r="W42" s="61" t="n">
        <f aca="false">A43-A42</f>
        <v>30</v>
      </c>
      <c r="X42" s="135" t="n">
        <f aca="false">CHOOSE(F$3,A43+24,A42)</f>
        <v>41153</v>
      </c>
      <c r="Y42" s="61" t="n">
        <f aca="false">X42-C$3</f>
        <v>4148</v>
      </c>
      <c r="Z42" s="136" t="n">
        <f aca="false">VLOOKUP($A42,[1]!CurveTable,MATCH($Z$4,[1]!CurveType,0))</f>
        <v>0.0628452914056163</v>
      </c>
      <c r="AA42" s="137" t="n">
        <f aca="false">1/(1+CHOOSE(F$3,(Z43+($K$3/10000))/2,(Z42+($K$3/10000))/2))^(2*Y42/365.25)</f>
        <v>0.495233782124961</v>
      </c>
      <c r="AB42" s="61" t="n">
        <f aca="false">IF(AND(mthbeg&lt;=A42,mthend&gt;=A42),1,0)</f>
        <v>1</v>
      </c>
      <c r="AC42" s="61" t="n">
        <f aca="false">W42*AB42</f>
        <v>30</v>
      </c>
      <c r="AD42" s="121" t="n">
        <f aca="false">$D42*E42</f>
        <v>14332916.0453854</v>
      </c>
      <c r="AE42" s="121" t="n">
        <f aca="false">$D42*F42</f>
        <v>0</v>
      </c>
      <c r="AF42" s="121" t="n">
        <f aca="false">$D42*G42</f>
        <v>14332916.0453854</v>
      </c>
      <c r="AG42" s="121" t="n">
        <f aca="false">$D42*H42</f>
        <v>0</v>
      </c>
      <c r="AH42" s="121" t="n">
        <f aca="false">$D42*I42</f>
        <v>0</v>
      </c>
      <c r="AI42" s="121" t="n">
        <f aca="false">$D42*J42</f>
        <v>0</v>
      </c>
      <c r="AJ42" s="121" t="n">
        <f aca="false">$D42*K42</f>
        <v>0</v>
      </c>
      <c r="AK42" s="121" t="n">
        <f aca="false">$D42*L42</f>
        <v>0</v>
      </c>
      <c r="AL42" s="121" t="n">
        <f aca="false">$D42*M42</f>
        <v>0</v>
      </c>
      <c r="AM42" s="125"/>
      <c r="AO42" s="75" t="e">
        <f aca="false">EURO(N42,O42,Z42,Z42,R42,U42,1,0)</f>
        <v>#NAME?</v>
      </c>
      <c r="AP42" s="138" t="e">
        <f aca="false">AO42*C42</f>
        <v>#NAME?</v>
      </c>
      <c r="AQ42" s="61" t="e">
        <f aca="false">EURO(N42,O42,Z42,Z42,R42,U42,1,1)</f>
        <v>#NAME?</v>
      </c>
      <c r="AR42" s="61" t="e">
        <f aca="false">AQ42+Put!AQ42</f>
        <v>#NAME?</v>
      </c>
      <c r="AS42" s="138" t="e">
        <f aca="false">AR42*C42</f>
        <v>#NAME?</v>
      </c>
      <c r="AT42" s="120" t="e">
        <f aca="false">AS42/10000</f>
        <v>#NAME?</v>
      </c>
    </row>
    <row r="43" customFormat="false" ht="12.75" hidden="false" customHeight="false" outlineLevel="0" collapsed="false">
      <c r="A43" s="127" t="n">
        <f aca="false">EDATE(A42,1)</f>
        <v>41183</v>
      </c>
      <c r="B43" s="128" t="n">
        <f aca="false">B42</f>
        <v>205479</v>
      </c>
      <c r="C43" s="116" t="n">
        <f aca="false">IF(AB43=0,0,IF(AND(AB43=1,$H$3=1),B43*W43,IF($H$3=2,B43,"N/A")))</f>
        <v>6369849</v>
      </c>
      <c r="D43" s="116" t="n">
        <f aca="false">C43*AA43</f>
        <v>3137140.49755195</v>
      </c>
      <c r="E43" s="129" t="n">
        <f aca="false">VLOOKUP($A43,[1]!CurveTable,MATCH($E$4,[1]!CurveType,0))</f>
        <v>4.725</v>
      </c>
      <c r="F43" s="130"/>
      <c r="G43" s="131" t="n">
        <f aca="false">E43</f>
        <v>4.725</v>
      </c>
      <c r="H43" s="129" t="n">
        <f aca="false">VLOOKUP($A43,[1]!CurveTable,MATCH($H$4,[1]!CurveType,0))</f>
        <v>0</v>
      </c>
      <c r="I43" s="131"/>
      <c r="J43" s="131" t="n">
        <f aca="false">H43</f>
        <v>0</v>
      </c>
      <c r="K43" s="129"/>
      <c r="L43" s="131"/>
      <c r="M43" s="131"/>
      <c r="N43" s="131" t="n">
        <f aca="false">G43+J43+M43+$N$7</f>
        <v>4.435</v>
      </c>
      <c r="O43" s="131" t="n">
        <f aca="false">Summary!$E$16</f>
        <v>9.81903240236408</v>
      </c>
      <c r="P43" s="131"/>
      <c r="Q43" s="129" t="n">
        <f aca="false">VLOOKUP($A43,[1]!CurveTable,MATCH($Q$4,[1]!CurveType,0))</f>
        <v>0.17</v>
      </c>
      <c r="R43" s="129" t="n">
        <f aca="false">Q43+Summary!$C$26</f>
        <v>0.17</v>
      </c>
      <c r="S43" s="129"/>
      <c r="T43" s="132" t="n">
        <f aca="false">X43</f>
        <v>41183</v>
      </c>
      <c r="U43" s="133" t="n">
        <f aca="false">T43-$C$3</f>
        <v>4178</v>
      </c>
      <c r="W43" s="61" t="n">
        <f aca="false">A44-A43</f>
        <v>31</v>
      </c>
      <c r="X43" s="135" t="n">
        <f aca="false">CHOOSE(F$3,A44+24,A43)</f>
        <v>41183</v>
      </c>
      <c r="Y43" s="61" t="n">
        <f aca="false">X43-C$3</f>
        <v>4178</v>
      </c>
      <c r="Z43" s="136" t="n">
        <f aca="false">VLOOKUP($A43,[1]!CurveTable,MATCH($Z$4,[1]!CurveType,0))</f>
        <v>0.0628864375450129</v>
      </c>
      <c r="AA43" s="137" t="n">
        <f aca="false">1/(1+CHOOSE(F$3,(Z44+($K$3/10000))/2,(Z43+($K$3/10000))/2))^(2*Y43/365.25)</f>
        <v>0.492498408918634</v>
      </c>
      <c r="AB43" s="61" t="n">
        <f aca="false">IF(AND(mthbeg&lt;=A43,mthend&gt;=A43),1,0)</f>
        <v>1</v>
      </c>
      <c r="AC43" s="61" t="n">
        <f aca="false">W43*AB43</f>
        <v>31</v>
      </c>
      <c r="AD43" s="121" t="n">
        <f aca="false">$D43*E43</f>
        <v>14822988.850933</v>
      </c>
      <c r="AE43" s="121" t="n">
        <f aca="false">$D43*F43</f>
        <v>0</v>
      </c>
      <c r="AF43" s="121" t="n">
        <f aca="false">$D43*G43</f>
        <v>14822988.850933</v>
      </c>
      <c r="AG43" s="121" t="n">
        <f aca="false">$D43*H43</f>
        <v>0</v>
      </c>
      <c r="AH43" s="121" t="n">
        <f aca="false">$D43*I43</f>
        <v>0</v>
      </c>
      <c r="AI43" s="121" t="n">
        <f aca="false">$D43*J43</f>
        <v>0</v>
      </c>
      <c r="AJ43" s="121" t="n">
        <f aca="false">$D43*K43</f>
        <v>0</v>
      </c>
      <c r="AK43" s="121" t="n">
        <f aca="false">$D43*L43</f>
        <v>0</v>
      </c>
      <c r="AL43" s="121" t="n">
        <f aca="false">$D43*M43</f>
        <v>0</v>
      </c>
      <c r="AM43" s="125"/>
      <c r="AO43" s="75" t="e">
        <f aca="false">EURO(N43,O43,Z43,Z43,R43,U43,1,0)</f>
        <v>#NAME?</v>
      </c>
      <c r="AP43" s="138" t="e">
        <f aca="false">AO43*C43</f>
        <v>#NAME?</v>
      </c>
      <c r="AQ43" s="61" t="e">
        <f aca="false">EURO(N43,O43,Z43,Z43,R43,U43,1,1)</f>
        <v>#NAME?</v>
      </c>
      <c r="AR43" s="61" t="e">
        <f aca="false">AQ43+Put!AQ43</f>
        <v>#NAME?</v>
      </c>
      <c r="AS43" s="138" t="e">
        <f aca="false">AR43*C43</f>
        <v>#NAME?</v>
      </c>
      <c r="AT43" s="120" t="e">
        <f aca="false">AS43/10000</f>
        <v>#NAME?</v>
      </c>
    </row>
    <row r="44" customFormat="false" ht="12.75" hidden="false" customHeight="false" outlineLevel="0" collapsed="false">
      <c r="A44" s="127" t="n">
        <f aca="false">EDATE(A43,1)</f>
        <v>41214</v>
      </c>
      <c r="B44" s="128" t="n">
        <f aca="false">B43</f>
        <v>205479</v>
      </c>
      <c r="C44" s="116" t="n">
        <f aca="false">IF(AB44=0,0,IF(AND(AB44=1,$H$3=1),B44*W44,IF($H$3=2,B44,"N/A")))</f>
        <v>6164370</v>
      </c>
      <c r="D44" s="116" t="n">
        <f aca="false">C44*AA44</f>
        <v>3018595.58755562</v>
      </c>
      <c r="E44" s="129" t="n">
        <f aca="false">VLOOKUP($A44,[1]!CurveTable,MATCH($E$4,[1]!CurveType,0))</f>
        <v>4.835</v>
      </c>
      <c r="F44" s="130"/>
      <c r="G44" s="131" t="n">
        <f aca="false">E44</f>
        <v>4.835</v>
      </c>
      <c r="H44" s="129" t="n">
        <f aca="false">VLOOKUP($A44,[1]!CurveTable,MATCH($H$4,[1]!CurveType,0))</f>
        <v>0</v>
      </c>
      <c r="I44" s="131"/>
      <c r="J44" s="131" t="n">
        <f aca="false">H44</f>
        <v>0</v>
      </c>
      <c r="K44" s="129"/>
      <c r="L44" s="131"/>
      <c r="M44" s="131"/>
      <c r="N44" s="131" t="n">
        <f aca="false">G44+J44+M44+$N$7</f>
        <v>4.545</v>
      </c>
      <c r="O44" s="131" t="n">
        <f aca="false">Summary!$E$16</f>
        <v>9.81903240236408</v>
      </c>
      <c r="P44" s="131"/>
      <c r="Q44" s="129" t="n">
        <f aca="false">VLOOKUP($A44,[1]!CurveTable,MATCH($Q$4,[1]!CurveType,0))</f>
        <v>0.17</v>
      </c>
      <c r="R44" s="129" t="n">
        <f aca="false">Q44+Summary!$C$26</f>
        <v>0.17</v>
      </c>
      <c r="S44" s="129"/>
      <c r="T44" s="132" t="n">
        <f aca="false">X44</f>
        <v>41214</v>
      </c>
      <c r="U44" s="133" t="n">
        <f aca="false">T44-$C$3</f>
        <v>4209</v>
      </c>
      <c r="W44" s="61" t="n">
        <f aca="false">A45-A44</f>
        <v>30</v>
      </c>
      <c r="X44" s="135" t="n">
        <f aca="false">CHOOSE(F$3,A45+24,A44)</f>
        <v>41214</v>
      </c>
      <c r="Y44" s="61" t="n">
        <f aca="false">X44-C$3</f>
        <v>4209</v>
      </c>
      <c r="Z44" s="136" t="n">
        <f aca="false">VLOOKUP($A44,[1]!CurveTable,MATCH($Z$4,[1]!CurveType,0))</f>
        <v>0.0629289552229797</v>
      </c>
      <c r="AA44" s="137" t="n">
        <f aca="false">1/(1+CHOOSE(F$3,(Z45+($K$3/10000))/2,(Z44+($K$3/10000))/2))^(2*Y44/365.25)</f>
        <v>0.489684361509062</v>
      </c>
      <c r="AB44" s="61" t="n">
        <f aca="false">IF(AND(mthbeg&lt;=A44,mthend&gt;=A44),1,0)</f>
        <v>1</v>
      </c>
      <c r="AC44" s="61" t="n">
        <f aca="false">W44*AB44</f>
        <v>30</v>
      </c>
      <c r="AD44" s="121" t="n">
        <f aca="false">$D44*E44</f>
        <v>14594909.6658314</v>
      </c>
      <c r="AE44" s="121" t="n">
        <f aca="false">$D44*F44</f>
        <v>0</v>
      </c>
      <c r="AF44" s="121" t="n">
        <f aca="false">$D44*G44</f>
        <v>14594909.6658314</v>
      </c>
      <c r="AG44" s="121" t="n">
        <f aca="false">$D44*H44</f>
        <v>0</v>
      </c>
      <c r="AH44" s="121" t="n">
        <f aca="false">$D44*I44</f>
        <v>0</v>
      </c>
      <c r="AI44" s="121" t="n">
        <f aca="false">$D44*J44</f>
        <v>0</v>
      </c>
      <c r="AJ44" s="121" t="n">
        <f aca="false">$D44*K44</f>
        <v>0</v>
      </c>
      <c r="AK44" s="121" t="n">
        <f aca="false">$D44*L44</f>
        <v>0</v>
      </c>
      <c r="AL44" s="121" t="n">
        <f aca="false">$D44*M44</f>
        <v>0</v>
      </c>
      <c r="AM44" s="125"/>
      <c r="AO44" s="75" t="e">
        <f aca="false">EURO(N44,O44,Z44,Z44,R44,U44,1,0)</f>
        <v>#NAME?</v>
      </c>
      <c r="AP44" s="138" t="e">
        <f aca="false">AO44*C44</f>
        <v>#NAME?</v>
      </c>
      <c r="AQ44" s="61" t="e">
        <f aca="false">EURO(N44,O44,Z44,Z44,R44,U44,1,1)</f>
        <v>#NAME?</v>
      </c>
      <c r="AR44" s="61" t="e">
        <f aca="false">AQ44+Put!AQ44</f>
        <v>#NAME?</v>
      </c>
      <c r="AS44" s="138" t="e">
        <f aca="false">AR44*C44</f>
        <v>#NAME?</v>
      </c>
      <c r="AT44" s="120" t="e">
        <f aca="false">AS44/10000</f>
        <v>#NAME?</v>
      </c>
    </row>
    <row r="45" customFormat="false" ht="12.75" hidden="false" customHeight="false" outlineLevel="0" collapsed="false">
      <c r="A45" s="127" t="n">
        <f aca="false">EDATE(A44,1)</f>
        <v>41244</v>
      </c>
      <c r="B45" s="128" t="n">
        <f aca="false">B44</f>
        <v>205479</v>
      </c>
      <c r="C45" s="116" t="n">
        <f aca="false">IF(AB45=0,0,IF(AND(AB45=1,$H$3=1),B45*W45,IF($H$3=2,B45,"N/A")))</f>
        <v>6369849</v>
      </c>
      <c r="D45" s="116" t="n">
        <f aca="false">C45*AA45</f>
        <v>3101945.49824656</v>
      </c>
      <c r="E45" s="129" t="n">
        <f aca="false">VLOOKUP($A45,[1]!CurveTable,MATCH($E$4,[1]!CurveType,0))</f>
        <v>4.955</v>
      </c>
      <c r="F45" s="130"/>
      <c r="G45" s="131" t="n">
        <f aca="false">E45</f>
        <v>4.955</v>
      </c>
      <c r="H45" s="129" t="n">
        <f aca="false">VLOOKUP($A45,[1]!CurveTable,MATCH($H$4,[1]!CurveType,0))</f>
        <v>0</v>
      </c>
      <c r="I45" s="131"/>
      <c r="J45" s="131" t="n">
        <f aca="false">H45</f>
        <v>0</v>
      </c>
      <c r="K45" s="129"/>
      <c r="L45" s="131"/>
      <c r="M45" s="131"/>
      <c r="N45" s="131" t="n">
        <f aca="false">G45+J45+M45+$N$7</f>
        <v>4.665</v>
      </c>
      <c r="O45" s="131" t="n">
        <f aca="false">Summary!$E$16</f>
        <v>9.81903240236408</v>
      </c>
      <c r="P45" s="131"/>
      <c r="Q45" s="129" t="n">
        <f aca="false">VLOOKUP($A45,[1]!CurveTable,MATCH($Q$4,[1]!CurveType,0))</f>
        <v>0.17</v>
      </c>
      <c r="R45" s="129" t="n">
        <f aca="false">Q45+Summary!$C$26</f>
        <v>0.17</v>
      </c>
      <c r="S45" s="129"/>
      <c r="T45" s="132" t="n">
        <f aca="false">X45</f>
        <v>41244</v>
      </c>
      <c r="U45" s="133" t="n">
        <f aca="false">T45-$C$3</f>
        <v>4239</v>
      </c>
      <c r="W45" s="61" t="n">
        <f aca="false">A46-A45</f>
        <v>31</v>
      </c>
      <c r="X45" s="135" t="n">
        <f aca="false">CHOOSE(F$3,A46+24,A45)</f>
        <v>41244</v>
      </c>
      <c r="Y45" s="61" t="n">
        <f aca="false">X45-C$3</f>
        <v>4239</v>
      </c>
      <c r="Z45" s="136" t="n">
        <f aca="false">VLOOKUP($A45,[1]!CurveTable,MATCH($Z$4,[1]!CurveType,0))</f>
        <v>0.062970101363518</v>
      </c>
      <c r="AA45" s="137" t="n">
        <f aca="false">1/(1+CHOOSE(F$3,(Z46+($K$3/10000))/2,(Z45+($K$3/10000))/2))^(2*Y45/365.25)</f>
        <v>0.486973160312993</v>
      </c>
      <c r="AB45" s="61" t="n">
        <f aca="false">IF(AND(mthbeg&lt;=A45,mthend&gt;=A45),1,0)</f>
        <v>1</v>
      </c>
      <c r="AC45" s="61" t="n">
        <f aca="false">W45*AB45</f>
        <v>31</v>
      </c>
      <c r="AD45" s="121" t="n">
        <f aca="false">$D45*E45</f>
        <v>15370139.9438117</v>
      </c>
      <c r="AE45" s="121" t="n">
        <f aca="false">$D45*F45</f>
        <v>0</v>
      </c>
      <c r="AF45" s="121" t="n">
        <f aca="false">$D45*G45</f>
        <v>15370139.9438117</v>
      </c>
      <c r="AG45" s="121" t="n">
        <f aca="false">$D45*H45</f>
        <v>0</v>
      </c>
      <c r="AH45" s="121" t="n">
        <f aca="false">$D45*I45</f>
        <v>0</v>
      </c>
      <c r="AI45" s="121" t="n">
        <f aca="false">$D45*J45</f>
        <v>0</v>
      </c>
      <c r="AJ45" s="121" t="n">
        <f aca="false">$D45*K45</f>
        <v>0</v>
      </c>
      <c r="AK45" s="121" t="n">
        <f aca="false">$D45*L45</f>
        <v>0</v>
      </c>
      <c r="AL45" s="121" t="n">
        <f aca="false">$D45*M45</f>
        <v>0</v>
      </c>
      <c r="AM45" s="125"/>
      <c r="AO45" s="75" t="e">
        <f aca="false">EURO(N45,O45,Z45,Z45,R45,U45,1,0)</f>
        <v>#NAME?</v>
      </c>
      <c r="AP45" s="138" t="e">
        <f aca="false">AO45*C45</f>
        <v>#NAME?</v>
      </c>
      <c r="AQ45" s="61" t="e">
        <f aca="false">EURO(N45,O45,Z45,Z45,R45,U45,1,1)</f>
        <v>#NAME?</v>
      </c>
      <c r="AR45" s="61" t="e">
        <f aca="false">AQ45+Put!AQ45</f>
        <v>#NAME?</v>
      </c>
      <c r="AS45" s="138" t="e">
        <f aca="false">AR45*C45</f>
        <v>#NAME?</v>
      </c>
      <c r="AT45" s="120" t="e">
        <f aca="false">AS45/10000</f>
        <v>#NAME?</v>
      </c>
    </row>
    <row r="46" customFormat="false" ht="12.75" hidden="false" customHeight="false" outlineLevel="0" collapsed="false">
      <c r="A46" s="127" t="n">
        <f aca="false">EDATE(A45,1)</f>
        <v>41275</v>
      </c>
      <c r="B46" s="128" t="n">
        <f aca="false">B45</f>
        <v>205479</v>
      </c>
      <c r="C46" s="116" t="n">
        <f aca="false">IF(AB46=0,0,IF(AND(AB46=1,$H$3=1),B46*W46,IF($H$3=2,B46,"N/A")))</f>
        <v>6369849</v>
      </c>
      <c r="D46" s="116" t="n">
        <f aca="false">C46*AA46</f>
        <v>3084179.13443842</v>
      </c>
      <c r="E46" s="129" t="n">
        <f aca="false">VLOOKUP($A46,[1]!CurveTable,MATCH($E$4,[1]!CurveType,0))</f>
        <v>5.025</v>
      </c>
      <c r="F46" s="130"/>
      <c r="G46" s="131" t="n">
        <f aca="false">E46</f>
        <v>5.025</v>
      </c>
      <c r="H46" s="129" t="n">
        <f aca="false">VLOOKUP($A46,[1]!CurveTable,MATCH($H$4,[1]!CurveType,0))</f>
        <v>0</v>
      </c>
      <c r="I46" s="131"/>
      <c r="J46" s="131" t="n">
        <f aca="false">H46</f>
        <v>0</v>
      </c>
      <c r="K46" s="129"/>
      <c r="L46" s="131"/>
      <c r="M46" s="131"/>
      <c r="N46" s="131" t="n">
        <f aca="false">G46+J46+M46+$N$7</f>
        <v>4.735</v>
      </c>
      <c r="O46" s="131" t="n">
        <f aca="false">Summary!$E$16</f>
        <v>9.81903240236408</v>
      </c>
      <c r="P46" s="131"/>
      <c r="Q46" s="129" t="n">
        <f aca="false">VLOOKUP($A46,[1]!CurveTable,MATCH($Q$4,[1]!CurveType,0))</f>
        <v>0.17</v>
      </c>
      <c r="R46" s="129" t="n">
        <f aca="false">Q46+Summary!$C$26</f>
        <v>0.17</v>
      </c>
      <c r="S46" s="129"/>
      <c r="T46" s="132" t="n">
        <f aca="false">X46</f>
        <v>41275</v>
      </c>
      <c r="U46" s="133" t="n">
        <f aca="false">T46-$C$3</f>
        <v>4270</v>
      </c>
      <c r="W46" s="61" t="n">
        <f aca="false">A47-A46</f>
        <v>31</v>
      </c>
      <c r="X46" s="135" t="n">
        <f aca="false">CHOOSE(F$3,A47+24,A46)</f>
        <v>41275</v>
      </c>
      <c r="Y46" s="61" t="n">
        <f aca="false">X46-C$3</f>
        <v>4270</v>
      </c>
      <c r="Z46" s="136" t="n">
        <f aca="false">VLOOKUP($A46,[1]!CurveTable,MATCH($Z$4,[1]!CurveType,0))</f>
        <v>0.0630126190426648</v>
      </c>
      <c r="AA46" s="137" t="n">
        <f aca="false">1/(1+CHOOSE(F$3,(Z47+($K$3/10000))/2,(Z46+($K$3/10000))/2))^(2*Y46/365.25)</f>
        <v>0.48418402609519</v>
      </c>
      <c r="AB46" s="61" t="n">
        <f aca="false">IF(AND(mthbeg&lt;=A46,mthend&gt;=A46),1,0)</f>
        <v>1</v>
      </c>
      <c r="AC46" s="61" t="n">
        <f aca="false">W46*AB46</f>
        <v>31</v>
      </c>
      <c r="AD46" s="121" t="n">
        <f aca="false">$D46*E46</f>
        <v>15498000.1505531</v>
      </c>
      <c r="AE46" s="121" t="n">
        <f aca="false">$D46*F46</f>
        <v>0</v>
      </c>
      <c r="AF46" s="121" t="n">
        <f aca="false">$D46*G46</f>
        <v>15498000.1505531</v>
      </c>
      <c r="AG46" s="121" t="n">
        <f aca="false">$D46*H46</f>
        <v>0</v>
      </c>
      <c r="AH46" s="121" t="n">
        <f aca="false">$D46*I46</f>
        <v>0</v>
      </c>
      <c r="AI46" s="121" t="n">
        <f aca="false">$D46*J46</f>
        <v>0</v>
      </c>
      <c r="AJ46" s="121" t="n">
        <f aca="false">$D46*K46</f>
        <v>0</v>
      </c>
      <c r="AK46" s="121" t="n">
        <f aca="false">$D46*L46</f>
        <v>0</v>
      </c>
      <c r="AL46" s="121" t="n">
        <f aca="false">$D46*M46</f>
        <v>0</v>
      </c>
      <c r="AM46" s="125"/>
      <c r="AO46" s="75" t="e">
        <f aca="false">EURO(N46,O46,Z46,Z46,R46,U46,1,0)</f>
        <v>#NAME?</v>
      </c>
      <c r="AP46" s="138" t="e">
        <f aca="false">AO46*C46</f>
        <v>#NAME?</v>
      </c>
      <c r="AQ46" s="61" t="e">
        <f aca="false">EURO(N46,O46,Z46,Z46,R46,U46,1,1)</f>
        <v>#NAME?</v>
      </c>
      <c r="AR46" s="61" t="e">
        <f aca="false">AQ46+Put!AQ46</f>
        <v>#NAME?</v>
      </c>
      <c r="AS46" s="138" t="e">
        <f aca="false">AR46*C46</f>
        <v>#NAME?</v>
      </c>
      <c r="AT46" s="120" t="e">
        <f aca="false">AS46/10000</f>
        <v>#NAME?</v>
      </c>
    </row>
    <row r="47" customFormat="false" ht="12.75" hidden="false" customHeight="false" outlineLevel="0" collapsed="false">
      <c r="A47" s="127" t="n">
        <f aca="false">EDATE(A46,1)</f>
        <v>41306</v>
      </c>
      <c r="B47" s="128" t="n">
        <f aca="false">B46</f>
        <v>205479</v>
      </c>
      <c r="C47" s="116" t="n">
        <f aca="false">IF(AB47=0,0,IF(AND(AB47=1,$H$3=1),B47*W47,IF($H$3=2,B47,"N/A")))</f>
        <v>5753412</v>
      </c>
      <c r="D47" s="116" t="n">
        <f aca="false">C47*AA47</f>
        <v>2769735.70507602</v>
      </c>
      <c r="E47" s="129" t="n">
        <f aca="false">VLOOKUP($A47,[1]!CurveTable,MATCH($E$4,[1]!CurveType,0))</f>
        <v>4.905</v>
      </c>
      <c r="F47" s="130"/>
      <c r="G47" s="131" t="n">
        <f aca="false">E47</f>
        <v>4.905</v>
      </c>
      <c r="H47" s="129" t="n">
        <f aca="false">VLOOKUP($A47,[1]!CurveTable,MATCH($H$4,[1]!CurveType,0))</f>
        <v>0</v>
      </c>
      <c r="I47" s="131"/>
      <c r="J47" s="131" t="n">
        <f aca="false">H47</f>
        <v>0</v>
      </c>
      <c r="K47" s="129"/>
      <c r="L47" s="131"/>
      <c r="M47" s="131"/>
      <c r="N47" s="131" t="n">
        <f aca="false">G47+J47+M47+$N$7</f>
        <v>4.615</v>
      </c>
      <c r="O47" s="131" t="n">
        <f aca="false">Summary!$E$16</f>
        <v>9.81903240236408</v>
      </c>
      <c r="P47" s="131"/>
      <c r="Q47" s="129" t="n">
        <f aca="false">VLOOKUP($A47,[1]!CurveTable,MATCH($Q$4,[1]!CurveType,0))</f>
        <v>0.17</v>
      </c>
      <c r="R47" s="129" t="n">
        <f aca="false">Q47+Summary!$C$26</f>
        <v>0.17</v>
      </c>
      <c r="S47" s="129"/>
      <c r="T47" s="132" t="n">
        <f aca="false">X47</f>
        <v>41306</v>
      </c>
      <c r="U47" s="133" t="n">
        <f aca="false">T47-$C$3</f>
        <v>4301</v>
      </c>
      <c r="W47" s="61" t="n">
        <f aca="false">A48-A47</f>
        <v>28</v>
      </c>
      <c r="X47" s="135" t="n">
        <f aca="false">CHOOSE(F$3,A48+24,A47)</f>
        <v>41306</v>
      </c>
      <c r="Y47" s="61" t="n">
        <f aca="false">X47-C$3</f>
        <v>4301</v>
      </c>
      <c r="Z47" s="136" t="n">
        <f aca="false">VLOOKUP($A47,[1]!CurveTable,MATCH($Z$4,[1]!CurveType,0))</f>
        <v>0.0630551367224115</v>
      </c>
      <c r="AA47" s="137" t="n">
        <f aca="false">1/(1+CHOOSE(F$3,(Z48+($K$3/10000))/2,(Z47+($K$3/10000))/2))^(2*Y47/365.25)</f>
        <v>0.481407503074005</v>
      </c>
      <c r="AB47" s="61" t="n">
        <f aca="false">IF(AND(mthbeg&lt;=A47,mthend&gt;=A47),1,0)</f>
        <v>1</v>
      </c>
      <c r="AC47" s="61" t="n">
        <f aca="false">W47*AB47</f>
        <v>28</v>
      </c>
      <c r="AD47" s="121" t="n">
        <f aca="false">$D47*E47</f>
        <v>13585553.6333979</v>
      </c>
      <c r="AE47" s="121" t="n">
        <f aca="false">$D47*F47</f>
        <v>0</v>
      </c>
      <c r="AF47" s="121" t="n">
        <f aca="false">$D47*G47</f>
        <v>13585553.6333979</v>
      </c>
      <c r="AG47" s="121" t="n">
        <f aca="false">$D47*H47</f>
        <v>0</v>
      </c>
      <c r="AH47" s="121" t="n">
        <f aca="false">$D47*I47</f>
        <v>0</v>
      </c>
      <c r="AI47" s="121" t="n">
        <f aca="false">$D47*J47</f>
        <v>0</v>
      </c>
      <c r="AJ47" s="121" t="n">
        <f aca="false">$D47*K47</f>
        <v>0</v>
      </c>
      <c r="AK47" s="121" t="n">
        <f aca="false">$D47*L47</f>
        <v>0</v>
      </c>
      <c r="AL47" s="121" t="n">
        <f aca="false">$D47*M47</f>
        <v>0</v>
      </c>
      <c r="AM47" s="139"/>
      <c r="AO47" s="75" t="e">
        <f aca="false">EURO(N47,O47,Z47,Z47,R47,U47,1,0)</f>
        <v>#NAME?</v>
      </c>
      <c r="AP47" s="138" t="e">
        <f aca="false">AO47*C47</f>
        <v>#NAME?</v>
      </c>
      <c r="AQ47" s="61" t="e">
        <f aca="false">EURO(N47,O47,Z47,Z47,R47,U47,1,1)</f>
        <v>#NAME?</v>
      </c>
      <c r="AR47" s="61" t="e">
        <f aca="false">AQ47+Put!AQ47</f>
        <v>#NAME?</v>
      </c>
      <c r="AS47" s="138" t="e">
        <f aca="false">AR47*C47</f>
        <v>#NAME?</v>
      </c>
      <c r="AT47" s="120" t="e">
        <f aca="false">AS47/10000</f>
        <v>#NAME?</v>
      </c>
    </row>
    <row r="48" customFormat="false" ht="12.75" hidden="false" customHeight="false" outlineLevel="0" collapsed="false">
      <c r="A48" s="127" t="n">
        <f aca="false">EDATE(A47,1)</f>
        <v>41334</v>
      </c>
      <c r="B48" s="128" t="n">
        <f aca="false">B47</f>
        <v>205479</v>
      </c>
      <c r="C48" s="116" t="n">
        <f aca="false">IF(AB48=0,0,IF(AND(AB48=1,$H$3=1),B48*W48,IF($H$3=2,B48,"N/A")))</f>
        <v>6369849</v>
      </c>
      <c r="D48" s="116" t="n">
        <f aca="false">C48*AA48</f>
        <v>3050587.49011287</v>
      </c>
      <c r="E48" s="129" t="n">
        <f aca="false">VLOOKUP($A48,[1]!CurveTable,MATCH($E$4,[1]!CurveType,0))</f>
        <v>4.766</v>
      </c>
      <c r="F48" s="130"/>
      <c r="G48" s="131" t="n">
        <f aca="false">E48</f>
        <v>4.766</v>
      </c>
      <c r="H48" s="129" t="n">
        <f aca="false">VLOOKUP($A48,[1]!CurveTable,MATCH($H$4,[1]!CurveType,0))</f>
        <v>0</v>
      </c>
      <c r="I48" s="131"/>
      <c r="J48" s="131" t="n">
        <f aca="false">H48</f>
        <v>0</v>
      </c>
      <c r="K48" s="129"/>
      <c r="L48" s="131"/>
      <c r="M48" s="131"/>
      <c r="N48" s="131" t="n">
        <f aca="false">G48+J48+M48+$N$7</f>
        <v>4.476</v>
      </c>
      <c r="O48" s="131" t="n">
        <f aca="false">Summary!$E$16</f>
        <v>9.81903240236408</v>
      </c>
      <c r="P48" s="131"/>
      <c r="Q48" s="129" t="n">
        <f aca="false">VLOOKUP($A48,[1]!CurveTable,MATCH($Q$4,[1]!CurveType,0))</f>
        <v>0.17</v>
      </c>
      <c r="R48" s="129" t="n">
        <f aca="false">Q48+Summary!$C$26</f>
        <v>0.17</v>
      </c>
      <c r="S48" s="129"/>
      <c r="T48" s="132" t="n">
        <f aca="false">X48</f>
        <v>41334</v>
      </c>
      <c r="U48" s="133" t="n">
        <f aca="false">T48-$C$3</f>
        <v>4329</v>
      </c>
      <c r="W48" s="61" t="n">
        <f aca="false">A49-A48</f>
        <v>31</v>
      </c>
      <c r="X48" s="135" t="n">
        <f aca="false">CHOOSE(F$3,A49+24,A48)</f>
        <v>41334</v>
      </c>
      <c r="Y48" s="61" t="n">
        <f aca="false">X48-C$3</f>
        <v>4329</v>
      </c>
      <c r="Z48" s="136" t="n">
        <f aca="false">VLOOKUP($A48,[1]!CurveTable,MATCH($Z$4,[1]!CurveType,0))</f>
        <v>0.0630935397885044</v>
      </c>
      <c r="AA48" s="137" t="n">
        <f aca="false">1/(1+CHOOSE(F$3,(Z49+($K$3/10000))/2,(Z48+($K$3/10000))/2))^(2*Y48/365.25)</f>
        <v>0.47891048753477</v>
      </c>
      <c r="AB48" s="61" t="n">
        <f aca="false">IF(AND(mthbeg&lt;=A48,mthend&gt;=A48),1,0)</f>
        <v>1</v>
      </c>
      <c r="AC48" s="61" t="n">
        <f aca="false">W48*AB48</f>
        <v>31</v>
      </c>
      <c r="AD48" s="121" t="n">
        <f aca="false">$D48*E48</f>
        <v>14539099.9778779</v>
      </c>
      <c r="AE48" s="121" t="n">
        <f aca="false">$D48*F48</f>
        <v>0</v>
      </c>
      <c r="AF48" s="121" t="n">
        <f aca="false">$D48*G48</f>
        <v>14539099.9778779</v>
      </c>
      <c r="AG48" s="121" t="n">
        <f aca="false">$D48*H48</f>
        <v>0</v>
      </c>
      <c r="AH48" s="121" t="n">
        <f aca="false">$D48*I48</f>
        <v>0</v>
      </c>
      <c r="AI48" s="121" t="n">
        <f aca="false">$D48*J48</f>
        <v>0</v>
      </c>
      <c r="AJ48" s="121" t="n">
        <f aca="false">$D48*K48</f>
        <v>0</v>
      </c>
      <c r="AK48" s="121" t="n">
        <f aca="false">$D48*L48</f>
        <v>0</v>
      </c>
      <c r="AL48" s="121" t="n">
        <f aca="false">$D48*M48</f>
        <v>0</v>
      </c>
      <c r="AM48" s="139"/>
      <c r="AO48" s="75" t="e">
        <f aca="false">EURO(N48,O48,Z48,Z48,R48,U48,1,0)</f>
        <v>#NAME?</v>
      </c>
      <c r="AP48" s="138" t="e">
        <f aca="false">AO48*C48</f>
        <v>#NAME?</v>
      </c>
      <c r="AQ48" s="61" t="e">
        <f aca="false">EURO(N48,O48,Z48,Z48,R48,U48,1,1)</f>
        <v>#NAME?</v>
      </c>
      <c r="AR48" s="61" t="e">
        <f aca="false">AQ48+Put!AQ48</f>
        <v>#NAME?</v>
      </c>
      <c r="AS48" s="138" t="e">
        <f aca="false">AR48*C48</f>
        <v>#NAME?</v>
      </c>
      <c r="AT48" s="120" t="e">
        <f aca="false">AS48/10000</f>
        <v>#NAME?</v>
      </c>
    </row>
    <row r="49" customFormat="false" ht="12.75" hidden="false" customHeight="false" outlineLevel="0" collapsed="false">
      <c r="A49" s="127" t="n">
        <f aca="false">EDATE(A48,1)</f>
        <v>41365</v>
      </c>
      <c r="B49" s="128" t="n">
        <f aca="false">B48</f>
        <v>205479</v>
      </c>
      <c r="C49" s="116" t="n">
        <f aca="false">IF(AB49=0,0,IF(AND(AB49=1,$H$3=1),B49*W49,IF($H$3=2,B49,"N/A")))</f>
        <v>6164370</v>
      </c>
      <c r="D49" s="116" t="n">
        <f aca="false">C49*AA49</f>
        <v>2935213.31238944</v>
      </c>
      <c r="E49" s="129" t="n">
        <f aca="false">VLOOKUP($A49,[1]!CurveTable,MATCH($E$4,[1]!CurveType,0))</f>
        <v>4.596</v>
      </c>
      <c r="F49" s="130"/>
      <c r="G49" s="131" t="n">
        <f aca="false">E49</f>
        <v>4.596</v>
      </c>
      <c r="H49" s="129" t="n">
        <f aca="false">VLOOKUP($A49,[1]!CurveTable,MATCH($H$4,[1]!CurveType,0))</f>
        <v>0</v>
      </c>
      <c r="I49" s="131"/>
      <c r="J49" s="131" t="n">
        <f aca="false">H49</f>
        <v>0</v>
      </c>
      <c r="K49" s="129"/>
      <c r="L49" s="131"/>
      <c r="M49" s="131"/>
      <c r="N49" s="131" t="n">
        <f aca="false">G49+J49+M49+$N$7</f>
        <v>4.306</v>
      </c>
      <c r="O49" s="131" t="n">
        <f aca="false">Summary!$E$16</f>
        <v>9.81903240236408</v>
      </c>
      <c r="P49" s="131"/>
      <c r="Q49" s="129" t="n">
        <f aca="false">VLOOKUP($A49,[1]!CurveTable,MATCH($Q$4,[1]!CurveType,0))</f>
        <v>0.17</v>
      </c>
      <c r="R49" s="129" t="n">
        <f aca="false">Q49+Summary!$C$26</f>
        <v>0.17</v>
      </c>
      <c r="S49" s="129"/>
      <c r="T49" s="132" t="n">
        <f aca="false">X49</f>
        <v>41365</v>
      </c>
      <c r="U49" s="133" t="n">
        <f aca="false">T49-$C$3</f>
        <v>4360</v>
      </c>
      <c r="W49" s="61" t="n">
        <f aca="false">A50-A49</f>
        <v>30</v>
      </c>
      <c r="X49" s="135" t="n">
        <f aca="false">CHOOSE(F$3,A50+24,A49)</f>
        <v>41365</v>
      </c>
      <c r="Y49" s="61" t="n">
        <f aca="false">X49-C$3</f>
        <v>4360</v>
      </c>
      <c r="Z49" s="136" t="n">
        <f aca="false">VLOOKUP($A49,[1]!CurveTable,MATCH($Z$4,[1]!CurveType,0))</f>
        <v>0.0631360574693929</v>
      </c>
      <c r="AA49" s="137" t="n">
        <f aca="false">1/(1+CHOOSE(F$3,(Z50+($K$3/10000))/2,(Z49+($K$3/10000))/2))^(2*Y49/365.25)</f>
        <v>0.476157873779387</v>
      </c>
      <c r="AB49" s="61" t="n">
        <f aca="false">IF(AND(mthbeg&lt;=A49,mthend&gt;=A49),1,0)</f>
        <v>1</v>
      </c>
      <c r="AC49" s="61" t="n">
        <f aca="false">W49*AB49</f>
        <v>30</v>
      </c>
      <c r="AD49" s="121" t="n">
        <f aca="false">$D49*E49</f>
        <v>13490240.3837419</v>
      </c>
      <c r="AE49" s="121" t="n">
        <f aca="false">$D49*F49</f>
        <v>0</v>
      </c>
      <c r="AF49" s="121" t="n">
        <f aca="false">$D49*G49</f>
        <v>13490240.3837419</v>
      </c>
      <c r="AG49" s="121" t="n">
        <f aca="false">$D49*H49</f>
        <v>0</v>
      </c>
      <c r="AH49" s="121" t="n">
        <f aca="false">$D49*I49</f>
        <v>0</v>
      </c>
      <c r="AI49" s="121" t="n">
        <f aca="false">$D49*J49</f>
        <v>0</v>
      </c>
      <c r="AJ49" s="121" t="n">
        <f aca="false">$D49*K49</f>
        <v>0</v>
      </c>
      <c r="AK49" s="121" t="n">
        <f aca="false">$D49*L49</f>
        <v>0</v>
      </c>
      <c r="AL49" s="121" t="n">
        <f aca="false">$D49*M49</f>
        <v>0</v>
      </c>
      <c r="AM49" s="139"/>
      <c r="AO49" s="75" t="e">
        <f aca="false">EURO(N49,O49,Z49,Z49,R49,U49,1,0)</f>
        <v>#NAME?</v>
      </c>
      <c r="AP49" s="138" t="e">
        <f aca="false">AO49*C49</f>
        <v>#NAME?</v>
      </c>
      <c r="AQ49" s="61" t="e">
        <f aca="false">EURO(N49,O49,Z49,Z49,R49,U49,1,1)</f>
        <v>#NAME?</v>
      </c>
      <c r="AR49" s="61" t="e">
        <f aca="false">AQ49+Put!AQ49</f>
        <v>#NAME?</v>
      </c>
      <c r="AS49" s="138" t="e">
        <f aca="false">AR49*C49</f>
        <v>#NAME?</v>
      </c>
      <c r="AT49" s="120" t="e">
        <f aca="false">AS49/10000</f>
        <v>#NAME?</v>
      </c>
    </row>
    <row r="50" customFormat="false" ht="12.75" hidden="false" customHeight="false" outlineLevel="0" collapsed="false">
      <c r="A50" s="127" t="n">
        <f aca="false">EDATE(A49,1)</f>
        <v>41395</v>
      </c>
      <c r="B50" s="128" t="n">
        <f aca="false">B49</f>
        <v>205479</v>
      </c>
      <c r="C50" s="116" t="n">
        <f aca="false">IF(AB50=0,0,IF(AND(AB50=1,$H$3=1),B50*W50,IF($H$3=2,B50,"N/A")))</f>
        <v>6369849</v>
      </c>
      <c r="D50" s="116" t="n">
        <f aca="false">C50*AA50</f>
        <v>3016161.52333013</v>
      </c>
      <c r="E50" s="129" t="n">
        <f aca="false">VLOOKUP($A50,[1]!CurveTable,MATCH($E$4,[1]!CurveType,0))</f>
        <v>4.655</v>
      </c>
      <c r="F50" s="130"/>
      <c r="G50" s="131" t="n">
        <f aca="false">E50</f>
        <v>4.655</v>
      </c>
      <c r="H50" s="129" t="n">
        <f aca="false">VLOOKUP($A50,[1]!CurveTable,MATCH($H$4,[1]!CurveType,0))</f>
        <v>0</v>
      </c>
      <c r="I50" s="131"/>
      <c r="J50" s="131" t="n">
        <f aca="false">H50</f>
        <v>0</v>
      </c>
      <c r="K50" s="129"/>
      <c r="L50" s="131"/>
      <c r="M50" s="131"/>
      <c r="N50" s="131" t="n">
        <f aca="false">G50+J50+M50+$N$7</f>
        <v>4.365</v>
      </c>
      <c r="O50" s="131" t="n">
        <f aca="false">Summary!$E$16</f>
        <v>9.81903240236408</v>
      </c>
      <c r="P50" s="131"/>
      <c r="Q50" s="129" t="n">
        <f aca="false">VLOOKUP($A50,[1]!CurveTable,MATCH($Q$4,[1]!CurveType,0))</f>
        <v>0.17</v>
      </c>
      <c r="R50" s="129" t="n">
        <f aca="false">Q50+Summary!$C$26</f>
        <v>0.17</v>
      </c>
      <c r="S50" s="129"/>
      <c r="T50" s="132" t="n">
        <f aca="false">X50</f>
        <v>41395</v>
      </c>
      <c r="U50" s="133" t="n">
        <f aca="false">T50-$C$3</f>
        <v>4390</v>
      </c>
      <c r="W50" s="61" t="n">
        <f aca="false">A51-A50</f>
        <v>31</v>
      </c>
      <c r="X50" s="135" t="n">
        <f aca="false">CHOOSE(F$3,A51+24,A50)</f>
        <v>41395</v>
      </c>
      <c r="Y50" s="61" t="n">
        <f aca="false">X50-C$3</f>
        <v>4390</v>
      </c>
      <c r="Z50" s="136" t="n">
        <f aca="false">VLOOKUP($A50,[1]!CurveTable,MATCH($Z$4,[1]!CurveType,0))</f>
        <v>0.0631772036127587</v>
      </c>
      <c r="AA50" s="137" t="n">
        <f aca="false">1/(1+CHOOSE(F$3,(Z51+($K$3/10000))/2,(Z50+($K$3/10000))/2))^(2*Y50/365.25)</f>
        <v>0.473505969031625</v>
      </c>
      <c r="AB50" s="61" t="n">
        <f aca="false">IF(AND(mthbeg&lt;=A50,mthend&gt;=A50),1,0)</f>
        <v>1</v>
      </c>
      <c r="AC50" s="61" t="n">
        <f aca="false">W50*AB50</f>
        <v>31</v>
      </c>
      <c r="AD50" s="121" t="n">
        <f aca="false">$D50*E50</f>
        <v>14040231.8911017</v>
      </c>
      <c r="AE50" s="121" t="n">
        <f aca="false">$D50*F50</f>
        <v>0</v>
      </c>
      <c r="AF50" s="121" t="n">
        <f aca="false">$D50*G50</f>
        <v>14040231.8911017</v>
      </c>
      <c r="AG50" s="121" t="n">
        <f aca="false">$D50*H50</f>
        <v>0</v>
      </c>
      <c r="AH50" s="121" t="n">
        <f aca="false">$D50*I50</f>
        <v>0</v>
      </c>
      <c r="AI50" s="121" t="n">
        <f aca="false">$D50*J50</f>
        <v>0</v>
      </c>
      <c r="AJ50" s="121" t="n">
        <f aca="false">$D50*K50</f>
        <v>0</v>
      </c>
      <c r="AK50" s="121" t="n">
        <f aca="false">$D50*L50</f>
        <v>0</v>
      </c>
      <c r="AL50" s="121" t="n">
        <f aca="false">$D50*M50</f>
        <v>0</v>
      </c>
      <c r="AM50" s="139"/>
      <c r="AO50" s="75" t="e">
        <f aca="false">EURO(N50,O50,Z50,Z50,R50,U50,1,0)</f>
        <v>#NAME?</v>
      </c>
      <c r="AP50" s="138" t="e">
        <f aca="false">AO50*C50</f>
        <v>#NAME?</v>
      </c>
      <c r="AQ50" s="61" t="e">
        <f aca="false">EURO(N50,O50,Z50,Z50,R50,U50,1,1)</f>
        <v>#NAME?</v>
      </c>
      <c r="AR50" s="61" t="e">
        <f aca="false">AQ50+Put!AQ50</f>
        <v>#NAME?</v>
      </c>
      <c r="AS50" s="138" t="e">
        <f aca="false">AR50*C50</f>
        <v>#NAME?</v>
      </c>
      <c r="AT50" s="120" t="e">
        <f aca="false">AS50/10000</f>
        <v>#NAME?</v>
      </c>
    </row>
    <row r="51" customFormat="false" ht="12.75" hidden="false" customHeight="false" outlineLevel="0" collapsed="false">
      <c r="A51" s="127" t="n">
        <f aca="false">EDATE(A50,1)</f>
        <v>41426</v>
      </c>
      <c r="B51" s="128" t="n">
        <f aca="false">B50</f>
        <v>205479</v>
      </c>
      <c r="C51" s="116" t="n">
        <f aca="false">IF(AB51=0,0,IF(AND(AB51=1,$H$3=1),B51*W51,IF($H$3=2,B51,"N/A")))</f>
        <v>6164370</v>
      </c>
      <c r="D51" s="116" t="n">
        <f aca="false">C51*AA51</f>
        <v>2902049.45197579</v>
      </c>
      <c r="E51" s="129" t="n">
        <f aca="false">VLOOKUP($A51,[1]!CurveTable,MATCH($E$4,[1]!CurveType,0))</f>
        <v>4.695</v>
      </c>
      <c r="F51" s="130"/>
      <c r="G51" s="131" t="n">
        <f aca="false">E51</f>
        <v>4.695</v>
      </c>
      <c r="H51" s="129" t="n">
        <f aca="false">VLOOKUP($A51,[1]!CurveTable,MATCH($H$4,[1]!CurveType,0))</f>
        <v>0</v>
      </c>
      <c r="I51" s="131"/>
      <c r="J51" s="131" t="n">
        <f aca="false">H51</f>
        <v>0</v>
      </c>
      <c r="K51" s="129"/>
      <c r="L51" s="131"/>
      <c r="M51" s="131"/>
      <c r="N51" s="131" t="n">
        <f aca="false">G51+J51+M51+$N$7</f>
        <v>4.405</v>
      </c>
      <c r="O51" s="131" t="n">
        <f aca="false">Summary!$E$16</f>
        <v>9.81903240236408</v>
      </c>
      <c r="P51" s="131"/>
      <c r="Q51" s="129" t="n">
        <f aca="false">VLOOKUP($A51,[1]!CurveTable,MATCH($Q$4,[1]!CurveType,0))</f>
        <v>0.17</v>
      </c>
      <c r="R51" s="129" t="n">
        <f aca="false">Q51+Summary!$C$26</f>
        <v>0.17</v>
      </c>
      <c r="S51" s="129"/>
      <c r="T51" s="132" t="n">
        <f aca="false">X51</f>
        <v>41426</v>
      </c>
      <c r="U51" s="133" t="n">
        <f aca="false">T51-$C$3</f>
        <v>4421</v>
      </c>
      <c r="W51" s="61" t="n">
        <f aca="false">A52-A51</f>
        <v>30</v>
      </c>
      <c r="X51" s="135" t="n">
        <f aca="false">CHOOSE(F$3,A52+24,A51)</f>
        <v>41426</v>
      </c>
      <c r="Y51" s="61" t="n">
        <f aca="false">X51-C$3</f>
        <v>4421</v>
      </c>
      <c r="Z51" s="136" t="n">
        <f aca="false">VLOOKUP($A51,[1]!CurveTable,MATCH($Z$4,[1]!CurveType,0))</f>
        <v>0.0632197212948267</v>
      </c>
      <c r="AA51" s="137" t="n">
        <f aca="false">1/(1+CHOOSE(F$3,(Z52+($K$3/10000))/2,(Z51+($K$3/10000))/2))^(2*Y51/365.25)</f>
        <v>0.470777946809779</v>
      </c>
      <c r="AB51" s="61" t="n">
        <f aca="false">IF(AND(mthbeg&lt;=A51,mthend&gt;=A51),1,0)</f>
        <v>1</v>
      </c>
      <c r="AC51" s="61" t="n">
        <f aca="false">W51*AB51</f>
        <v>30</v>
      </c>
      <c r="AD51" s="121" t="n">
        <f aca="false">$D51*E51</f>
        <v>13625122.1770264</v>
      </c>
      <c r="AE51" s="121" t="n">
        <f aca="false">$D51*F51</f>
        <v>0</v>
      </c>
      <c r="AF51" s="121" t="n">
        <f aca="false">$D51*G51</f>
        <v>13625122.1770264</v>
      </c>
      <c r="AG51" s="121" t="n">
        <f aca="false">$D51*H51</f>
        <v>0</v>
      </c>
      <c r="AH51" s="121" t="n">
        <f aca="false">$D51*I51</f>
        <v>0</v>
      </c>
      <c r="AI51" s="121" t="n">
        <f aca="false">$D51*J51</f>
        <v>0</v>
      </c>
      <c r="AJ51" s="121" t="n">
        <f aca="false">$D51*K51</f>
        <v>0</v>
      </c>
      <c r="AK51" s="121" t="n">
        <f aca="false">$D51*L51</f>
        <v>0</v>
      </c>
      <c r="AL51" s="121" t="n">
        <f aca="false">$D51*M51</f>
        <v>0</v>
      </c>
      <c r="AM51" s="139"/>
      <c r="AO51" s="75" t="e">
        <f aca="false">EURO(N51,O51,Z51,Z51,R51,U51,1,0)</f>
        <v>#NAME?</v>
      </c>
      <c r="AP51" s="138" t="e">
        <f aca="false">AO51*C51</f>
        <v>#NAME?</v>
      </c>
      <c r="AQ51" s="61" t="e">
        <f aca="false">EURO(N51,O51,Z51,Z51,R51,U51,1,1)</f>
        <v>#NAME?</v>
      </c>
      <c r="AR51" s="61" t="e">
        <f aca="false">AQ51+Put!AQ51</f>
        <v>#NAME?</v>
      </c>
      <c r="AS51" s="138" t="e">
        <f aca="false">AR51*C51</f>
        <v>#NAME?</v>
      </c>
      <c r="AT51" s="120" t="e">
        <f aca="false">AS51/10000</f>
        <v>#NAME?</v>
      </c>
    </row>
    <row r="52" customFormat="false" ht="12.75" hidden="false" customHeight="false" outlineLevel="0" collapsed="false">
      <c r="A52" s="127" t="n">
        <f aca="false">EDATE(A51,1)</f>
        <v>41456</v>
      </c>
      <c r="B52" s="128" t="n">
        <f aca="false">B51</f>
        <v>205479</v>
      </c>
      <c r="C52" s="116" t="n">
        <f aca="false">IF(AB52=0,0,IF(AND(AB52=1,$H$3=1),B52*W52,IF($H$3=2,B52,"N/A")))</f>
        <v>6369849</v>
      </c>
      <c r="D52" s="116" t="n">
        <f aca="false">C52*AA52</f>
        <v>2982043.38923961</v>
      </c>
      <c r="E52" s="129" t="n">
        <f aca="false">VLOOKUP($A52,[1]!CurveTable,MATCH($E$4,[1]!CurveType,0))</f>
        <v>4.74</v>
      </c>
      <c r="F52" s="130"/>
      <c r="G52" s="131" t="n">
        <f aca="false">E52</f>
        <v>4.74</v>
      </c>
      <c r="H52" s="129" t="n">
        <f aca="false">VLOOKUP($A52,[1]!CurveTable,MATCH($H$4,[1]!CurveType,0))</f>
        <v>0</v>
      </c>
      <c r="I52" s="131"/>
      <c r="J52" s="131" t="n">
        <f aca="false">H52</f>
        <v>0</v>
      </c>
      <c r="K52" s="129"/>
      <c r="L52" s="131"/>
      <c r="M52" s="131"/>
      <c r="N52" s="131" t="n">
        <f aca="false">G52+J52+M52+$N$7</f>
        <v>4.45</v>
      </c>
      <c r="O52" s="131" t="n">
        <f aca="false">Summary!$E$16</f>
        <v>9.81903240236408</v>
      </c>
      <c r="P52" s="131"/>
      <c r="Q52" s="129" t="n">
        <f aca="false">VLOOKUP($A52,[1]!CurveTable,MATCH($Q$4,[1]!CurveType,0))</f>
        <v>0.17</v>
      </c>
      <c r="R52" s="129" t="n">
        <f aca="false">Q52+Summary!$C$26</f>
        <v>0.17</v>
      </c>
      <c r="S52" s="129"/>
      <c r="T52" s="132" t="n">
        <f aca="false">X52</f>
        <v>41456</v>
      </c>
      <c r="U52" s="133" t="n">
        <f aca="false">T52-$C$3</f>
        <v>4451</v>
      </c>
      <c r="W52" s="61" t="n">
        <f aca="false">A53-A52</f>
        <v>31</v>
      </c>
      <c r="X52" s="135" t="n">
        <f aca="false">CHOOSE(F$3,A53+24,A52)</f>
        <v>41456</v>
      </c>
      <c r="Y52" s="61" t="n">
        <f aca="false">X52-C$3</f>
        <v>4451</v>
      </c>
      <c r="Z52" s="136" t="n">
        <f aca="false">VLOOKUP($A52,[1]!CurveTable,MATCH($Z$4,[1]!CurveType,0))</f>
        <v>0.0632608674393347</v>
      </c>
      <c r="AA52" s="137" t="n">
        <f aca="false">1/(1+CHOOSE(F$3,(Z53+($K$3/10000))/2,(Z52+($K$3/10000))/2))^(2*Y52/365.25)</f>
        <v>0.468149777057449</v>
      </c>
      <c r="AB52" s="61" t="n">
        <f aca="false">IF(AND(mthbeg&lt;=A52,mthend&gt;=A52),1,0)</f>
        <v>1</v>
      </c>
      <c r="AC52" s="61" t="n">
        <f aca="false">W52*AB52</f>
        <v>31</v>
      </c>
      <c r="AD52" s="121" t="n">
        <f aca="false">$D52*E52</f>
        <v>14134885.6649958</v>
      </c>
      <c r="AE52" s="121" t="n">
        <f aca="false">$D52*F52</f>
        <v>0</v>
      </c>
      <c r="AF52" s="121" t="n">
        <f aca="false">$D52*G52</f>
        <v>14134885.6649958</v>
      </c>
      <c r="AG52" s="121" t="n">
        <f aca="false">$D52*H52</f>
        <v>0</v>
      </c>
      <c r="AH52" s="121" t="n">
        <f aca="false">$D52*I52</f>
        <v>0</v>
      </c>
      <c r="AI52" s="121" t="n">
        <f aca="false">$D52*J52</f>
        <v>0</v>
      </c>
      <c r="AJ52" s="121" t="n">
        <f aca="false">$D52*K52</f>
        <v>0</v>
      </c>
      <c r="AK52" s="121" t="n">
        <f aca="false">$D52*L52</f>
        <v>0</v>
      </c>
      <c r="AL52" s="121" t="n">
        <f aca="false">$D52*M52</f>
        <v>0</v>
      </c>
      <c r="AM52" s="139"/>
      <c r="AO52" s="75" t="e">
        <f aca="false">EURO(N52,O52,Z52,Z52,R52,U52,1,0)</f>
        <v>#NAME?</v>
      </c>
      <c r="AP52" s="138" t="e">
        <f aca="false">AO52*C52</f>
        <v>#NAME?</v>
      </c>
      <c r="AQ52" s="61" t="e">
        <f aca="false">EURO(N52,O52,Z52,Z52,R52,U52,1,1)</f>
        <v>#NAME?</v>
      </c>
      <c r="AR52" s="61" t="e">
        <f aca="false">AQ52+Put!AQ52</f>
        <v>#NAME?</v>
      </c>
      <c r="AS52" s="138" t="e">
        <f aca="false">AR52*C52</f>
        <v>#NAME?</v>
      </c>
      <c r="AT52" s="120" t="e">
        <f aca="false">AS52/10000</f>
        <v>#NAME?</v>
      </c>
    </row>
    <row r="53" customFormat="false" ht="12.75" hidden="false" customHeight="false" outlineLevel="0" collapsed="false">
      <c r="A53" s="127" t="n">
        <f aca="false">EDATE(A52,1)</f>
        <v>41487</v>
      </c>
      <c r="B53" s="128" t="n">
        <f aca="false">B52</f>
        <v>205479</v>
      </c>
      <c r="C53" s="116" t="n">
        <f aca="false">IF(AB53=0,0,IF(AND(AB53=1,$H$3=1),B53*W53,IF($H$3=2,B53,"N/A")))</f>
        <v>6369849</v>
      </c>
      <c r="D53" s="116" t="n">
        <f aca="false">C53*AA53</f>
        <v>2964822.11033298</v>
      </c>
      <c r="E53" s="129" t="n">
        <f aca="false">VLOOKUP($A53,[1]!CurveTable,MATCH($E$4,[1]!CurveType,0))</f>
        <v>4.775</v>
      </c>
      <c r="F53" s="130"/>
      <c r="G53" s="131" t="n">
        <f aca="false">E53</f>
        <v>4.775</v>
      </c>
      <c r="H53" s="129" t="n">
        <f aca="false">VLOOKUP($A53,[1]!CurveTable,MATCH($H$4,[1]!CurveType,0))</f>
        <v>0</v>
      </c>
      <c r="I53" s="131"/>
      <c r="J53" s="131" t="n">
        <f aca="false">H53</f>
        <v>0</v>
      </c>
      <c r="K53" s="129"/>
      <c r="L53" s="131"/>
      <c r="M53" s="131"/>
      <c r="N53" s="131" t="n">
        <f aca="false">G53+J53+M53+$N$7</f>
        <v>4.485</v>
      </c>
      <c r="O53" s="131" t="n">
        <f aca="false">Summary!$E$16</f>
        <v>9.81903240236408</v>
      </c>
      <c r="P53" s="131"/>
      <c r="Q53" s="129" t="n">
        <f aca="false">VLOOKUP($A53,[1]!CurveTable,MATCH($Q$4,[1]!CurveType,0))</f>
        <v>0.17</v>
      </c>
      <c r="R53" s="129" t="n">
        <f aca="false">Q53+Summary!$C$26</f>
        <v>0.17</v>
      </c>
      <c r="S53" s="129"/>
      <c r="T53" s="132" t="n">
        <f aca="false">X53</f>
        <v>41487</v>
      </c>
      <c r="U53" s="133" t="n">
        <f aca="false">T53-$C$3</f>
        <v>4482</v>
      </c>
      <c r="W53" s="61" t="n">
        <f aca="false">A54-A53</f>
        <v>31</v>
      </c>
      <c r="X53" s="135" t="n">
        <f aca="false">CHOOSE(F$3,A54+24,A53)</f>
        <v>41487</v>
      </c>
      <c r="Y53" s="61" t="n">
        <f aca="false">X53-C$3</f>
        <v>4482</v>
      </c>
      <c r="Z53" s="136" t="n">
        <f aca="false">VLOOKUP($A53,[1]!CurveTable,MATCH($Z$4,[1]!CurveType,0))</f>
        <v>0.063303385122583</v>
      </c>
      <c r="AA53" s="137" t="n">
        <f aca="false">1/(1+CHOOSE(F$3,(Z54+($K$3/10000))/2,(Z53+($K$3/10000))/2))^(2*Y53/365.25)</f>
        <v>0.465446215496314</v>
      </c>
      <c r="AB53" s="61" t="n">
        <f aca="false">IF(AND(mthbeg&lt;=A53,mthend&gt;=A53),1,0)</f>
        <v>1</v>
      </c>
      <c r="AC53" s="61" t="n">
        <f aca="false">W53*AB53</f>
        <v>31</v>
      </c>
      <c r="AD53" s="121" t="n">
        <f aca="false">$D53*E53</f>
        <v>14157025.57684</v>
      </c>
      <c r="AE53" s="121" t="n">
        <f aca="false">$D53*F53</f>
        <v>0</v>
      </c>
      <c r="AF53" s="121" t="n">
        <f aca="false">$D53*G53</f>
        <v>14157025.57684</v>
      </c>
      <c r="AG53" s="121" t="n">
        <f aca="false">$D53*H53</f>
        <v>0</v>
      </c>
      <c r="AH53" s="121" t="n">
        <f aca="false">$D53*I53</f>
        <v>0</v>
      </c>
      <c r="AI53" s="121" t="n">
        <f aca="false">$D53*J53</f>
        <v>0</v>
      </c>
      <c r="AJ53" s="121" t="n">
        <f aca="false">$D53*K53</f>
        <v>0</v>
      </c>
      <c r="AK53" s="121" t="n">
        <f aca="false">$D53*L53</f>
        <v>0</v>
      </c>
      <c r="AL53" s="121" t="n">
        <f aca="false">$D53*M53</f>
        <v>0</v>
      </c>
      <c r="AM53" s="139"/>
      <c r="AO53" s="75" t="e">
        <f aca="false">EURO(N53,O53,Z53,Z53,R53,U53,1,0)</f>
        <v>#NAME?</v>
      </c>
      <c r="AP53" s="138" t="e">
        <f aca="false">AO53*C53</f>
        <v>#NAME?</v>
      </c>
      <c r="AQ53" s="61" t="e">
        <f aca="false">EURO(N53,O53,Z53,Z53,R53,U53,1,1)</f>
        <v>#NAME?</v>
      </c>
      <c r="AR53" s="61" t="e">
        <f aca="false">AQ53+Put!AQ53</f>
        <v>#NAME?</v>
      </c>
      <c r="AS53" s="138" t="e">
        <f aca="false">AR53*C53</f>
        <v>#NAME?</v>
      </c>
      <c r="AT53" s="120" t="e">
        <f aca="false">AS53/10000</f>
        <v>#NAME?</v>
      </c>
    </row>
    <row r="54" customFormat="false" ht="12.75" hidden="false" customHeight="false" outlineLevel="0" collapsed="false">
      <c r="A54" s="127" t="n">
        <f aca="false">EDATE(A53,1)</f>
        <v>41518</v>
      </c>
      <c r="B54" s="128" t="n">
        <f aca="false">B53</f>
        <v>205479</v>
      </c>
      <c r="C54" s="116" t="n">
        <f aca="false">IF(AB54=0,0,IF(AND(AB54=1,$H$3=1),B54*W54,IF($H$3=2,B54,"N/A")))</f>
        <v>6164370</v>
      </c>
      <c r="D54" s="116" t="n">
        <f aca="false">C54*AA54</f>
        <v>2852593.25168485</v>
      </c>
      <c r="E54" s="129" t="n">
        <f aca="false">VLOOKUP($A54,[1]!CurveTable,MATCH($E$4,[1]!CurveType,0))</f>
        <v>4.78</v>
      </c>
      <c r="F54" s="130"/>
      <c r="G54" s="131" t="n">
        <f aca="false">E54</f>
        <v>4.78</v>
      </c>
      <c r="H54" s="129" t="n">
        <f aca="false">VLOOKUP($A54,[1]!CurveTable,MATCH($H$4,[1]!CurveType,0))</f>
        <v>0</v>
      </c>
      <c r="I54" s="131"/>
      <c r="J54" s="131" t="n">
        <f aca="false">H54</f>
        <v>0</v>
      </c>
      <c r="K54" s="129"/>
      <c r="L54" s="131"/>
      <c r="M54" s="131"/>
      <c r="N54" s="131" t="n">
        <f aca="false">G54+J54+M54+$N$7</f>
        <v>4.49</v>
      </c>
      <c r="O54" s="131" t="n">
        <f aca="false">Summary!$E$16</f>
        <v>9.81903240236408</v>
      </c>
      <c r="P54" s="131"/>
      <c r="Q54" s="129" t="n">
        <f aca="false">VLOOKUP($A54,[1]!CurveTable,MATCH($Q$4,[1]!CurveType,0))</f>
        <v>0.17</v>
      </c>
      <c r="R54" s="129" t="n">
        <f aca="false">Q54+Summary!$C$26</f>
        <v>0.17</v>
      </c>
      <c r="S54" s="129"/>
      <c r="T54" s="132" t="n">
        <f aca="false">X54</f>
        <v>41518</v>
      </c>
      <c r="U54" s="133" t="n">
        <f aca="false">T54-$C$3</f>
        <v>4513</v>
      </c>
      <c r="W54" s="61" t="n">
        <f aca="false">A55-A54</f>
        <v>30</v>
      </c>
      <c r="X54" s="135" t="n">
        <f aca="false">CHOOSE(F$3,A55+24,A54)</f>
        <v>41518</v>
      </c>
      <c r="Y54" s="61" t="n">
        <f aca="false">X54-C$3</f>
        <v>4513</v>
      </c>
      <c r="Z54" s="136" t="n">
        <f aca="false">VLOOKUP($A54,[1]!CurveTable,MATCH($Z$4,[1]!CurveType,0))</f>
        <v>0.0633459028064309</v>
      </c>
      <c r="AA54" s="137" t="n">
        <f aca="false">1/(1+CHOOSE(F$3,(Z55+($K$3/10000))/2,(Z54+($K$3/10000))/2))^(2*Y54/365.25)</f>
        <v>0.462755034445507</v>
      </c>
      <c r="AB54" s="61" t="n">
        <f aca="false">IF(AND(mthbeg&lt;=A54,mthend&gt;=A54),1,0)</f>
        <v>1</v>
      </c>
      <c r="AC54" s="61" t="n">
        <f aca="false">W54*AB54</f>
        <v>30</v>
      </c>
      <c r="AD54" s="121" t="n">
        <f aca="false">$D54*E54</f>
        <v>13635395.7430536</v>
      </c>
      <c r="AE54" s="121" t="n">
        <f aca="false">$D54*F54</f>
        <v>0</v>
      </c>
      <c r="AF54" s="121" t="n">
        <f aca="false">$D54*G54</f>
        <v>13635395.7430536</v>
      </c>
      <c r="AG54" s="121" t="n">
        <f aca="false">$D54*H54</f>
        <v>0</v>
      </c>
      <c r="AH54" s="121" t="n">
        <f aca="false">$D54*I54</f>
        <v>0</v>
      </c>
      <c r="AI54" s="121" t="n">
        <f aca="false">$D54*J54</f>
        <v>0</v>
      </c>
      <c r="AJ54" s="121" t="n">
        <f aca="false">$D54*K54</f>
        <v>0</v>
      </c>
      <c r="AK54" s="121" t="n">
        <f aca="false">$D54*L54</f>
        <v>0</v>
      </c>
      <c r="AL54" s="121" t="n">
        <f aca="false">$D54*M54</f>
        <v>0</v>
      </c>
      <c r="AM54" s="139"/>
      <c r="AO54" s="75" t="e">
        <f aca="false">EURO(N54,O54,Z54,Z54,R54,U54,1,0)</f>
        <v>#NAME?</v>
      </c>
      <c r="AP54" s="138" t="e">
        <f aca="false">AO54*C54</f>
        <v>#NAME?</v>
      </c>
      <c r="AQ54" s="61" t="e">
        <f aca="false">EURO(N54,O54,Z54,Z54,R54,U54,1,1)</f>
        <v>#NAME?</v>
      </c>
      <c r="AR54" s="61" t="e">
        <f aca="false">AQ54+Put!AQ54</f>
        <v>#NAME?</v>
      </c>
      <c r="AS54" s="138" t="e">
        <f aca="false">AR54*C54</f>
        <v>#NAME?</v>
      </c>
      <c r="AT54" s="120" t="e">
        <f aca="false">AS54/10000</f>
        <v>#NAME?</v>
      </c>
    </row>
    <row r="55" customFormat="false" ht="12.75" hidden="false" customHeight="false" outlineLevel="0" collapsed="false">
      <c r="A55" s="127" t="n">
        <f aca="false">EDATE(A54,1)</f>
        <v>41548</v>
      </c>
      <c r="B55" s="128" t="n">
        <f aca="false">B54</f>
        <v>205479</v>
      </c>
      <c r="C55" s="116" t="n">
        <f aca="false">IF(AB55=0,0,IF(AND(AB55=1,$H$3=1),B55*W55,IF($H$3=2,B55,"N/A")))</f>
        <v>6369849</v>
      </c>
      <c r="D55" s="116" t="n">
        <f aca="false">C55*AA55</f>
        <v>2931165.14082584</v>
      </c>
      <c r="E55" s="129" t="n">
        <f aca="false">VLOOKUP($A55,[1]!CurveTable,MATCH($E$4,[1]!CurveType,0))</f>
        <v>4.81</v>
      </c>
      <c r="F55" s="130"/>
      <c r="G55" s="131" t="n">
        <f aca="false">E55</f>
        <v>4.81</v>
      </c>
      <c r="H55" s="129" t="n">
        <f aca="false">VLOOKUP($A55,[1]!CurveTable,MATCH($H$4,[1]!CurveType,0))</f>
        <v>0</v>
      </c>
      <c r="I55" s="131"/>
      <c r="J55" s="131" t="n">
        <f aca="false">H55</f>
        <v>0</v>
      </c>
      <c r="K55" s="129"/>
      <c r="L55" s="131"/>
      <c r="M55" s="131"/>
      <c r="N55" s="131" t="n">
        <f aca="false">G55+J55+M55+$N$7</f>
        <v>4.52</v>
      </c>
      <c r="O55" s="131" t="n">
        <f aca="false">Summary!$E$16</f>
        <v>9.81903240236408</v>
      </c>
      <c r="P55" s="131"/>
      <c r="Q55" s="129" t="n">
        <f aca="false">VLOOKUP($A55,[1]!CurveTable,MATCH($Q$4,[1]!CurveType,0))</f>
        <v>0.17</v>
      </c>
      <c r="R55" s="129" t="n">
        <f aca="false">Q55+Summary!$C$26</f>
        <v>0.17</v>
      </c>
      <c r="S55" s="129"/>
      <c r="T55" s="132" t="n">
        <f aca="false">X55</f>
        <v>41548</v>
      </c>
      <c r="U55" s="133" t="n">
        <f aca="false">T55-$C$3</f>
        <v>4543</v>
      </c>
      <c r="W55" s="61" t="n">
        <f aca="false">A56-A55</f>
        <v>31</v>
      </c>
      <c r="X55" s="135" t="n">
        <f aca="false">CHOOSE(F$3,A56+24,A55)</f>
        <v>41548</v>
      </c>
      <c r="Y55" s="61" t="n">
        <f aca="false">X55-C$3</f>
        <v>4543</v>
      </c>
      <c r="Z55" s="136" t="n">
        <f aca="false">VLOOKUP($A55,[1]!CurveTable,MATCH($Z$4,[1]!CurveType,0))</f>
        <v>0.0633870489526611</v>
      </c>
      <c r="AA55" s="137" t="n">
        <f aca="false">1/(1+CHOOSE(F$3,(Z56+($K$3/10000))/2,(Z55+($K$3/10000))/2))^(2*Y55/365.25)</f>
        <v>0.460162421562244</v>
      </c>
      <c r="AB55" s="61" t="n">
        <f aca="false">IF(AND(mthbeg&lt;=A55,mthend&gt;=A55),1,0)</f>
        <v>1</v>
      </c>
      <c r="AC55" s="61" t="n">
        <f aca="false">W55*AB55</f>
        <v>31</v>
      </c>
      <c r="AD55" s="121" t="n">
        <f aca="false">$D55*E55</f>
        <v>14098904.3273723</v>
      </c>
      <c r="AE55" s="121" t="n">
        <f aca="false">$D55*F55</f>
        <v>0</v>
      </c>
      <c r="AF55" s="121" t="n">
        <f aca="false">$D55*G55</f>
        <v>14098904.3273723</v>
      </c>
      <c r="AG55" s="121" t="n">
        <f aca="false">$D55*H55</f>
        <v>0</v>
      </c>
      <c r="AH55" s="121" t="n">
        <f aca="false">$D55*I55</f>
        <v>0</v>
      </c>
      <c r="AI55" s="121" t="n">
        <f aca="false">$D55*J55</f>
        <v>0</v>
      </c>
      <c r="AJ55" s="121" t="n">
        <f aca="false">$D55*K55</f>
        <v>0</v>
      </c>
      <c r="AK55" s="121" t="n">
        <f aca="false">$D55*L55</f>
        <v>0</v>
      </c>
      <c r="AL55" s="121" t="n">
        <f aca="false">$D55*M55</f>
        <v>0</v>
      </c>
      <c r="AM55" s="139"/>
      <c r="AO55" s="75" t="e">
        <f aca="false">EURO(N55,O55,Z55,Z55,R55,U55,1,0)</f>
        <v>#NAME?</v>
      </c>
      <c r="AP55" s="138" t="e">
        <f aca="false">AO55*C55</f>
        <v>#NAME?</v>
      </c>
      <c r="AQ55" s="61" t="e">
        <f aca="false">EURO(N55,O55,Z55,Z55,R55,U55,1,1)</f>
        <v>#NAME?</v>
      </c>
      <c r="AR55" s="61" t="e">
        <f aca="false">AQ55+Put!AQ55</f>
        <v>#NAME?</v>
      </c>
      <c r="AS55" s="138" t="e">
        <f aca="false">AR55*C55</f>
        <v>#NAME?</v>
      </c>
      <c r="AT55" s="120" t="e">
        <f aca="false">AS55/10000</f>
        <v>#NAME?</v>
      </c>
    </row>
    <row r="56" customFormat="false" ht="12.75" hidden="false" customHeight="false" outlineLevel="0" collapsed="false">
      <c r="A56" s="127" t="n">
        <f aca="false">EDATE(A55,1)</f>
        <v>41579</v>
      </c>
      <c r="B56" s="128" t="n">
        <f aca="false">B55</f>
        <v>205479</v>
      </c>
      <c r="C56" s="116" t="n">
        <f aca="false">IF(AB56=0,0,IF(AND(AB56=1,$H$3=1),B56*W56,IF($H$3=2,B56,"N/A")))</f>
        <v>6164370</v>
      </c>
      <c r="D56" s="116" t="n">
        <f aca="false">C56*AA56</f>
        <v>2820171.55284296</v>
      </c>
      <c r="E56" s="129" t="n">
        <f aca="false">VLOOKUP($A56,[1]!CurveTable,MATCH($E$4,[1]!CurveType,0))</f>
        <v>4.92</v>
      </c>
      <c r="F56" s="130"/>
      <c r="G56" s="131" t="n">
        <f aca="false">E56</f>
        <v>4.92</v>
      </c>
      <c r="H56" s="129" t="n">
        <f aca="false">VLOOKUP($A56,[1]!CurveTable,MATCH($H$4,[1]!CurveType,0))</f>
        <v>0</v>
      </c>
      <c r="I56" s="131"/>
      <c r="J56" s="131" t="n">
        <f aca="false">H56</f>
        <v>0</v>
      </c>
      <c r="K56" s="129"/>
      <c r="L56" s="131"/>
      <c r="M56" s="131"/>
      <c r="N56" s="131" t="n">
        <f aca="false">G56+J56+M56+$N$7</f>
        <v>4.63</v>
      </c>
      <c r="O56" s="131" t="n">
        <f aca="false">Summary!$E$16</f>
        <v>9.81903240236408</v>
      </c>
      <c r="P56" s="131"/>
      <c r="Q56" s="129" t="n">
        <f aca="false">VLOOKUP($A56,[1]!CurveTable,MATCH($Q$4,[1]!CurveType,0))</f>
        <v>0.17</v>
      </c>
      <c r="R56" s="129" t="n">
        <f aca="false">Q56+Summary!$C$26</f>
        <v>0.17</v>
      </c>
      <c r="S56" s="129"/>
      <c r="T56" s="132" t="n">
        <f aca="false">X56</f>
        <v>41579</v>
      </c>
      <c r="U56" s="133" t="n">
        <f aca="false">T56-$C$3</f>
        <v>4574</v>
      </c>
      <c r="W56" s="61" t="n">
        <f aca="false">A57-A56</f>
        <v>30</v>
      </c>
      <c r="X56" s="135" t="n">
        <f aca="false">CHOOSE(F$3,A57+24,A56)</f>
        <v>41579</v>
      </c>
      <c r="Y56" s="61" t="n">
        <f aca="false">X56-C$3</f>
        <v>4574</v>
      </c>
      <c r="Z56" s="136" t="n">
        <f aca="false">VLOOKUP($A56,[1]!CurveTable,MATCH($Z$4,[1]!CurveType,0))</f>
        <v>0.063429566637689</v>
      </c>
      <c r="AA56" s="137" t="n">
        <f aca="false">1/(1+CHOOSE(F$3,(Z57+($K$3/10000))/2,(Z56+($K$3/10000))/2))^(2*Y56/365.25)</f>
        <v>0.457495502840187</v>
      </c>
      <c r="AB56" s="61" t="n">
        <f aca="false">IF(AND(mthbeg&lt;=A56,mthend&gt;=A56),1,0)</f>
        <v>1</v>
      </c>
      <c r="AC56" s="61" t="n">
        <f aca="false">W56*AB56</f>
        <v>30</v>
      </c>
      <c r="AD56" s="121" t="n">
        <f aca="false">$D56*E56</f>
        <v>13875244.0399874</v>
      </c>
      <c r="AE56" s="121" t="n">
        <f aca="false">$D56*F56</f>
        <v>0</v>
      </c>
      <c r="AF56" s="121" t="n">
        <f aca="false">$D56*G56</f>
        <v>13875244.0399874</v>
      </c>
      <c r="AG56" s="121" t="n">
        <f aca="false">$D56*H56</f>
        <v>0</v>
      </c>
      <c r="AH56" s="121" t="n">
        <f aca="false">$D56*I56</f>
        <v>0</v>
      </c>
      <c r="AI56" s="121" t="n">
        <f aca="false">$D56*J56</f>
        <v>0</v>
      </c>
      <c r="AJ56" s="121" t="n">
        <f aca="false">$D56*K56</f>
        <v>0</v>
      </c>
      <c r="AK56" s="121" t="n">
        <f aca="false">$D56*L56</f>
        <v>0</v>
      </c>
      <c r="AL56" s="121" t="n">
        <f aca="false">$D56*M56</f>
        <v>0</v>
      </c>
      <c r="AM56" s="139"/>
      <c r="AO56" s="75" t="e">
        <f aca="false">EURO(N56,O56,Z56,Z56,R56,U56,1,0)</f>
        <v>#NAME?</v>
      </c>
      <c r="AP56" s="138" t="e">
        <f aca="false">AO56*C56</f>
        <v>#NAME?</v>
      </c>
      <c r="AQ56" s="61" t="e">
        <f aca="false">EURO(N56,O56,Z56,Z56,R56,U56,1,1)</f>
        <v>#NAME?</v>
      </c>
      <c r="AR56" s="61" t="e">
        <f aca="false">AQ56+Put!AQ56</f>
        <v>#NAME?</v>
      </c>
      <c r="AS56" s="138" t="e">
        <f aca="false">AR56*C56</f>
        <v>#NAME?</v>
      </c>
      <c r="AT56" s="120" t="e">
        <f aca="false">AS56/10000</f>
        <v>#NAME?</v>
      </c>
    </row>
    <row r="57" customFormat="false" ht="12.75" hidden="false" customHeight="false" outlineLevel="0" collapsed="false">
      <c r="A57" s="127" t="n">
        <f aca="false">EDATE(A56,1)</f>
        <v>41609</v>
      </c>
      <c r="B57" s="128" t="n">
        <f aca="false">B56</f>
        <v>205479</v>
      </c>
      <c r="C57" s="116" t="n">
        <f aca="false">IF(AB57=0,0,IF(AND(AB57=1,$H$3=1),B57*W57,IF($H$3=2,B57,"N/A")))</f>
        <v>6369849</v>
      </c>
      <c r="D57" s="116" t="n">
        <f aca="false">C57*AA57</f>
        <v>2897811.87385485</v>
      </c>
      <c r="E57" s="129" t="n">
        <f aca="false">VLOOKUP($A57,[1]!CurveTable,MATCH($E$4,[1]!CurveType,0))</f>
        <v>5.04</v>
      </c>
      <c r="F57" s="130"/>
      <c r="G57" s="131" t="n">
        <f aca="false">E57</f>
        <v>5.04</v>
      </c>
      <c r="H57" s="129" t="n">
        <f aca="false">VLOOKUP($A57,[1]!CurveTable,MATCH($H$4,[1]!CurveType,0))</f>
        <v>0</v>
      </c>
      <c r="I57" s="131"/>
      <c r="J57" s="131" t="n">
        <f aca="false">H57</f>
        <v>0</v>
      </c>
      <c r="K57" s="129"/>
      <c r="L57" s="131"/>
      <c r="M57" s="131"/>
      <c r="N57" s="131" t="n">
        <f aca="false">G57+J57+M57+$N$7</f>
        <v>4.75</v>
      </c>
      <c r="O57" s="131" t="n">
        <f aca="false">Summary!$E$16</f>
        <v>9.81903240236408</v>
      </c>
      <c r="P57" s="131"/>
      <c r="Q57" s="129" t="n">
        <f aca="false">VLOOKUP($A57,[1]!CurveTable,MATCH($Q$4,[1]!CurveType,0))</f>
        <v>0.17</v>
      </c>
      <c r="R57" s="129" t="n">
        <f aca="false">Q57+Summary!$C$26</f>
        <v>0.17</v>
      </c>
      <c r="S57" s="129"/>
      <c r="T57" s="132" t="n">
        <f aca="false">X57</f>
        <v>41609</v>
      </c>
      <c r="U57" s="133" t="n">
        <f aca="false">T57-$C$3</f>
        <v>4604</v>
      </c>
      <c r="W57" s="61" t="n">
        <f aca="false">A58-A57</f>
        <v>31</v>
      </c>
      <c r="X57" s="135" t="n">
        <f aca="false">CHOOSE(F$3,A58+24,A57)</f>
        <v>41609</v>
      </c>
      <c r="Y57" s="61" t="n">
        <f aca="false">X57-C$3</f>
        <v>4604</v>
      </c>
      <c r="Z57" s="136" t="n">
        <f aca="false">VLOOKUP($A57,[1]!CurveTable,MATCH($Z$4,[1]!CurveType,0))</f>
        <v>0.0634707127850613</v>
      </c>
      <c r="AA57" s="137" t="n">
        <f aca="false">1/(1+CHOOSE(F$3,(Z58+($K$3/10000))/2,(Z57+($K$3/10000))/2))^(2*Y57/365.25)</f>
        <v>0.454926305765623</v>
      </c>
      <c r="AB57" s="61" t="n">
        <f aca="false">IF(AND(mthbeg&lt;=A57,mthend&gt;=A57),1,0)</f>
        <v>1</v>
      </c>
      <c r="AC57" s="61" t="n">
        <f aca="false">W57*AB57</f>
        <v>31</v>
      </c>
      <c r="AD57" s="121" t="n">
        <f aca="false">$D57*E57</f>
        <v>14604971.8442284</v>
      </c>
      <c r="AE57" s="121" t="n">
        <f aca="false">$D57*F57</f>
        <v>0</v>
      </c>
      <c r="AF57" s="121" t="n">
        <f aca="false">$D57*G57</f>
        <v>14604971.8442284</v>
      </c>
      <c r="AG57" s="121" t="n">
        <f aca="false">$D57*H57</f>
        <v>0</v>
      </c>
      <c r="AH57" s="121" t="n">
        <f aca="false">$D57*I57</f>
        <v>0</v>
      </c>
      <c r="AI57" s="121" t="n">
        <f aca="false">$D57*J57</f>
        <v>0</v>
      </c>
      <c r="AJ57" s="121" t="n">
        <f aca="false">$D57*K57</f>
        <v>0</v>
      </c>
      <c r="AK57" s="121" t="n">
        <f aca="false">$D57*L57</f>
        <v>0</v>
      </c>
      <c r="AL57" s="121" t="n">
        <f aca="false">$D57*M57</f>
        <v>0</v>
      </c>
      <c r="AM57" s="139"/>
      <c r="AO57" s="75" t="e">
        <f aca="false">EURO(N57,O57,Z57,Z57,R57,U57,1,0)</f>
        <v>#NAME?</v>
      </c>
      <c r="AP57" s="138" t="e">
        <f aca="false">AO57*C57</f>
        <v>#NAME?</v>
      </c>
      <c r="AQ57" s="61" t="e">
        <f aca="false">EURO(N57,O57,Z57,Z57,R57,U57,1,1)</f>
        <v>#NAME?</v>
      </c>
      <c r="AR57" s="61" t="e">
        <f aca="false">AQ57+Put!AQ57</f>
        <v>#NAME?</v>
      </c>
      <c r="AS57" s="138" t="e">
        <f aca="false">AR57*C57</f>
        <v>#NAME?</v>
      </c>
      <c r="AT57" s="120" t="e">
        <f aca="false">AS57/10000</f>
        <v>#NAME?</v>
      </c>
    </row>
    <row r="58" customFormat="false" ht="12.75" hidden="false" customHeight="false" outlineLevel="0" collapsed="false">
      <c r="A58" s="127" t="n">
        <f aca="false">EDATE(A57,1)</f>
        <v>41640</v>
      </c>
      <c r="B58" s="128" t="n">
        <f aca="false">B57</f>
        <v>205479</v>
      </c>
      <c r="C58" s="116" t="n">
        <f aca="false">IF(AB58=0,0,IF(AND(AB58=1,$H$3=1),B58*W58,IF($H$3=2,B58,"N/A")))</f>
        <v>6369849</v>
      </c>
      <c r="D58" s="116" t="n">
        <f aca="false">C58*AA58</f>
        <v>2880977.71019325</v>
      </c>
      <c r="E58" s="129" t="n">
        <f aca="false">VLOOKUP($A58,[1]!CurveTable,MATCH($E$4,[1]!CurveType,0))</f>
        <v>5.115</v>
      </c>
      <c r="F58" s="130"/>
      <c r="G58" s="131" t="n">
        <f aca="false">E58</f>
        <v>5.115</v>
      </c>
      <c r="H58" s="129" t="n">
        <f aca="false">VLOOKUP($A58,[1]!CurveTable,MATCH($H$4,[1]!CurveType,0))</f>
        <v>0</v>
      </c>
      <c r="I58" s="131"/>
      <c r="J58" s="131" t="n">
        <f aca="false">H58</f>
        <v>0</v>
      </c>
      <c r="K58" s="129"/>
      <c r="L58" s="131"/>
      <c r="M58" s="131"/>
      <c r="N58" s="131" t="n">
        <f aca="false">G58+J58+M58+$N$7</f>
        <v>4.825</v>
      </c>
      <c r="O58" s="131" t="n">
        <f aca="false">Summary!$E$16</f>
        <v>9.81903240236408</v>
      </c>
      <c r="P58" s="131"/>
      <c r="Q58" s="129" t="n">
        <f aca="false">VLOOKUP($A58,[1]!CurveTable,MATCH($Q$4,[1]!CurveType,0))</f>
        <v>0.17</v>
      </c>
      <c r="R58" s="129" t="n">
        <f aca="false">Q58+Summary!$C$26</f>
        <v>0.17</v>
      </c>
      <c r="S58" s="129"/>
      <c r="T58" s="132" t="n">
        <f aca="false">X58</f>
        <v>41640</v>
      </c>
      <c r="U58" s="133" t="n">
        <f aca="false">T58-$C$3</f>
        <v>4635</v>
      </c>
      <c r="W58" s="61" t="n">
        <f aca="false">A59-A58</f>
        <v>31</v>
      </c>
      <c r="X58" s="135" t="n">
        <f aca="false">CHOOSE(F$3,A59+24,A58)</f>
        <v>41640</v>
      </c>
      <c r="Y58" s="61" t="n">
        <f aca="false">X58-C$3</f>
        <v>4635</v>
      </c>
      <c r="Z58" s="136" t="n">
        <f aca="false">VLOOKUP($A58,[1]!CurveTable,MATCH($Z$4,[1]!CurveType,0))</f>
        <v>0.0635132304712691</v>
      </c>
      <c r="AA58" s="137" t="n">
        <f aca="false">1/(1+CHOOSE(F$3,(Z59+($K$3/10000))/2,(Z58+($K$3/10000))/2))^(2*Y58/365.25)</f>
        <v>0.452283517269129</v>
      </c>
      <c r="AB58" s="61" t="n">
        <f aca="false">IF(AND(mthbeg&lt;=A58,mthend&gt;=A58),1,0)</f>
        <v>1</v>
      </c>
      <c r="AC58" s="61" t="n">
        <f aca="false">W58*AB58</f>
        <v>31</v>
      </c>
      <c r="AD58" s="121" t="n">
        <f aca="false">$D58*E58</f>
        <v>14736200.9876385</v>
      </c>
      <c r="AE58" s="121" t="n">
        <f aca="false">$D58*F58</f>
        <v>0</v>
      </c>
      <c r="AF58" s="121" t="n">
        <f aca="false">$D58*G58</f>
        <v>14736200.9876385</v>
      </c>
      <c r="AG58" s="121" t="n">
        <f aca="false">$D58*H58</f>
        <v>0</v>
      </c>
      <c r="AH58" s="121" t="n">
        <f aca="false">$D58*I58</f>
        <v>0</v>
      </c>
      <c r="AI58" s="121" t="n">
        <f aca="false">$D58*J58</f>
        <v>0</v>
      </c>
      <c r="AJ58" s="121" t="n">
        <f aca="false">$D58*K58</f>
        <v>0</v>
      </c>
      <c r="AK58" s="121" t="n">
        <f aca="false">$D58*L58</f>
        <v>0</v>
      </c>
      <c r="AL58" s="121" t="n">
        <f aca="false">$D58*M58</f>
        <v>0</v>
      </c>
      <c r="AM58" s="139"/>
      <c r="AO58" s="75" t="e">
        <f aca="false">EURO(N58,O58,Z58,Z58,R58,U58,1,0)</f>
        <v>#NAME?</v>
      </c>
      <c r="AP58" s="138" t="e">
        <f aca="false">AO58*C58</f>
        <v>#NAME?</v>
      </c>
      <c r="AQ58" s="61" t="e">
        <f aca="false">EURO(N58,O58,Z58,Z58,R58,U58,1,1)</f>
        <v>#NAME?</v>
      </c>
      <c r="AR58" s="61" t="e">
        <f aca="false">AQ58+Put!AQ58</f>
        <v>#NAME?</v>
      </c>
      <c r="AS58" s="138" t="e">
        <f aca="false">AR58*C58</f>
        <v>#NAME?</v>
      </c>
      <c r="AT58" s="120" t="e">
        <f aca="false">AS58/10000</f>
        <v>#NAME?</v>
      </c>
    </row>
    <row r="59" customFormat="false" ht="12.75" hidden="false" customHeight="false" outlineLevel="0" collapsed="false">
      <c r="A59" s="127" t="n">
        <f aca="false">EDATE(A58,1)</f>
        <v>41671</v>
      </c>
      <c r="B59" s="128" t="n">
        <f aca="false">B58</f>
        <v>205479</v>
      </c>
      <c r="C59" s="116" t="n">
        <f aca="false">IF(AB59=0,0,IF(AND(AB59=1,$H$3=1),B59*W59,IF($H$3=2,B59,"N/A")))</f>
        <v>5753412</v>
      </c>
      <c r="D59" s="116" t="n">
        <f aca="false">C59*AA59</f>
        <v>2587038.62601776</v>
      </c>
      <c r="E59" s="129" t="n">
        <f aca="false">VLOOKUP($A59,[1]!CurveTable,MATCH($E$4,[1]!CurveType,0))</f>
        <v>4.995</v>
      </c>
      <c r="F59" s="130"/>
      <c r="G59" s="131" t="n">
        <f aca="false">E59</f>
        <v>4.995</v>
      </c>
      <c r="H59" s="129" t="n">
        <f aca="false">VLOOKUP($A59,[1]!CurveTable,MATCH($H$4,[1]!CurveType,0))</f>
        <v>0</v>
      </c>
      <c r="I59" s="131"/>
      <c r="J59" s="131" t="n">
        <f aca="false">H59</f>
        <v>0</v>
      </c>
      <c r="K59" s="129"/>
      <c r="L59" s="131"/>
      <c r="M59" s="131"/>
      <c r="N59" s="131" t="n">
        <f aca="false">G59+J59+M59+$N$7</f>
        <v>4.705</v>
      </c>
      <c r="O59" s="131" t="n">
        <f aca="false">Summary!$E$16</f>
        <v>9.81903240236408</v>
      </c>
      <c r="P59" s="131"/>
      <c r="Q59" s="129" t="n">
        <f aca="false">VLOOKUP($A59,[1]!CurveTable,MATCH($Q$4,[1]!CurveType,0))</f>
        <v>0.17</v>
      </c>
      <c r="R59" s="129" t="n">
        <f aca="false">Q59+Summary!$C$26</f>
        <v>0.17</v>
      </c>
      <c r="S59" s="129"/>
      <c r="T59" s="132" t="n">
        <f aca="false">X59</f>
        <v>41671</v>
      </c>
      <c r="U59" s="133" t="n">
        <f aca="false">T59-$C$3</f>
        <v>4666</v>
      </c>
      <c r="W59" s="61" t="n">
        <f aca="false">A60-A59</f>
        <v>28</v>
      </c>
      <c r="X59" s="135" t="n">
        <f aca="false">CHOOSE(F$3,A60+24,A59)</f>
        <v>41671</v>
      </c>
      <c r="Y59" s="61" t="n">
        <f aca="false">X59-C$3</f>
        <v>4666</v>
      </c>
      <c r="Z59" s="136" t="n">
        <f aca="false">VLOOKUP($A59,[1]!CurveTable,MATCH($Z$4,[1]!CurveType,0))</f>
        <v>0.0635557481580768</v>
      </c>
      <c r="AA59" s="137" t="n">
        <f aca="false">1/(1+CHOOSE(F$3,(Z60+($K$3/10000))/2,(Z59+($K$3/10000))/2))^(2*Y59/365.25)</f>
        <v>0.449652940901462</v>
      </c>
      <c r="AB59" s="61" t="n">
        <f aca="false">IF(AND(mthbeg&lt;=A59,mthend&gt;=A59),1,0)</f>
        <v>1</v>
      </c>
      <c r="AC59" s="61" t="n">
        <f aca="false">W59*AB59</f>
        <v>28</v>
      </c>
      <c r="AD59" s="121" t="n">
        <f aca="false">$D59*E59</f>
        <v>12922257.9369587</v>
      </c>
      <c r="AE59" s="121" t="n">
        <f aca="false">$D59*F59</f>
        <v>0</v>
      </c>
      <c r="AF59" s="121" t="n">
        <f aca="false">$D59*G59</f>
        <v>12922257.9369587</v>
      </c>
      <c r="AG59" s="121" t="n">
        <f aca="false">$D59*H59</f>
        <v>0</v>
      </c>
      <c r="AH59" s="121" t="n">
        <f aca="false">$D59*I59</f>
        <v>0</v>
      </c>
      <c r="AI59" s="121" t="n">
        <f aca="false">$D59*J59</f>
        <v>0</v>
      </c>
      <c r="AJ59" s="121" t="n">
        <f aca="false">$D59*K59</f>
        <v>0</v>
      </c>
      <c r="AK59" s="121" t="n">
        <f aca="false">$D59*L59</f>
        <v>0</v>
      </c>
      <c r="AL59" s="121" t="n">
        <f aca="false">$D59*M59</f>
        <v>0</v>
      </c>
      <c r="AM59" s="139"/>
      <c r="AO59" s="75" t="e">
        <f aca="false">EURO(N59,O59,Z59,Z59,R59,U59,1,0)</f>
        <v>#NAME?</v>
      </c>
      <c r="AP59" s="138" t="e">
        <f aca="false">AO59*C59</f>
        <v>#NAME?</v>
      </c>
      <c r="AQ59" s="61" t="e">
        <f aca="false">EURO(N59,O59,Z59,Z59,R59,U59,1,1)</f>
        <v>#NAME?</v>
      </c>
      <c r="AR59" s="61" t="e">
        <f aca="false">AQ59+Put!AQ59</f>
        <v>#NAME?</v>
      </c>
      <c r="AS59" s="138" t="e">
        <f aca="false">AR59*C59</f>
        <v>#NAME?</v>
      </c>
      <c r="AT59" s="120" t="e">
        <f aca="false">AS59/10000</f>
        <v>#NAME?</v>
      </c>
    </row>
    <row r="60" customFormat="false" ht="12.75" hidden="false" customHeight="false" outlineLevel="0" collapsed="false">
      <c r="A60" s="127" t="n">
        <f aca="false">EDATE(A59,1)</f>
        <v>41699</v>
      </c>
      <c r="B60" s="128" t="n">
        <f aca="false">B59</f>
        <v>205479</v>
      </c>
      <c r="C60" s="116" t="n">
        <f aca="false">IF(AB60=0,0,IF(AND(AB60=1,$H$3=1),B60*W60,IF($H$3=2,B60,"N/A")))</f>
        <v>6369849</v>
      </c>
      <c r="D60" s="116" t="n">
        <f aca="false">C60*AA60</f>
        <v>2849153.22627799</v>
      </c>
      <c r="E60" s="129" t="n">
        <f aca="false">VLOOKUP($A60,[1]!CurveTable,MATCH($E$4,[1]!CurveType,0))</f>
        <v>4.856</v>
      </c>
      <c r="F60" s="130"/>
      <c r="G60" s="131" t="n">
        <f aca="false">E60</f>
        <v>4.856</v>
      </c>
      <c r="H60" s="129" t="n">
        <f aca="false">VLOOKUP($A60,[1]!CurveTable,MATCH($H$4,[1]!CurveType,0))</f>
        <v>0</v>
      </c>
      <c r="I60" s="131"/>
      <c r="J60" s="131" t="n">
        <f aca="false">H60</f>
        <v>0</v>
      </c>
      <c r="K60" s="129"/>
      <c r="L60" s="131"/>
      <c r="M60" s="131"/>
      <c r="N60" s="131" t="n">
        <f aca="false">G60+J60+M60+$N$7</f>
        <v>4.566</v>
      </c>
      <c r="O60" s="131" t="n">
        <f aca="false">Summary!$E$16</f>
        <v>9.81903240236408</v>
      </c>
      <c r="P60" s="131"/>
      <c r="Q60" s="129" t="n">
        <f aca="false">VLOOKUP($A60,[1]!CurveTable,MATCH($Q$4,[1]!CurveType,0))</f>
        <v>0.17</v>
      </c>
      <c r="R60" s="129" t="n">
        <f aca="false">Q60+Summary!$C$26</f>
        <v>0.17</v>
      </c>
      <c r="S60" s="129"/>
      <c r="T60" s="132" t="n">
        <f aca="false">X60</f>
        <v>41699</v>
      </c>
      <c r="U60" s="133" t="n">
        <f aca="false">T60-$C$3</f>
        <v>4694</v>
      </c>
      <c r="W60" s="61" t="n">
        <f aca="false">A61-A60</f>
        <v>31</v>
      </c>
      <c r="X60" s="135" t="n">
        <f aca="false">CHOOSE(F$3,A61+24,A60)</f>
        <v>41699</v>
      </c>
      <c r="Y60" s="61" t="n">
        <f aca="false">X60-C$3</f>
        <v>4694</v>
      </c>
      <c r="Z60" s="136" t="n">
        <f aca="false">VLOOKUP($A60,[1]!CurveTable,MATCH($Z$4,[1]!CurveType,0))</f>
        <v>0.0635941512305474</v>
      </c>
      <c r="AA60" s="137" t="n">
        <f aca="false">1/(1+CHOOSE(F$3,(Z61+($K$3/10000))/2,(Z60+($K$3/10000))/2))^(2*Y60/365.25)</f>
        <v>0.447287404501737</v>
      </c>
      <c r="AB60" s="61" t="n">
        <f aca="false">IF(AND(mthbeg&lt;=A60,mthend&gt;=A60),1,0)</f>
        <v>1</v>
      </c>
      <c r="AC60" s="61" t="n">
        <f aca="false">W60*AB60</f>
        <v>31</v>
      </c>
      <c r="AD60" s="121" t="n">
        <f aca="false">$D60*E60</f>
        <v>13835488.0668059</v>
      </c>
      <c r="AE60" s="121" t="n">
        <f aca="false">$D60*F60</f>
        <v>0</v>
      </c>
      <c r="AF60" s="121" t="n">
        <f aca="false">$D60*G60</f>
        <v>13835488.0668059</v>
      </c>
      <c r="AG60" s="121" t="n">
        <f aca="false">$D60*H60</f>
        <v>0</v>
      </c>
      <c r="AH60" s="121" t="n">
        <f aca="false">$D60*I60</f>
        <v>0</v>
      </c>
      <c r="AI60" s="121" t="n">
        <f aca="false">$D60*J60</f>
        <v>0</v>
      </c>
      <c r="AJ60" s="121" t="n">
        <f aca="false">$D60*K60</f>
        <v>0</v>
      </c>
      <c r="AK60" s="121" t="n">
        <f aca="false">$D60*L60</f>
        <v>0</v>
      </c>
      <c r="AL60" s="121" t="n">
        <f aca="false">$D60*M60</f>
        <v>0</v>
      </c>
      <c r="AM60" s="139"/>
      <c r="AO60" s="75" t="e">
        <f aca="false">EURO(N60,O60,Z60,Z60,R60,U60,1,0)</f>
        <v>#NAME?</v>
      </c>
      <c r="AP60" s="138" t="e">
        <f aca="false">AO60*C60</f>
        <v>#NAME?</v>
      </c>
      <c r="AQ60" s="61" t="e">
        <f aca="false">EURO(N60,O60,Z60,Z60,R60,U60,1,1)</f>
        <v>#NAME?</v>
      </c>
      <c r="AR60" s="61" t="e">
        <f aca="false">AQ60+Put!AQ60</f>
        <v>#NAME?</v>
      </c>
      <c r="AS60" s="138" t="e">
        <f aca="false">AR60*C60</f>
        <v>#NAME?</v>
      </c>
      <c r="AT60" s="120" t="e">
        <f aca="false">AS60/10000</f>
        <v>#NAME?</v>
      </c>
    </row>
    <row r="61" customFormat="false" ht="12.75" hidden="false" customHeight="false" outlineLevel="0" collapsed="false">
      <c r="A61" s="127" t="n">
        <f aca="false">EDATE(A60,1)</f>
        <v>41730</v>
      </c>
      <c r="B61" s="128" t="n">
        <f aca="false">B60</f>
        <v>205479</v>
      </c>
      <c r="C61" s="116" t="n">
        <f aca="false">IF(AB61=0,0,IF(AND(AB61=1,$H$3=1),B61*W61,IF($H$3=2,B61,"N/A")))</f>
        <v>6164370</v>
      </c>
      <c r="D61" s="116" t="n">
        <f aca="false">C61*AA61</f>
        <v>2741171.90231165</v>
      </c>
      <c r="E61" s="129" t="n">
        <f aca="false">VLOOKUP($A61,[1]!CurveTable,MATCH($E$4,[1]!CurveType,0))</f>
        <v>4.686</v>
      </c>
      <c r="F61" s="130"/>
      <c r="G61" s="131" t="n">
        <f aca="false">E61</f>
        <v>4.686</v>
      </c>
      <c r="H61" s="129" t="n">
        <f aca="false">VLOOKUP($A61,[1]!CurveTable,MATCH($H$4,[1]!CurveType,0))</f>
        <v>0</v>
      </c>
      <c r="I61" s="131"/>
      <c r="J61" s="131" t="n">
        <f aca="false">H61</f>
        <v>0</v>
      </c>
      <c r="K61" s="129"/>
      <c r="L61" s="131"/>
      <c r="M61" s="131"/>
      <c r="N61" s="131" t="n">
        <f aca="false">G61+J61+M61+$N$7</f>
        <v>4.396</v>
      </c>
      <c r="O61" s="131" t="n">
        <f aca="false">Summary!$E$16</f>
        <v>9.81903240236408</v>
      </c>
      <c r="P61" s="131"/>
      <c r="Q61" s="129" t="n">
        <f aca="false">VLOOKUP($A61,[1]!CurveTable,MATCH($Q$4,[1]!CurveType,0))</f>
        <v>0.17</v>
      </c>
      <c r="R61" s="129" t="n">
        <f aca="false">Q61+Summary!$C$26</f>
        <v>0.17</v>
      </c>
      <c r="S61" s="129"/>
      <c r="T61" s="132" t="n">
        <f aca="false">X61</f>
        <v>41730</v>
      </c>
      <c r="U61" s="133" t="n">
        <f aca="false">T61-$C$3</f>
        <v>4725</v>
      </c>
      <c r="W61" s="61" t="n">
        <f aca="false">A62-A61</f>
        <v>30</v>
      </c>
      <c r="X61" s="135" t="n">
        <f aca="false">CHOOSE(F$3,A62+24,A61)</f>
        <v>41730</v>
      </c>
      <c r="Y61" s="61" t="n">
        <f aca="false">X61-C$3</f>
        <v>4725</v>
      </c>
      <c r="Z61" s="136" t="n">
        <f aca="false">VLOOKUP($A61,[1]!CurveTable,MATCH($Z$4,[1]!CurveType,0))</f>
        <v>0.0636366689184955</v>
      </c>
      <c r="AA61" s="137" t="n">
        <f aca="false">1/(1+CHOOSE(F$3,(Z62+($K$3/10000))/2,(Z61+($K$3/10000))/2))^(2*Y61/365.25)</f>
        <v>0.444679975782059</v>
      </c>
      <c r="AB61" s="61" t="n">
        <f aca="false">IF(AND(mthbeg&lt;=A61,mthend&gt;=A61),1,0)</f>
        <v>1</v>
      </c>
      <c r="AC61" s="61" t="n">
        <f aca="false">W61*AB61</f>
        <v>30</v>
      </c>
      <c r="AD61" s="121" t="n">
        <f aca="false">$D61*E61</f>
        <v>12845131.5342324</v>
      </c>
      <c r="AE61" s="121" t="n">
        <f aca="false">$D61*F61</f>
        <v>0</v>
      </c>
      <c r="AF61" s="121" t="n">
        <f aca="false">$D61*G61</f>
        <v>12845131.5342324</v>
      </c>
      <c r="AG61" s="121" t="n">
        <f aca="false">$D61*H61</f>
        <v>0</v>
      </c>
      <c r="AH61" s="121" t="n">
        <f aca="false">$D61*I61</f>
        <v>0</v>
      </c>
      <c r="AI61" s="121" t="n">
        <f aca="false">$D61*J61</f>
        <v>0</v>
      </c>
      <c r="AJ61" s="121" t="n">
        <f aca="false">$D61*K61</f>
        <v>0</v>
      </c>
      <c r="AK61" s="121" t="n">
        <f aca="false">$D61*L61</f>
        <v>0</v>
      </c>
      <c r="AL61" s="121" t="n">
        <f aca="false">$D61*M61</f>
        <v>0</v>
      </c>
      <c r="AM61" s="139"/>
      <c r="AO61" s="75" t="e">
        <f aca="false">EURO(N61,O61,Z61,Z61,R61,U61,1,0)</f>
        <v>#NAME?</v>
      </c>
      <c r="AP61" s="138" t="e">
        <f aca="false">AO61*C61</f>
        <v>#NAME?</v>
      </c>
      <c r="AQ61" s="61" t="e">
        <f aca="false">EURO(N61,O61,Z61,Z61,R61,U61,1,1)</f>
        <v>#NAME?</v>
      </c>
      <c r="AR61" s="61" t="e">
        <f aca="false">AQ61+Put!AQ61</f>
        <v>#NAME?</v>
      </c>
      <c r="AS61" s="138" t="e">
        <f aca="false">AR61*C61</f>
        <v>#NAME?</v>
      </c>
      <c r="AT61" s="120" t="e">
        <f aca="false">AS61/10000</f>
        <v>#NAME?</v>
      </c>
    </row>
    <row r="62" customFormat="false" ht="12.75" hidden="false" customHeight="false" outlineLevel="0" collapsed="false">
      <c r="A62" s="127" t="n">
        <f aca="false">EDATE(A61,1)</f>
        <v>41760</v>
      </c>
      <c r="B62" s="128" t="n">
        <f aca="false">B61</f>
        <v>205479</v>
      </c>
      <c r="C62" s="116" t="n">
        <f aca="false">IF(AB62=0,0,IF(AND(AB62=1,$H$3=1),B62*W62,IF($H$3=2,B62,"N/A")))</f>
        <v>6369849</v>
      </c>
      <c r="D62" s="116" t="n">
        <f aca="false">C62*AA62</f>
        <v>2816544.60703662</v>
      </c>
      <c r="E62" s="129" t="n">
        <f aca="false">VLOOKUP($A62,[1]!CurveTable,MATCH($E$4,[1]!CurveType,0))</f>
        <v>4.745</v>
      </c>
      <c r="F62" s="130"/>
      <c r="G62" s="131" t="n">
        <f aca="false">E62</f>
        <v>4.745</v>
      </c>
      <c r="H62" s="129" t="n">
        <f aca="false">VLOOKUP($A62,[1]!CurveTable,MATCH($H$4,[1]!CurveType,0))</f>
        <v>0</v>
      </c>
      <c r="I62" s="131"/>
      <c r="J62" s="131" t="n">
        <f aca="false">H62</f>
        <v>0</v>
      </c>
      <c r="K62" s="129"/>
      <c r="L62" s="131"/>
      <c r="M62" s="131"/>
      <c r="N62" s="131" t="n">
        <f aca="false">G62+J62+M62+$N$7</f>
        <v>4.455</v>
      </c>
      <c r="O62" s="131" t="n">
        <f aca="false">Summary!$E$16</f>
        <v>9.81903240236408</v>
      </c>
      <c r="P62" s="131"/>
      <c r="Q62" s="129" t="n">
        <f aca="false">VLOOKUP($A62,[1]!CurveTable,MATCH($Q$4,[1]!CurveType,0))</f>
        <v>0.17</v>
      </c>
      <c r="R62" s="129" t="n">
        <f aca="false">Q62+Summary!$C$26</f>
        <v>0.17</v>
      </c>
      <c r="S62" s="129"/>
      <c r="T62" s="132" t="n">
        <f aca="false">X62</f>
        <v>41760</v>
      </c>
      <c r="U62" s="133" t="n">
        <f aca="false">T62-$C$3</f>
        <v>4755</v>
      </c>
      <c r="W62" s="61" t="n">
        <f aca="false">A63-A62</f>
        <v>31</v>
      </c>
      <c r="X62" s="135" t="n">
        <f aca="false">CHOOSE(F$3,A63+24,A62)</f>
        <v>41760</v>
      </c>
      <c r="Y62" s="61" t="n">
        <f aca="false">X62-C$3</f>
        <v>4755</v>
      </c>
      <c r="Z62" s="136" t="n">
        <f aca="false">VLOOKUP($A62,[1]!CurveTable,MATCH($Z$4,[1]!CurveType,0))</f>
        <v>0.0636778150686945</v>
      </c>
      <c r="AA62" s="137" t="n">
        <f aca="false">1/(1+CHOOSE(F$3,(Z63+($K$3/10000))/2,(Z62+($K$3/10000))/2))^(2*Y62/365.25)</f>
        <v>0.442168190648887</v>
      </c>
      <c r="AB62" s="61" t="n">
        <f aca="false">IF(AND(mthbeg&lt;=A62,mthend&gt;=A62),1,0)</f>
        <v>1</v>
      </c>
      <c r="AC62" s="61" t="n">
        <f aca="false">W62*AB62</f>
        <v>31</v>
      </c>
      <c r="AD62" s="121" t="n">
        <f aca="false">$D62*E62</f>
        <v>13364504.1603888</v>
      </c>
      <c r="AE62" s="121" t="n">
        <f aca="false">$D62*F62</f>
        <v>0</v>
      </c>
      <c r="AF62" s="121" t="n">
        <f aca="false">$D62*G62</f>
        <v>13364504.1603888</v>
      </c>
      <c r="AG62" s="121" t="n">
        <f aca="false">$D62*H62</f>
        <v>0</v>
      </c>
      <c r="AH62" s="121" t="n">
        <f aca="false">$D62*I62</f>
        <v>0</v>
      </c>
      <c r="AI62" s="121" t="n">
        <f aca="false">$D62*J62</f>
        <v>0</v>
      </c>
      <c r="AJ62" s="121" t="n">
        <f aca="false">$D62*K62</f>
        <v>0</v>
      </c>
      <c r="AK62" s="121" t="n">
        <f aca="false">$D62*L62</f>
        <v>0</v>
      </c>
      <c r="AL62" s="121" t="n">
        <f aca="false">$D62*M62</f>
        <v>0</v>
      </c>
      <c r="AM62" s="139"/>
      <c r="AO62" s="75" t="e">
        <f aca="false">EURO(N62,O62,Z62,Z62,R62,U62,1,0)</f>
        <v>#NAME?</v>
      </c>
      <c r="AP62" s="138" t="e">
        <f aca="false">AO62*C62</f>
        <v>#NAME?</v>
      </c>
      <c r="AQ62" s="61" t="e">
        <f aca="false">EURO(N62,O62,Z62,Z62,R62,U62,1,1)</f>
        <v>#NAME?</v>
      </c>
      <c r="AR62" s="61" t="e">
        <f aca="false">AQ62+Put!AQ62</f>
        <v>#NAME?</v>
      </c>
      <c r="AS62" s="138" t="e">
        <f aca="false">AR62*C62</f>
        <v>#NAME?</v>
      </c>
      <c r="AT62" s="120" t="e">
        <f aca="false">AS62/10000</f>
        <v>#NAME?</v>
      </c>
    </row>
    <row r="63" customFormat="false" ht="12.75" hidden="false" customHeight="false" outlineLevel="0" collapsed="false">
      <c r="A63" s="127" t="n">
        <f aca="false">EDATE(A62,1)</f>
        <v>41791</v>
      </c>
      <c r="B63" s="128" t="n">
        <f aca="false">B62</f>
        <v>205479</v>
      </c>
      <c r="C63" s="116" t="n">
        <f aca="false">IF(AB63=0,0,IF(AND(AB63=1,$H$3=1),B63*W63,IF($H$3=2,B63,"N/A")))</f>
        <v>6164370</v>
      </c>
      <c r="D63" s="116" t="n">
        <f aca="false">C63*AA63</f>
        <v>2709761.89402103</v>
      </c>
      <c r="E63" s="129" t="n">
        <f aca="false">VLOOKUP($A63,[1]!CurveTable,MATCH($E$4,[1]!CurveType,0))</f>
        <v>4.785</v>
      </c>
      <c r="F63" s="130"/>
      <c r="G63" s="131" t="n">
        <f aca="false">E63</f>
        <v>4.785</v>
      </c>
      <c r="H63" s="129" t="n">
        <f aca="false">VLOOKUP($A63,[1]!CurveTable,MATCH($H$4,[1]!CurveType,0))</f>
        <v>0</v>
      </c>
      <c r="I63" s="131"/>
      <c r="J63" s="131" t="n">
        <f aca="false">H63</f>
        <v>0</v>
      </c>
      <c r="K63" s="129"/>
      <c r="L63" s="131"/>
      <c r="M63" s="131"/>
      <c r="N63" s="131" t="n">
        <f aca="false">G63+J63+M63+$N$7</f>
        <v>4.495</v>
      </c>
      <c r="O63" s="131" t="n">
        <f aca="false">Summary!$E$16</f>
        <v>9.81903240236408</v>
      </c>
      <c r="P63" s="131"/>
      <c r="Q63" s="129" t="n">
        <f aca="false">VLOOKUP($A63,[1]!CurveTable,MATCH($Q$4,[1]!CurveType,0))</f>
        <v>0.17</v>
      </c>
      <c r="R63" s="129" t="n">
        <f aca="false">Q63+Summary!$C$26</f>
        <v>0.17</v>
      </c>
      <c r="S63" s="129"/>
      <c r="T63" s="132" t="n">
        <f aca="false">X63</f>
        <v>41791</v>
      </c>
      <c r="U63" s="133" t="n">
        <f aca="false">T63-$C$3</f>
        <v>4786</v>
      </c>
      <c r="W63" s="61" t="n">
        <f aca="false">A64-A63</f>
        <v>30</v>
      </c>
      <c r="X63" s="135" t="n">
        <f aca="false">CHOOSE(F$3,A64+24,A63)</f>
        <v>41791</v>
      </c>
      <c r="Y63" s="61" t="n">
        <f aca="false">X63-C$3</f>
        <v>4786</v>
      </c>
      <c r="Z63" s="136" t="n">
        <f aca="false">VLOOKUP($A63,[1]!CurveTable,MATCH($Z$4,[1]!CurveType,0))</f>
        <v>0.0637203327578226</v>
      </c>
      <c r="AA63" s="137" t="n">
        <f aca="false">1/(1+CHOOSE(F$3,(Z64+($K$3/10000))/2,(Z63+($K$3/10000))/2))^(2*Y63/365.25)</f>
        <v>0.439584563227229</v>
      </c>
      <c r="AB63" s="61" t="n">
        <f aca="false">IF(AND(mthbeg&lt;=A63,mthend&gt;=A63),1,0)</f>
        <v>1</v>
      </c>
      <c r="AC63" s="61" t="n">
        <f aca="false">W63*AB63</f>
        <v>30</v>
      </c>
      <c r="AD63" s="121" t="n">
        <f aca="false">$D63*E63</f>
        <v>12966210.6628907</v>
      </c>
      <c r="AE63" s="121" t="n">
        <f aca="false">$D63*F63</f>
        <v>0</v>
      </c>
      <c r="AF63" s="121" t="n">
        <f aca="false">$D63*G63</f>
        <v>12966210.6628907</v>
      </c>
      <c r="AG63" s="121" t="n">
        <f aca="false">$D63*H63</f>
        <v>0</v>
      </c>
      <c r="AH63" s="121" t="n">
        <f aca="false">$D63*I63</f>
        <v>0</v>
      </c>
      <c r="AI63" s="121" t="n">
        <f aca="false">$D63*J63</f>
        <v>0</v>
      </c>
      <c r="AJ63" s="121" t="n">
        <f aca="false">$D63*K63</f>
        <v>0</v>
      </c>
      <c r="AK63" s="121" t="n">
        <f aca="false">$D63*L63</f>
        <v>0</v>
      </c>
      <c r="AL63" s="121" t="n">
        <f aca="false">$D63*M63</f>
        <v>0</v>
      </c>
      <c r="AM63" s="139"/>
      <c r="AO63" s="75" t="e">
        <f aca="false">EURO(N63,O63,Z63,Z63,R63,U63,1,0)</f>
        <v>#NAME?</v>
      </c>
      <c r="AP63" s="138" t="e">
        <f aca="false">AO63*C63</f>
        <v>#NAME?</v>
      </c>
      <c r="AQ63" s="61" t="e">
        <f aca="false">EURO(N63,O63,Z63,Z63,R63,U63,1,1)</f>
        <v>#NAME?</v>
      </c>
      <c r="AR63" s="61" t="e">
        <f aca="false">AQ63+Put!AQ63</f>
        <v>#NAME?</v>
      </c>
      <c r="AS63" s="138" t="e">
        <f aca="false">AR63*C63</f>
        <v>#NAME?</v>
      </c>
      <c r="AT63" s="120" t="e">
        <f aca="false">AS63/10000</f>
        <v>#NAME?</v>
      </c>
    </row>
    <row r="64" customFormat="false" ht="12.75" hidden="false" customHeight="false" outlineLevel="0" collapsed="false">
      <c r="A64" s="127" t="n">
        <f aca="false">EDATE(A63,1)</f>
        <v>41821</v>
      </c>
      <c r="B64" s="128" t="n">
        <f aca="false">B63</f>
        <v>205479</v>
      </c>
      <c r="C64" s="116" t="n">
        <f aca="false">IF(AB64=0,0,IF(AND(AB64=1,$H$3=1),B64*W64,IF($H$3=2,B64,"N/A")))</f>
        <v>6369849</v>
      </c>
      <c r="D64" s="116" t="n">
        <f aca="false">C64*AA64</f>
        <v>2784233.90699861</v>
      </c>
      <c r="E64" s="129" t="n">
        <f aca="false">VLOOKUP($A64,[1]!CurveTable,MATCH($E$4,[1]!CurveType,0))</f>
        <v>4.83</v>
      </c>
      <c r="F64" s="130"/>
      <c r="G64" s="131" t="n">
        <f aca="false">E64</f>
        <v>4.83</v>
      </c>
      <c r="H64" s="129" t="n">
        <f aca="false">VLOOKUP($A64,[1]!CurveTable,MATCH($H$4,[1]!CurveType,0))</f>
        <v>0</v>
      </c>
      <c r="I64" s="131"/>
      <c r="J64" s="131" t="n">
        <f aca="false">H64</f>
        <v>0</v>
      </c>
      <c r="K64" s="129"/>
      <c r="L64" s="131"/>
      <c r="M64" s="131"/>
      <c r="N64" s="131" t="n">
        <f aca="false">G64+J64+M64+$N$7</f>
        <v>4.54</v>
      </c>
      <c r="O64" s="131" t="n">
        <f aca="false">Summary!$E$16</f>
        <v>9.81903240236408</v>
      </c>
      <c r="P64" s="131"/>
      <c r="Q64" s="129" t="n">
        <f aca="false">VLOOKUP($A64,[1]!CurveTable,MATCH($Q$4,[1]!CurveType,0))</f>
        <v>0.17</v>
      </c>
      <c r="R64" s="129" t="n">
        <f aca="false">Q64+Summary!$C$26</f>
        <v>0.17</v>
      </c>
      <c r="S64" s="129"/>
      <c r="T64" s="132" t="n">
        <f aca="false">X64</f>
        <v>41821</v>
      </c>
      <c r="U64" s="133" t="n">
        <f aca="false">T64-$C$3</f>
        <v>4816</v>
      </c>
      <c r="W64" s="61" t="n">
        <f aca="false">A65-A64</f>
        <v>31</v>
      </c>
      <c r="X64" s="135" t="n">
        <f aca="false">CHOOSE(F$3,A65+24,A64)</f>
        <v>41821</v>
      </c>
      <c r="Y64" s="61" t="n">
        <f aca="false">X64-C$3</f>
        <v>4816</v>
      </c>
      <c r="Z64" s="136" t="n">
        <f aca="false">VLOOKUP($A64,[1]!CurveTable,MATCH($Z$4,[1]!CurveType,0))</f>
        <v>0.0637614789091634</v>
      </c>
      <c r="AA64" s="137" t="n">
        <f aca="false">1/(1+CHOOSE(F$3,(Z65+($K$3/10000))/2,(Z64+($K$3/10000))/2))^(2*Y64/365.25)</f>
        <v>0.437095747010425</v>
      </c>
      <c r="AB64" s="61" t="n">
        <f aca="false">IF(AND(mthbeg&lt;=A64,mthend&gt;=A64),1,0)</f>
        <v>1</v>
      </c>
      <c r="AC64" s="61" t="n">
        <f aca="false">W64*AB64</f>
        <v>31</v>
      </c>
      <c r="AD64" s="121" t="n">
        <f aca="false">$D64*E64</f>
        <v>13447849.7708033</v>
      </c>
      <c r="AE64" s="121" t="n">
        <f aca="false">$D64*F64</f>
        <v>0</v>
      </c>
      <c r="AF64" s="121" t="n">
        <f aca="false">$D64*G64</f>
        <v>13447849.7708033</v>
      </c>
      <c r="AG64" s="121" t="n">
        <f aca="false">$D64*H64</f>
        <v>0</v>
      </c>
      <c r="AH64" s="121" t="n">
        <f aca="false">$D64*I64</f>
        <v>0</v>
      </c>
      <c r="AI64" s="121" t="n">
        <f aca="false">$D64*J64</f>
        <v>0</v>
      </c>
      <c r="AJ64" s="121" t="n">
        <f aca="false">$D64*K64</f>
        <v>0</v>
      </c>
      <c r="AK64" s="121" t="n">
        <f aca="false">$D64*L64</f>
        <v>0</v>
      </c>
      <c r="AL64" s="121" t="n">
        <f aca="false">$D64*M64</f>
        <v>0</v>
      </c>
      <c r="AM64" s="139"/>
      <c r="AO64" s="75" t="e">
        <f aca="false">EURO(N64,O64,Z64,Z64,R64,U64,1,0)</f>
        <v>#NAME?</v>
      </c>
      <c r="AP64" s="138" t="e">
        <f aca="false">AO64*C64</f>
        <v>#NAME?</v>
      </c>
      <c r="AQ64" s="61" t="e">
        <f aca="false">EURO(N64,O64,Z64,Z64,R64,U64,1,1)</f>
        <v>#NAME?</v>
      </c>
      <c r="AR64" s="61" t="e">
        <f aca="false">AQ64+Put!AQ64</f>
        <v>#NAME?</v>
      </c>
      <c r="AS64" s="138" t="e">
        <f aca="false">AR64*C64</f>
        <v>#NAME?</v>
      </c>
      <c r="AT64" s="120" t="e">
        <f aca="false">AS64/10000</f>
        <v>#NAME?</v>
      </c>
    </row>
    <row r="65" customFormat="false" ht="12.75" hidden="false" customHeight="false" outlineLevel="0" collapsed="false">
      <c r="A65" s="127" t="n">
        <f aca="false">EDATE(A64,1)</f>
        <v>41852</v>
      </c>
      <c r="B65" s="128" t="n">
        <f aca="false">B64</f>
        <v>205479</v>
      </c>
      <c r="C65" s="116" t="n">
        <f aca="false">IF(AB65=0,0,IF(AND(AB65=1,$H$3=1),B65*W65,IF($H$3=2,B65,"N/A")))</f>
        <v>6369849</v>
      </c>
      <c r="D65" s="116" t="n">
        <f aca="false">C65*AA65</f>
        <v>2767927.35009941</v>
      </c>
      <c r="E65" s="129" t="n">
        <f aca="false">VLOOKUP($A65,[1]!CurveTable,MATCH($E$4,[1]!CurveType,0))</f>
        <v>4.865</v>
      </c>
      <c r="F65" s="130"/>
      <c r="G65" s="131" t="n">
        <f aca="false">E65</f>
        <v>4.865</v>
      </c>
      <c r="H65" s="129" t="n">
        <f aca="false">VLOOKUP($A65,[1]!CurveTable,MATCH($H$4,[1]!CurveType,0))</f>
        <v>0</v>
      </c>
      <c r="I65" s="131"/>
      <c r="J65" s="131" t="n">
        <f aca="false">H65</f>
        <v>0</v>
      </c>
      <c r="K65" s="129"/>
      <c r="L65" s="131"/>
      <c r="M65" s="131"/>
      <c r="N65" s="131" t="n">
        <f aca="false">G65+J65+M65+$N$7</f>
        <v>4.575</v>
      </c>
      <c r="O65" s="131" t="n">
        <f aca="false">Summary!$E$16</f>
        <v>9.81903240236408</v>
      </c>
      <c r="P65" s="131"/>
      <c r="Q65" s="129" t="n">
        <f aca="false">VLOOKUP($A65,[1]!CurveTable,MATCH($Q$4,[1]!CurveType,0))</f>
        <v>0.17</v>
      </c>
      <c r="R65" s="129" t="n">
        <f aca="false">Q65+Summary!$C$26</f>
        <v>0.17</v>
      </c>
      <c r="S65" s="129"/>
      <c r="T65" s="132" t="n">
        <f aca="false">X65</f>
        <v>41852</v>
      </c>
      <c r="U65" s="133" t="n">
        <f aca="false">T65-$C$3</f>
        <v>4847</v>
      </c>
      <c r="W65" s="61" t="n">
        <f aca="false">A66-A65</f>
        <v>31</v>
      </c>
      <c r="X65" s="135" t="n">
        <f aca="false">CHOOSE(F$3,A66+24,A65)</f>
        <v>41852</v>
      </c>
      <c r="Y65" s="61" t="n">
        <f aca="false">X65-C$3</f>
        <v>4847</v>
      </c>
      <c r="Z65" s="136" t="n">
        <f aca="false">VLOOKUP($A65,[1]!CurveTable,MATCH($Z$4,[1]!CurveType,0))</f>
        <v>0.0638039965994714</v>
      </c>
      <c r="AA65" s="137" t="n">
        <f aca="false">1/(1+CHOOSE(F$3,(Z66+($K$3/10000))/2,(Z65+($K$3/10000))/2))^(2*Y65/365.25)</f>
        <v>0.434535787284661</v>
      </c>
      <c r="AB65" s="61" t="n">
        <f aca="false">IF(AND(mthbeg&lt;=A65,mthend&gt;=A65),1,0)</f>
        <v>1</v>
      </c>
      <c r="AC65" s="61" t="n">
        <f aca="false">W65*AB65</f>
        <v>31</v>
      </c>
      <c r="AD65" s="121" t="n">
        <f aca="false">$D65*E65</f>
        <v>13465966.5582336</v>
      </c>
      <c r="AE65" s="121" t="n">
        <f aca="false">$D65*F65</f>
        <v>0</v>
      </c>
      <c r="AF65" s="121" t="n">
        <f aca="false">$D65*G65</f>
        <v>13465966.5582336</v>
      </c>
      <c r="AG65" s="121" t="n">
        <f aca="false">$D65*H65</f>
        <v>0</v>
      </c>
      <c r="AH65" s="121" t="n">
        <f aca="false">$D65*I65</f>
        <v>0</v>
      </c>
      <c r="AI65" s="121" t="n">
        <f aca="false">$D65*J65</f>
        <v>0</v>
      </c>
      <c r="AJ65" s="121" t="n">
        <f aca="false">$D65*K65</f>
        <v>0</v>
      </c>
      <c r="AK65" s="121" t="n">
        <f aca="false">$D65*L65</f>
        <v>0</v>
      </c>
      <c r="AL65" s="121" t="n">
        <f aca="false">$D65*M65</f>
        <v>0</v>
      </c>
      <c r="AM65" s="139"/>
      <c r="AO65" s="75" t="e">
        <f aca="false">EURO(N65,O65,Z65,Z65,R65,U65,1,0)</f>
        <v>#NAME?</v>
      </c>
      <c r="AP65" s="138" t="e">
        <f aca="false">AO65*C65</f>
        <v>#NAME?</v>
      </c>
      <c r="AQ65" s="61" t="e">
        <f aca="false">EURO(N65,O65,Z65,Z65,R65,U65,1,1)</f>
        <v>#NAME?</v>
      </c>
      <c r="AR65" s="61" t="e">
        <f aca="false">AQ65+Put!AQ65</f>
        <v>#NAME?</v>
      </c>
      <c r="AS65" s="138" t="e">
        <f aca="false">AR65*C65</f>
        <v>#NAME?</v>
      </c>
      <c r="AT65" s="120" t="e">
        <f aca="false">AS65/10000</f>
        <v>#NAME?</v>
      </c>
    </row>
    <row r="66" customFormat="false" ht="12.75" hidden="false" customHeight="false" outlineLevel="0" collapsed="false">
      <c r="A66" s="127" t="n">
        <f aca="false">EDATE(A65,1)</f>
        <v>41883</v>
      </c>
      <c r="B66" s="128" t="n">
        <f aca="false">B65</f>
        <v>205479</v>
      </c>
      <c r="C66" s="116" t="n">
        <f aca="false">IF(AB66=0,0,IF(AND(AB66=1,$H$3=1),B66*W66,IF($H$3=2,B66,"N/A")))</f>
        <v>6164370</v>
      </c>
      <c r="D66" s="116" t="n">
        <f aca="false">C66*AA66</f>
        <v>2662932.65983007</v>
      </c>
      <c r="E66" s="129" t="n">
        <f aca="false">VLOOKUP($A66,[1]!CurveTable,MATCH($E$4,[1]!CurveType,0))</f>
        <v>4.87</v>
      </c>
      <c r="F66" s="130"/>
      <c r="G66" s="131" t="n">
        <f aca="false">E66</f>
        <v>4.87</v>
      </c>
      <c r="H66" s="129" t="n">
        <f aca="false">VLOOKUP($A66,[1]!CurveTable,MATCH($H$4,[1]!CurveType,0))</f>
        <v>0</v>
      </c>
      <c r="I66" s="131"/>
      <c r="J66" s="131" t="n">
        <f aca="false">H66</f>
        <v>0</v>
      </c>
      <c r="K66" s="129"/>
      <c r="L66" s="131"/>
      <c r="M66" s="131"/>
      <c r="N66" s="131" t="n">
        <f aca="false">G66+J66+M66+$N$7</f>
        <v>4.58</v>
      </c>
      <c r="O66" s="131" t="n">
        <f aca="false">Summary!$E$16</f>
        <v>9.81903240236408</v>
      </c>
      <c r="P66" s="131"/>
      <c r="Q66" s="129" t="n">
        <f aca="false">VLOOKUP($A66,[1]!CurveTable,MATCH($Q$4,[1]!CurveType,0))</f>
        <v>0.17</v>
      </c>
      <c r="R66" s="129" t="n">
        <f aca="false">Q66+Summary!$C$26</f>
        <v>0.17</v>
      </c>
      <c r="S66" s="129"/>
      <c r="T66" s="132" t="n">
        <f aca="false">X66</f>
        <v>41883</v>
      </c>
      <c r="U66" s="133" t="n">
        <f aca="false">T66-$C$3</f>
        <v>4878</v>
      </c>
      <c r="W66" s="61" t="n">
        <f aca="false">A67-A66</f>
        <v>30</v>
      </c>
      <c r="X66" s="135" t="n">
        <f aca="false">CHOOSE(F$3,A67+24,A66)</f>
        <v>41883</v>
      </c>
      <c r="Y66" s="61" t="n">
        <f aca="false">X66-C$3</f>
        <v>4878</v>
      </c>
      <c r="Z66" s="136" t="n">
        <f aca="false">VLOOKUP($A66,[1]!CurveTable,MATCH($Z$4,[1]!CurveType,0))</f>
        <v>0.0638465142903795</v>
      </c>
      <c r="AA66" s="137" t="n">
        <f aca="false">1/(1+CHOOSE(F$3,(Z67+($K$3/10000))/2,(Z66+($K$3/10000))/2))^(2*Y66/365.25)</f>
        <v>0.431987804078937</v>
      </c>
      <c r="AB66" s="61" t="n">
        <f aca="false">IF(AND(mthbeg&lt;=A66,mthend&gt;=A66),1,0)</f>
        <v>1</v>
      </c>
      <c r="AC66" s="61" t="n">
        <f aca="false">W66*AB66</f>
        <v>30</v>
      </c>
      <c r="AD66" s="121" t="n">
        <f aca="false">$D66*E66</f>
        <v>12968482.0533725</v>
      </c>
      <c r="AE66" s="121" t="n">
        <f aca="false">$D66*F66</f>
        <v>0</v>
      </c>
      <c r="AF66" s="121" t="n">
        <f aca="false">$D66*G66</f>
        <v>12968482.0533725</v>
      </c>
      <c r="AG66" s="121" t="n">
        <f aca="false">$D66*H66</f>
        <v>0</v>
      </c>
      <c r="AH66" s="121" t="n">
        <f aca="false">$D66*I66</f>
        <v>0</v>
      </c>
      <c r="AI66" s="121" t="n">
        <f aca="false">$D66*J66</f>
        <v>0</v>
      </c>
      <c r="AJ66" s="121" t="n">
        <f aca="false">$D66*K66</f>
        <v>0</v>
      </c>
      <c r="AK66" s="121" t="n">
        <f aca="false">$D66*L66</f>
        <v>0</v>
      </c>
      <c r="AL66" s="121" t="n">
        <f aca="false">$D66*M66</f>
        <v>0</v>
      </c>
      <c r="AM66" s="139"/>
      <c r="AO66" s="75" t="e">
        <f aca="false">EURO(N66,O66,Z66,Z66,R66,U66,1,0)</f>
        <v>#NAME?</v>
      </c>
      <c r="AP66" s="138" t="e">
        <f aca="false">AO66*C66</f>
        <v>#NAME?</v>
      </c>
      <c r="AQ66" s="61" t="e">
        <f aca="false">EURO(N66,O66,Z66,Z66,R66,U66,1,1)</f>
        <v>#NAME?</v>
      </c>
      <c r="AR66" s="61" t="e">
        <f aca="false">AQ66+Put!AQ66</f>
        <v>#NAME?</v>
      </c>
      <c r="AS66" s="138" t="e">
        <f aca="false">AR66*C66</f>
        <v>#NAME?</v>
      </c>
      <c r="AT66" s="120" t="e">
        <f aca="false">AS66/10000</f>
        <v>#NAME?</v>
      </c>
    </row>
    <row r="67" customFormat="false" ht="12.75" hidden="false" customHeight="false" outlineLevel="0" collapsed="false">
      <c r="A67" s="127" t="n">
        <f aca="false">EDATE(A66,1)</f>
        <v>41913</v>
      </c>
      <c r="B67" s="128" t="n">
        <f aca="false">B66</f>
        <v>205479</v>
      </c>
      <c r="C67" s="116" t="n">
        <f aca="false">IF(AB67=0,0,IF(AND(AB67=1,$H$3=1),B67*W67,IF($H$3=2,B67,"N/A")))</f>
        <v>6369849</v>
      </c>
      <c r="D67" s="116" t="n">
        <f aca="false">C67*AA67</f>
        <v>2736062.79960912</v>
      </c>
      <c r="E67" s="129" t="n">
        <f aca="false">VLOOKUP($A67,[1]!CurveTable,MATCH($E$4,[1]!CurveType,0))</f>
        <v>4.9</v>
      </c>
      <c r="F67" s="130"/>
      <c r="G67" s="131" t="n">
        <f aca="false">E67</f>
        <v>4.9</v>
      </c>
      <c r="H67" s="129" t="n">
        <f aca="false">VLOOKUP($A67,[1]!CurveTable,MATCH($H$4,[1]!CurveType,0))</f>
        <v>0</v>
      </c>
      <c r="I67" s="131"/>
      <c r="J67" s="131" t="n">
        <f aca="false">H67</f>
        <v>0</v>
      </c>
      <c r="K67" s="129"/>
      <c r="L67" s="131"/>
      <c r="M67" s="131"/>
      <c r="N67" s="131" t="n">
        <f aca="false">G67+J67+M67+$N$7</f>
        <v>4.61</v>
      </c>
      <c r="O67" s="131" t="n">
        <f aca="false">Summary!$E$16</f>
        <v>9.81903240236408</v>
      </c>
      <c r="P67" s="131"/>
      <c r="Q67" s="129" t="n">
        <f aca="false">VLOOKUP($A67,[1]!CurveTable,MATCH($Q$4,[1]!CurveType,0))</f>
        <v>0.17</v>
      </c>
      <c r="R67" s="129" t="n">
        <f aca="false">Q67+Summary!$C$26</f>
        <v>0.17</v>
      </c>
      <c r="S67" s="129"/>
      <c r="T67" s="132" t="n">
        <f aca="false">X67</f>
        <v>41913</v>
      </c>
      <c r="U67" s="133" t="n">
        <f aca="false">T67-$C$3</f>
        <v>4908</v>
      </c>
      <c r="W67" s="61" t="n">
        <f aca="false">A68-A67</f>
        <v>31</v>
      </c>
      <c r="X67" s="135" t="n">
        <f aca="false">CHOOSE(F$3,A68+24,A67)</f>
        <v>41913</v>
      </c>
      <c r="Y67" s="61" t="n">
        <f aca="false">X67-C$3</f>
        <v>4908</v>
      </c>
      <c r="Z67" s="136" t="n">
        <f aca="false">VLOOKUP($A67,[1]!CurveTable,MATCH($Z$4,[1]!CurveType,0))</f>
        <v>0.0638876604434415</v>
      </c>
      <c r="AA67" s="137" t="n">
        <f aca="false">1/(1+CHOOSE(F$3,(Z68+($K$3/10000))/2,(Z67+($K$3/10000))/2))^(2*Y67/365.25)</f>
        <v>0.429533384481974</v>
      </c>
      <c r="AB67" s="61" t="n">
        <f aca="false">IF(AND(mthbeg&lt;=A67,mthend&gt;=A67),1,0)</f>
        <v>1</v>
      </c>
      <c r="AC67" s="61" t="n">
        <f aca="false">W67*AB67</f>
        <v>31</v>
      </c>
      <c r="AD67" s="121" t="n">
        <f aca="false">$D67*E67</f>
        <v>13406707.7180847</v>
      </c>
      <c r="AE67" s="121" t="n">
        <f aca="false">$D67*F67</f>
        <v>0</v>
      </c>
      <c r="AF67" s="121" t="n">
        <f aca="false">$D67*G67</f>
        <v>13406707.7180847</v>
      </c>
      <c r="AG67" s="121" t="n">
        <f aca="false">$D67*H67</f>
        <v>0</v>
      </c>
      <c r="AH67" s="121" t="n">
        <f aca="false">$D67*I67</f>
        <v>0</v>
      </c>
      <c r="AI67" s="121" t="n">
        <f aca="false">$D67*J67</f>
        <v>0</v>
      </c>
      <c r="AJ67" s="121" t="n">
        <f aca="false">$D67*K67</f>
        <v>0</v>
      </c>
      <c r="AK67" s="121" t="n">
        <f aca="false">$D67*L67</f>
        <v>0</v>
      </c>
      <c r="AL67" s="121" t="n">
        <f aca="false">$D67*M67</f>
        <v>0</v>
      </c>
      <c r="AM67" s="139"/>
      <c r="AO67" s="75" t="e">
        <f aca="false">EURO(N67,O67,Z67,Z67,R67,U67,1,0)</f>
        <v>#NAME?</v>
      </c>
      <c r="AP67" s="138" t="e">
        <f aca="false">AO67*C67</f>
        <v>#NAME?</v>
      </c>
      <c r="AQ67" s="61" t="e">
        <f aca="false">EURO(N67,O67,Z67,Z67,R67,U67,1,1)</f>
        <v>#NAME?</v>
      </c>
      <c r="AR67" s="61" t="e">
        <f aca="false">AQ67+Put!AQ67</f>
        <v>#NAME?</v>
      </c>
      <c r="AS67" s="138" t="e">
        <f aca="false">AR67*C67</f>
        <v>#NAME?</v>
      </c>
      <c r="AT67" s="120" t="e">
        <f aca="false">AS67/10000</f>
        <v>#NAME?</v>
      </c>
    </row>
    <row r="68" customFormat="false" ht="12.75" hidden="false" customHeight="false" outlineLevel="0" collapsed="false">
      <c r="A68" s="127" t="n">
        <f aca="false">EDATE(A67,1)</f>
        <v>41944</v>
      </c>
      <c r="B68" s="128" t="n">
        <f aca="false">B67</f>
        <v>205479</v>
      </c>
      <c r="C68" s="116" t="n">
        <f aca="false">IF(AB68=0,0,IF(AND(AB68=1,$H$3=1),B68*W68,IF($H$3=2,B68,"N/A")))</f>
        <v>6164370</v>
      </c>
      <c r="D68" s="116" t="n">
        <f aca="false">C68*AA68</f>
        <v>2632240.64790525</v>
      </c>
      <c r="E68" s="129" t="n">
        <f aca="false">VLOOKUP($A68,[1]!CurveTable,MATCH($E$4,[1]!CurveType,0))</f>
        <v>5.01</v>
      </c>
      <c r="F68" s="130"/>
      <c r="G68" s="131" t="n">
        <f aca="false">E68</f>
        <v>5.01</v>
      </c>
      <c r="H68" s="129" t="n">
        <f aca="false">VLOOKUP($A68,[1]!CurveTable,MATCH($H$4,[1]!CurveType,0))</f>
        <v>0</v>
      </c>
      <c r="I68" s="131"/>
      <c r="J68" s="131" t="n">
        <f aca="false">H68</f>
        <v>0</v>
      </c>
      <c r="K68" s="129"/>
      <c r="L68" s="131"/>
      <c r="M68" s="131"/>
      <c r="N68" s="131" t="n">
        <f aca="false">G68+J68+M68+$N$7</f>
        <v>4.72</v>
      </c>
      <c r="O68" s="131" t="n">
        <f aca="false">Summary!$E$16</f>
        <v>9.81903240236408</v>
      </c>
      <c r="P68" s="131"/>
      <c r="Q68" s="129" t="n">
        <f aca="false">VLOOKUP($A68,[1]!CurveTable,MATCH($Q$4,[1]!CurveType,0))</f>
        <v>0.17</v>
      </c>
      <c r="R68" s="129" t="n">
        <f aca="false">Q68+Summary!$C$26</f>
        <v>0.17</v>
      </c>
      <c r="S68" s="129"/>
      <c r="T68" s="132" t="n">
        <f aca="false">X68</f>
        <v>41944</v>
      </c>
      <c r="U68" s="133" t="n">
        <f aca="false">T68-$C$3</f>
        <v>4939</v>
      </c>
      <c r="W68" s="61" t="n">
        <f aca="false">A69-A68</f>
        <v>30</v>
      </c>
      <c r="X68" s="135" t="n">
        <f aca="false">CHOOSE(F$3,A69+24,A68)</f>
        <v>41944</v>
      </c>
      <c r="Y68" s="61" t="n">
        <f aca="false">X68-C$3</f>
        <v>4939</v>
      </c>
      <c r="Z68" s="136" t="n">
        <f aca="false">VLOOKUP($A68,[1]!CurveTable,MATCH($Z$4,[1]!CurveType,0))</f>
        <v>0.0639301781355295</v>
      </c>
      <c r="AA68" s="137" t="n">
        <f aca="false">1/(1+CHOOSE(F$3,(Z69+($K$3/10000))/2,(Z68+($K$3/10000))/2))^(2*Y68/365.25)</f>
        <v>0.427008866746359</v>
      </c>
      <c r="AB68" s="61" t="n">
        <f aca="false">IF(AND(mthbeg&lt;=A68,mthend&gt;=A68),1,0)</f>
        <v>1</v>
      </c>
      <c r="AC68" s="61" t="n">
        <f aca="false">W68*AB68</f>
        <v>30</v>
      </c>
      <c r="AD68" s="121" t="n">
        <f aca="false">$D68*E68</f>
        <v>13187525.6460053</v>
      </c>
      <c r="AE68" s="121" t="n">
        <f aca="false">$D68*F68</f>
        <v>0</v>
      </c>
      <c r="AF68" s="121" t="n">
        <f aca="false">$D68*G68</f>
        <v>13187525.6460053</v>
      </c>
      <c r="AG68" s="121" t="n">
        <f aca="false">$D68*H68</f>
        <v>0</v>
      </c>
      <c r="AH68" s="121" t="n">
        <f aca="false">$D68*I68</f>
        <v>0</v>
      </c>
      <c r="AI68" s="121" t="n">
        <f aca="false">$D68*J68</f>
        <v>0</v>
      </c>
      <c r="AJ68" s="121" t="n">
        <f aca="false">$D68*K68</f>
        <v>0</v>
      </c>
      <c r="AK68" s="121" t="n">
        <f aca="false">$D68*L68</f>
        <v>0</v>
      </c>
      <c r="AL68" s="121" t="n">
        <f aca="false">$D68*M68</f>
        <v>0</v>
      </c>
      <c r="AM68" s="139"/>
      <c r="AO68" s="75" t="e">
        <f aca="false">EURO(N68,O68,Z68,Z68,R68,U68,1,0)</f>
        <v>#NAME?</v>
      </c>
      <c r="AP68" s="138" t="e">
        <f aca="false">AO68*C68</f>
        <v>#NAME?</v>
      </c>
      <c r="AQ68" s="61" t="e">
        <f aca="false">EURO(N68,O68,Z68,Z68,R68,U68,1,1)</f>
        <v>#NAME?</v>
      </c>
      <c r="AR68" s="61" t="e">
        <f aca="false">AQ68+Put!AQ68</f>
        <v>#NAME?</v>
      </c>
      <c r="AS68" s="138" t="e">
        <f aca="false">AR68*C68</f>
        <v>#NAME?</v>
      </c>
      <c r="AT68" s="120" t="e">
        <f aca="false">AS68/10000</f>
        <v>#NAME?</v>
      </c>
    </row>
    <row r="69" customFormat="false" ht="12.75" hidden="false" customHeight="false" outlineLevel="0" collapsed="false">
      <c r="A69" s="127" t="n">
        <f aca="false">EDATE(A68,1)</f>
        <v>41974</v>
      </c>
      <c r="B69" s="128" t="n">
        <f aca="false">B68</f>
        <v>205479</v>
      </c>
      <c r="C69" s="116" t="n">
        <f aca="false">IF(AB69=0,0,IF(AND(AB69=1,$H$3=1),B69*W69,IF($H$3=2,B69,"N/A")))</f>
        <v>6369849</v>
      </c>
      <c r="D69" s="116" t="n">
        <f aca="false">C69*AA69</f>
        <v>2704491.95605724</v>
      </c>
      <c r="E69" s="129" t="n">
        <f aca="false">VLOOKUP($A69,[1]!CurveTable,MATCH($E$4,[1]!CurveType,0))</f>
        <v>5.13</v>
      </c>
      <c r="F69" s="130"/>
      <c r="G69" s="131" t="n">
        <f aca="false">E69</f>
        <v>5.13</v>
      </c>
      <c r="H69" s="129" t="n">
        <f aca="false">VLOOKUP($A69,[1]!CurveTable,MATCH($H$4,[1]!CurveType,0))</f>
        <v>0</v>
      </c>
      <c r="I69" s="131"/>
      <c r="J69" s="131" t="n">
        <f aca="false">H69</f>
        <v>0</v>
      </c>
      <c r="K69" s="129"/>
      <c r="L69" s="131"/>
      <c r="M69" s="131"/>
      <c r="N69" s="131" t="n">
        <f aca="false">G69+J69+M69+$N$7</f>
        <v>4.84</v>
      </c>
      <c r="O69" s="131" t="n">
        <f aca="false">Summary!$E$16</f>
        <v>9.81903240236408</v>
      </c>
      <c r="P69" s="131"/>
      <c r="Q69" s="129" t="n">
        <f aca="false">VLOOKUP($A69,[1]!CurveTable,MATCH($Q$4,[1]!CurveType,0))</f>
        <v>0.17</v>
      </c>
      <c r="R69" s="129" t="n">
        <f aca="false">Q69+Summary!$C$26</f>
        <v>0.17</v>
      </c>
      <c r="S69" s="129"/>
      <c r="T69" s="132" t="n">
        <f aca="false">X69</f>
        <v>41974</v>
      </c>
      <c r="U69" s="133" t="n">
        <f aca="false">T69-$C$3</f>
        <v>4969</v>
      </c>
      <c r="W69" s="61" t="n">
        <f aca="false">A70-A69</f>
        <v>31</v>
      </c>
      <c r="X69" s="135" t="n">
        <f aca="false">CHOOSE(F$3,A70+24,A69)</f>
        <v>41974</v>
      </c>
      <c r="Y69" s="61" t="n">
        <f aca="false">X69-C$3</f>
        <v>4969</v>
      </c>
      <c r="Z69" s="136" t="n">
        <f aca="false">VLOOKUP($A69,[1]!CurveTable,MATCH($Z$4,[1]!CurveType,0))</f>
        <v>0.0639713242897333</v>
      </c>
      <c r="AA69" s="137" t="n">
        <f aca="false">1/(1+CHOOSE(F$3,(Z70+($K$3/10000))/2,(Z69+($K$3/10000))/2))^(2*Y69/365.25)</f>
        <v>0.424577090611919</v>
      </c>
      <c r="AB69" s="61" t="n">
        <f aca="false">IF(AND(mthbeg&lt;=A69,mthend&gt;=A69),1,0)</f>
        <v>1</v>
      </c>
      <c r="AC69" s="61" t="n">
        <f aca="false">W69*AB69</f>
        <v>31</v>
      </c>
      <c r="AD69" s="121" t="n">
        <f aca="false">$D69*E69</f>
        <v>13874043.7345737</v>
      </c>
      <c r="AE69" s="121" t="n">
        <f aca="false">$D69*F69</f>
        <v>0</v>
      </c>
      <c r="AF69" s="121" t="n">
        <f aca="false">$D69*G69</f>
        <v>13874043.7345737</v>
      </c>
      <c r="AG69" s="121" t="n">
        <f aca="false">$D69*H69</f>
        <v>0</v>
      </c>
      <c r="AH69" s="121" t="n">
        <f aca="false">$D69*I69</f>
        <v>0</v>
      </c>
      <c r="AI69" s="121" t="n">
        <f aca="false">$D69*J69</f>
        <v>0</v>
      </c>
      <c r="AJ69" s="121" t="n">
        <f aca="false">$D69*K69</f>
        <v>0</v>
      </c>
      <c r="AK69" s="121" t="n">
        <f aca="false">$D69*L69</f>
        <v>0</v>
      </c>
      <c r="AL69" s="121" t="n">
        <f aca="false">$D69*M69</f>
        <v>0</v>
      </c>
      <c r="AM69" s="139"/>
      <c r="AO69" s="75" t="e">
        <f aca="false">EURO(N69,O69,Z69,Z69,R69,U69,1,0)</f>
        <v>#NAME?</v>
      </c>
      <c r="AP69" s="138" t="e">
        <f aca="false">AO69*C69</f>
        <v>#NAME?</v>
      </c>
      <c r="AQ69" s="61" t="e">
        <f aca="false">EURO(N69,O69,Z69,Z69,R69,U69,1,1)</f>
        <v>#NAME?</v>
      </c>
      <c r="AR69" s="61" t="e">
        <f aca="false">AQ69+Put!AQ69</f>
        <v>#NAME?</v>
      </c>
      <c r="AS69" s="138" t="e">
        <f aca="false">AR69*C69</f>
        <v>#NAME?</v>
      </c>
      <c r="AT69" s="120" t="e">
        <f aca="false">AS69/10000</f>
        <v>#NAME?</v>
      </c>
    </row>
    <row r="70" customFormat="false" ht="12.75" hidden="false" customHeight="false" outlineLevel="0" collapsed="false">
      <c r="A70" s="127" t="n">
        <f aca="false">EDATE(A69,1)</f>
        <v>42005</v>
      </c>
      <c r="B70" s="128" t="n">
        <f aca="false">B69</f>
        <v>205479</v>
      </c>
      <c r="C70" s="116" t="n">
        <f aca="false">IF(AB70=0,0,IF(AND(AB70=1,$H$3=1),B70*W70,IF($H$3=2,B70,"N/A")))</f>
        <v>6369849</v>
      </c>
      <c r="D70" s="116" t="n">
        <f aca="false">C70*AA70</f>
        <v>2688559.77379237</v>
      </c>
      <c r="E70" s="129" t="n">
        <f aca="false">VLOOKUP($A70,[1]!CurveTable,MATCH($E$4,[1]!CurveType,0))</f>
        <v>5.21</v>
      </c>
      <c r="F70" s="130"/>
      <c r="G70" s="131" t="n">
        <f aca="false">E70</f>
        <v>5.21</v>
      </c>
      <c r="H70" s="129" t="n">
        <f aca="false">VLOOKUP($A70,[1]!CurveTable,MATCH($H$4,[1]!CurveType,0))</f>
        <v>0</v>
      </c>
      <c r="I70" s="131"/>
      <c r="J70" s="131" t="n">
        <f aca="false">H70</f>
        <v>0</v>
      </c>
      <c r="K70" s="129"/>
      <c r="L70" s="131"/>
      <c r="M70" s="131"/>
      <c r="N70" s="131" t="n">
        <f aca="false">G70+J70+M70+$N$7</f>
        <v>4.92</v>
      </c>
      <c r="O70" s="131" t="n">
        <f aca="false">Summary!$E$16</f>
        <v>9.81903240236408</v>
      </c>
      <c r="P70" s="131"/>
      <c r="Q70" s="129" t="n">
        <f aca="false">VLOOKUP($A70,[1]!CurveTable,MATCH($Q$4,[1]!CurveType,0))</f>
        <v>0.17</v>
      </c>
      <c r="R70" s="129" t="n">
        <f aca="false">Q70+Summary!$C$26</f>
        <v>0.17</v>
      </c>
      <c r="S70" s="129"/>
      <c r="T70" s="132" t="n">
        <f aca="false">X70</f>
        <v>42005</v>
      </c>
      <c r="U70" s="133" t="n">
        <f aca="false">T70-$C$3</f>
        <v>5000</v>
      </c>
      <c r="W70" s="61" t="n">
        <f aca="false">A71-A70</f>
        <v>31</v>
      </c>
      <c r="X70" s="135" t="n">
        <f aca="false">CHOOSE(F$3,A71+24,A70)</f>
        <v>42005</v>
      </c>
      <c r="Y70" s="61" t="n">
        <f aca="false">X70-C$3</f>
        <v>5000</v>
      </c>
      <c r="Z70" s="136" t="n">
        <f aca="false">VLOOKUP($A70,[1]!CurveTable,MATCH($Z$4,[1]!CurveType,0))</f>
        <v>0.0640138419830008</v>
      </c>
      <c r="AA70" s="137" t="n">
        <f aca="false">1/(1+CHOOSE(F$3,(Z71+($K$3/10000))/2,(Z70+($K$3/10000))/2))^(2*Y70/365.25)</f>
        <v>0.422075903807511</v>
      </c>
      <c r="AB70" s="61" t="n">
        <f aca="false">IF(AND(mthbeg&lt;=A70,mthend&gt;=A70),1,0)</f>
        <v>1</v>
      </c>
      <c r="AC70" s="61" t="n">
        <f aca="false">W70*AB70</f>
        <v>31</v>
      </c>
      <c r="AD70" s="121" t="n">
        <f aca="false">$D70*E70</f>
        <v>14007396.4214582</v>
      </c>
      <c r="AE70" s="121" t="n">
        <f aca="false">$D70*F70</f>
        <v>0</v>
      </c>
      <c r="AF70" s="121" t="n">
        <f aca="false">$D70*G70</f>
        <v>14007396.4214582</v>
      </c>
      <c r="AG70" s="121" t="n">
        <f aca="false">$D70*H70</f>
        <v>0</v>
      </c>
      <c r="AH70" s="121" t="n">
        <f aca="false">$D70*I70</f>
        <v>0</v>
      </c>
      <c r="AI70" s="121" t="n">
        <f aca="false">$D70*J70</f>
        <v>0</v>
      </c>
      <c r="AJ70" s="121" t="n">
        <f aca="false">$D70*K70</f>
        <v>0</v>
      </c>
      <c r="AK70" s="121" t="n">
        <f aca="false">$D70*L70</f>
        <v>0</v>
      </c>
      <c r="AL70" s="121" t="n">
        <f aca="false">$D70*M70</f>
        <v>0</v>
      </c>
      <c r="AM70" s="139"/>
      <c r="AO70" s="75" t="e">
        <f aca="false">EURO(N70,O70,Z70,Z70,R70,U70,1,0)</f>
        <v>#NAME?</v>
      </c>
      <c r="AP70" s="138" t="e">
        <f aca="false">AO70*C70</f>
        <v>#NAME?</v>
      </c>
      <c r="AQ70" s="61" t="e">
        <f aca="false">EURO(N70,O70,Z70,Z70,R70,U70,1,1)</f>
        <v>#NAME?</v>
      </c>
      <c r="AR70" s="61" t="e">
        <f aca="false">AQ70+Put!AQ70</f>
        <v>#NAME?</v>
      </c>
      <c r="AS70" s="138" t="e">
        <f aca="false">AR70*C70</f>
        <v>#NAME?</v>
      </c>
      <c r="AT70" s="120" t="e">
        <f aca="false">AS70/10000</f>
        <v>#NAME?</v>
      </c>
    </row>
    <row r="71" customFormat="false" ht="12.75" hidden="false" customHeight="false" outlineLevel="0" collapsed="false">
      <c r="A71" s="127" t="n">
        <f aca="false">EDATE(A70,1)</f>
        <v>42036</v>
      </c>
      <c r="B71" s="128" t="n">
        <f aca="false">B70</f>
        <v>205479</v>
      </c>
      <c r="C71" s="116" t="n">
        <f aca="false">IF(AB71=0,0,IF(AND(AB71=1,$H$3=1),B71*W71,IF($H$3=2,B71,"N/A")))</f>
        <v>5753412</v>
      </c>
      <c r="D71" s="116" t="n">
        <f aca="false">C71*AA71</f>
        <v>2414054.13092418</v>
      </c>
      <c r="E71" s="129" t="n">
        <f aca="false">VLOOKUP($A71,[1]!CurveTable,MATCH($E$4,[1]!CurveType,0))</f>
        <v>5.09</v>
      </c>
      <c r="F71" s="130"/>
      <c r="G71" s="131" t="n">
        <f aca="false">E71</f>
        <v>5.09</v>
      </c>
      <c r="H71" s="129" t="n">
        <f aca="false">VLOOKUP($A71,[1]!CurveTable,MATCH($H$4,[1]!CurveType,0))</f>
        <v>0</v>
      </c>
      <c r="I71" s="131"/>
      <c r="J71" s="131" t="n">
        <f aca="false">H71</f>
        <v>0</v>
      </c>
      <c r="K71" s="129"/>
      <c r="L71" s="131"/>
      <c r="M71" s="131"/>
      <c r="N71" s="131" t="n">
        <f aca="false">G71+J71+M71+$N$7</f>
        <v>4.8</v>
      </c>
      <c r="O71" s="131" t="n">
        <f aca="false">Summary!$E$16</f>
        <v>9.81903240236408</v>
      </c>
      <c r="P71" s="131"/>
      <c r="Q71" s="129" t="n">
        <f aca="false">VLOOKUP($A71,[1]!CurveTable,MATCH($Q$4,[1]!CurveType,0))</f>
        <v>0.17</v>
      </c>
      <c r="R71" s="129" t="n">
        <f aca="false">Q71+Summary!$C$26</f>
        <v>0.17</v>
      </c>
      <c r="S71" s="129"/>
      <c r="T71" s="132" t="n">
        <f aca="false">X71</f>
        <v>42036</v>
      </c>
      <c r="U71" s="133" t="n">
        <f aca="false">T71-$C$3</f>
        <v>5031</v>
      </c>
      <c r="W71" s="61" t="n">
        <f aca="false">A72-A71</f>
        <v>28</v>
      </c>
      <c r="X71" s="135" t="n">
        <f aca="false">CHOOSE(F$3,A72+24,A71)</f>
        <v>42036</v>
      </c>
      <c r="Y71" s="61" t="n">
        <f aca="false">X71-C$3</f>
        <v>5031</v>
      </c>
      <c r="Z71" s="136" t="n">
        <f aca="false">VLOOKUP($A71,[1]!CurveTable,MATCH($Z$4,[1]!CurveType,0))</f>
        <v>0.0640563596768673</v>
      </c>
      <c r="AA71" s="137" t="n">
        <f aca="false">1/(1+CHOOSE(F$3,(Z72+($K$3/10000))/2,(Z71+($K$3/10000))/2))^(2*Y71/365.25)</f>
        <v>0.419586522036694</v>
      </c>
      <c r="AB71" s="61" t="n">
        <f aca="false">IF(AND(mthbeg&lt;=A71,mthend&gt;=A71),1,0)</f>
        <v>1</v>
      </c>
      <c r="AC71" s="61" t="n">
        <f aca="false">W71*AB71</f>
        <v>28</v>
      </c>
      <c r="AD71" s="121" t="n">
        <f aca="false">$D71*E71</f>
        <v>12287535.5264041</v>
      </c>
      <c r="AE71" s="121" t="n">
        <f aca="false">$D71*F71</f>
        <v>0</v>
      </c>
      <c r="AF71" s="121" t="n">
        <f aca="false">$D71*G71</f>
        <v>12287535.5264041</v>
      </c>
      <c r="AG71" s="121" t="n">
        <f aca="false">$D71*H71</f>
        <v>0</v>
      </c>
      <c r="AH71" s="121" t="n">
        <f aca="false">$D71*I71</f>
        <v>0</v>
      </c>
      <c r="AI71" s="121" t="n">
        <f aca="false">$D71*J71</f>
        <v>0</v>
      </c>
      <c r="AJ71" s="121" t="n">
        <f aca="false">$D71*K71</f>
        <v>0</v>
      </c>
      <c r="AK71" s="121" t="n">
        <f aca="false">$D71*L71</f>
        <v>0</v>
      </c>
      <c r="AL71" s="121" t="n">
        <f aca="false">$D71*M71</f>
        <v>0</v>
      </c>
      <c r="AM71" s="139"/>
      <c r="AO71" s="75" t="e">
        <f aca="false">EURO(N71,O71,Z71,Z71,R71,U71,1,0)</f>
        <v>#NAME?</v>
      </c>
      <c r="AP71" s="138" t="e">
        <f aca="false">AO71*C71</f>
        <v>#NAME?</v>
      </c>
      <c r="AQ71" s="61" t="e">
        <f aca="false">EURO(N71,O71,Z71,Z71,R71,U71,1,1)</f>
        <v>#NAME?</v>
      </c>
      <c r="AR71" s="61" t="e">
        <f aca="false">AQ71+Put!AQ71</f>
        <v>#NAME?</v>
      </c>
      <c r="AS71" s="138" t="e">
        <f aca="false">AR71*C71</f>
        <v>#NAME?</v>
      </c>
      <c r="AT71" s="120" t="e">
        <f aca="false">AS71/10000</f>
        <v>#NAME?</v>
      </c>
    </row>
    <row r="72" customFormat="false" ht="12.75" hidden="false" customHeight="false" outlineLevel="0" collapsed="false">
      <c r="A72" s="127" t="n">
        <f aca="false">EDATE(A71,1)</f>
        <v>42064</v>
      </c>
      <c r="B72" s="128" t="n">
        <f aca="false">B71</f>
        <v>205479</v>
      </c>
      <c r="C72" s="116" t="n">
        <f aca="false">IF(AB72=0,0,IF(AND(AB72=1,$H$3=1),B72*W72,IF($H$3=2,B72,"N/A")))</f>
        <v>6369849</v>
      </c>
      <c r="D72" s="116" t="n">
        <f aca="false">C72*AA72</f>
        <v>2658444.796874</v>
      </c>
      <c r="E72" s="129" t="n">
        <f aca="false">VLOOKUP($A72,[1]!CurveTable,MATCH($E$4,[1]!CurveType,0))</f>
        <v>4.951</v>
      </c>
      <c r="F72" s="130"/>
      <c r="G72" s="131" t="n">
        <f aca="false">E72</f>
        <v>4.951</v>
      </c>
      <c r="H72" s="129" t="n">
        <f aca="false">VLOOKUP($A72,[1]!CurveTable,MATCH($H$4,[1]!CurveType,0))</f>
        <v>0</v>
      </c>
      <c r="I72" s="131"/>
      <c r="J72" s="131" t="n">
        <f aca="false">H72</f>
        <v>0</v>
      </c>
      <c r="K72" s="129"/>
      <c r="L72" s="131"/>
      <c r="M72" s="131"/>
      <c r="N72" s="131" t="n">
        <f aca="false">G72+J72+M72+$N$7</f>
        <v>4.661</v>
      </c>
      <c r="O72" s="131" t="n">
        <f aca="false">Summary!$E$16</f>
        <v>9.81903240236408</v>
      </c>
      <c r="P72" s="131"/>
      <c r="Q72" s="129" t="n">
        <f aca="false">VLOOKUP($A72,[1]!CurveTable,MATCH($Q$4,[1]!CurveType,0))</f>
        <v>0.17</v>
      </c>
      <c r="R72" s="129" t="n">
        <f aca="false">Q72+Summary!$C$26</f>
        <v>0.17</v>
      </c>
      <c r="S72" s="129"/>
      <c r="T72" s="132" t="n">
        <f aca="false">X72</f>
        <v>42064</v>
      </c>
      <c r="U72" s="133" t="n">
        <f aca="false">T72-$C$3</f>
        <v>5059</v>
      </c>
      <c r="W72" s="61" t="n">
        <f aca="false">A73-A72</f>
        <v>31</v>
      </c>
      <c r="X72" s="135" t="n">
        <f aca="false">CHOOSE(F$3,A73+24,A72)</f>
        <v>42064</v>
      </c>
      <c r="Y72" s="61" t="n">
        <f aca="false">X72-C$3</f>
        <v>5059</v>
      </c>
      <c r="Z72" s="136" t="n">
        <f aca="false">VLOOKUP($A72,[1]!CurveTable,MATCH($Z$4,[1]!CurveType,0))</f>
        <v>0.064094762755714</v>
      </c>
      <c r="AA72" s="137" t="n">
        <f aca="false">1/(1+CHOOSE(F$3,(Z73+($K$3/10000))/2,(Z72+($K$3/10000))/2))^(2*Y72/365.25)</f>
        <v>0.417348165847259</v>
      </c>
      <c r="AB72" s="61" t="n">
        <f aca="false">IF(AND(mthbeg&lt;=A72,mthend&gt;=A72),1,0)</f>
        <v>1</v>
      </c>
      <c r="AC72" s="61" t="n">
        <f aca="false">W72*AB72</f>
        <v>31</v>
      </c>
      <c r="AD72" s="121" t="n">
        <f aca="false">$D72*E72</f>
        <v>13161960.1893232</v>
      </c>
      <c r="AE72" s="121" t="n">
        <f aca="false">$D72*F72</f>
        <v>0</v>
      </c>
      <c r="AF72" s="121" t="n">
        <f aca="false">$D72*G72</f>
        <v>13161960.1893232</v>
      </c>
      <c r="AG72" s="121" t="n">
        <f aca="false">$D72*H72</f>
        <v>0</v>
      </c>
      <c r="AH72" s="121" t="n">
        <f aca="false">$D72*I72</f>
        <v>0</v>
      </c>
      <c r="AI72" s="121" t="n">
        <f aca="false">$D72*J72</f>
        <v>0</v>
      </c>
      <c r="AJ72" s="121" t="n">
        <f aca="false">$D72*K72</f>
        <v>0</v>
      </c>
      <c r="AK72" s="121" t="n">
        <f aca="false">$D72*L72</f>
        <v>0</v>
      </c>
      <c r="AL72" s="121" t="n">
        <f aca="false">$D72*M72</f>
        <v>0</v>
      </c>
      <c r="AM72" s="139"/>
      <c r="AO72" s="75" t="e">
        <f aca="false">EURO(N72,O72,Z72,Z72,R72,U72,1,0)</f>
        <v>#NAME?</v>
      </c>
      <c r="AP72" s="138" t="e">
        <f aca="false">AO72*C72</f>
        <v>#NAME?</v>
      </c>
      <c r="AQ72" s="61" t="e">
        <f aca="false">EURO(N72,O72,Z72,Z72,R72,U72,1,1)</f>
        <v>#NAME?</v>
      </c>
      <c r="AR72" s="61" t="e">
        <f aca="false">AQ72+Put!AQ72</f>
        <v>#NAME?</v>
      </c>
      <c r="AS72" s="138" t="e">
        <f aca="false">AR72*C72</f>
        <v>#NAME?</v>
      </c>
      <c r="AT72" s="120" t="e">
        <f aca="false">AS72/10000</f>
        <v>#NAME?</v>
      </c>
    </row>
    <row r="73" customFormat="false" ht="12.75" hidden="false" customHeight="false" outlineLevel="0" collapsed="false">
      <c r="A73" s="127" t="n">
        <f aca="false">EDATE(A72,1)</f>
        <v>42095</v>
      </c>
      <c r="B73" s="128" t="n">
        <f aca="false">B72</f>
        <v>205479</v>
      </c>
      <c r="C73" s="116" t="n">
        <f aca="false">IF(AB73=0,0,IF(AND(AB73=1,$H$3=1),B73*W73,IF($H$3=2,B73,"N/A")))</f>
        <v>6164370</v>
      </c>
      <c r="D73" s="116" t="n">
        <f aca="false">C73*AA73</f>
        <v>2557480.94747291</v>
      </c>
      <c r="E73" s="129" t="n">
        <f aca="false">VLOOKUP($A73,[1]!CurveTable,MATCH($E$4,[1]!CurveType,0))</f>
        <v>4.781</v>
      </c>
      <c r="F73" s="130"/>
      <c r="G73" s="131" t="n">
        <f aca="false">E73</f>
        <v>4.781</v>
      </c>
      <c r="H73" s="129" t="n">
        <f aca="false">VLOOKUP($A73,[1]!CurveTable,MATCH($H$4,[1]!CurveType,0))</f>
        <v>0</v>
      </c>
      <c r="I73" s="131"/>
      <c r="J73" s="131" t="n">
        <f aca="false">H73</f>
        <v>0</v>
      </c>
      <c r="K73" s="129"/>
      <c r="L73" s="131"/>
      <c r="M73" s="131"/>
      <c r="N73" s="131" t="n">
        <f aca="false">G73+J73+M73+$N$7</f>
        <v>4.491</v>
      </c>
      <c r="O73" s="131" t="n">
        <f aca="false">Summary!$E$16</f>
        <v>9.81903240236408</v>
      </c>
      <c r="P73" s="131"/>
      <c r="Q73" s="129" t="n">
        <f aca="false">VLOOKUP($A73,[1]!CurveTable,MATCH($Q$4,[1]!CurveType,0))</f>
        <v>0.17</v>
      </c>
      <c r="R73" s="129" t="n">
        <f aca="false">Q73+Summary!$C$26</f>
        <v>0.17</v>
      </c>
      <c r="S73" s="129"/>
      <c r="T73" s="132" t="n">
        <f aca="false">X73</f>
        <v>42095</v>
      </c>
      <c r="U73" s="133" t="n">
        <f aca="false">T73-$C$3</f>
        <v>5090</v>
      </c>
      <c r="W73" s="61" t="n">
        <f aca="false">A74-A73</f>
        <v>30</v>
      </c>
      <c r="X73" s="135" t="n">
        <f aca="false">CHOOSE(F$3,A74+24,A73)</f>
        <v>42095</v>
      </c>
      <c r="Y73" s="61" t="n">
        <f aca="false">X73-C$3</f>
        <v>5090</v>
      </c>
      <c r="Z73" s="136" t="n">
        <f aca="false">VLOOKUP($A73,[1]!CurveTable,MATCH($Z$4,[1]!CurveType,0))</f>
        <v>0.0641372804507214</v>
      </c>
      <c r="AA73" s="137" t="n">
        <f aca="false">1/(1+CHOOSE(F$3,(Z74+($K$3/10000))/2,(Z73+($K$3/10000))/2))^(2*Y73/365.25)</f>
        <v>0.414881155328592</v>
      </c>
      <c r="AB73" s="61" t="n">
        <f aca="false">IF(AND(mthbeg&lt;=A73,mthend&gt;=A73),1,0)</f>
        <v>1</v>
      </c>
      <c r="AC73" s="61" t="n">
        <f aca="false">W73*AB73</f>
        <v>30</v>
      </c>
      <c r="AD73" s="121" t="n">
        <f aca="false">$D73*E73</f>
        <v>12227316.409868</v>
      </c>
      <c r="AE73" s="121" t="n">
        <f aca="false">$D73*F73</f>
        <v>0</v>
      </c>
      <c r="AF73" s="121" t="n">
        <f aca="false">$D73*G73</f>
        <v>12227316.409868</v>
      </c>
      <c r="AG73" s="121" t="n">
        <f aca="false">$D73*H73</f>
        <v>0</v>
      </c>
      <c r="AH73" s="121" t="n">
        <f aca="false">$D73*I73</f>
        <v>0</v>
      </c>
      <c r="AI73" s="121" t="n">
        <f aca="false">$D73*J73</f>
        <v>0</v>
      </c>
      <c r="AJ73" s="121" t="n">
        <f aca="false">$D73*K73</f>
        <v>0</v>
      </c>
      <c r="AK73" s="121" t="n">
        <f aca="false">$D73*L73</f>
        <v>0</v>
      </c>
      <c r="AL73" s="121" t="n">
        <f aca="false">$D73*M73</f>
        <v>0</v>
      </c>
      <c r="AM73" s="139"/>
      <c r="AO73" s="75" t="e">
        <f aca="false">EURO(N73,O73,Z73,Z73,R73,U73,1,0)</f>
        <v>#NAME?</v>
      </c>
      <c r="AP73" s="138" t="e">
        <f aca="false">AO73*C73</f>
        <v>#NAME?</v>
      </c>
      <c r="AQ73" s="61" t="e">
        <f aca="false">EURO(N73,O73,Z73,Z73,R73,U73,1,1)</f>
        <v>#NAME?</v>
      </c>
      <c r="AR73" s="61" t="e">
        <f aca="false">AQ73+Put!AQ73</f>
        <v>#NAME?</v>
      </c>
      <c r="AS73" s="138" t="e">
        <f aca="false">AR73*C73</f>
        <v>#NAME?</v>
      </c>
      <c r="AT73" s="120" t="e">
        <f aca="false">AS73/10000</f>
        <v>#NAME?</v>
      </c>
    </row>
    <row r="74" customFormat="false" ht="12.75" hidden="false" customHeight="false" outlineLevel="0" collapsed="false">
      <c r="A74" s="127" t="n">
        <f aca="false">EDATE(A73,1)</f>
        <v>42125</v>
      </c>
      <c r="B74" s="128" t="n">
        <f aca="false">B73</f>
        <v>205479</v>
      </c>
      <c r="C74" s="116" t="n">
        <f aca="false">IF(AB74=0,0,IF(AND(AB74=1,$H$3=1),B74*W74,IF($H$3=2,B74,"N/A")))</f>
        <v>6369849</v>
      </c>
      <c r="D74" s="116" t="n">
        <f aca="false">C74*AA74</f>
        <v>2627593.73110417</v>
      </c>
      <c r="E74" s="129" t="n">
        <f aca="false">VLOOKUP($A74,[1]!CurveTable,MATCH($E$4,[1]!CurveType,0))</f>
        <v>4.84</v>
      </c>
      <c r="F74" s="130"/>
      <c r="G74" s="131" t="n">
        <f aca="false">E74</f>
        <v>4.84</v>
      </c>
      <c r="H74" s="129" t="n">
        <f aca="false">VLOOKUP($A74,[1]!CurveTable,MATCH($H$4,[1]!CurveType,0))</f>
        <v>0</v>
      </c>
      <c r="I74" s="131"/>
      <c r="J74" s="131" t="n">
        <f aca="false">H74</f>
        <v>0</v>
      </c>
      <c r="K74" s="129"/>
      <c r="L74" s="131"/>
      <c r="M74" s="131"/>
      <c r="N74" s="131" t="n">
        <f aca="false">G74+J74+M74+$N$7</f>
        <v>4.55</v>
      </c>
      <c r="O74" s="131" t="n">
        <f aca="false">Summary!$E$16</f>
        <v>9.81903240236408</v>
      </c>
      <c r="P74" s="131"/>
      <c r="Q74" s="129" t="n">
        <f aca="false">VLOOKUP($A74,[1]!CurveTable,MATCH($Q$4,[1]!CurveType,0))</f>
        <v>0.17</v>
      </c>
      <c r="R74" s="129" t="n">
        <f aca="false">Q74+Summary!$C$26</f>
        <v>0.17</v>
      </c>
      <c r="S74" s="129"/>
      <c r="T74" s="132" t="n">
        <f aca="false">X74</f>
        <v>42125</v>
      </c>
      <c r="U74" s="133" t="n">
        <f aca="false">T74-$C$3</f>
        <v>5120</v>
      </c>
      <c r="W74" s="61" t="n">
        <f aca="false">A75-A74</f>
        <v>31</v>
      </c>
      <c r="X74" s="135" t="n">
        <f aca="false">CHOOSE(F$3,A75+24,A74)</f>
        <v>42125</v>
      </c>
      <c r="Y74" s="61" t="n">
        <f aca="false">X74-C$3</f>
        <v>5120</v>
      </c>
      <c r="Z74" s="136" t="n">
        <f aca="false">VLOOKUP($A74,[1]!CurveTable,MATCH($Z$4,[1]!CurveType,0))</f>
        <v>0.064178426607751</v>
      </c>
      <c r="AA74" s="137" t="n">
        <f aca="false">1/(1+CHOOSE(F$3,(Z75+($K$3/10000))/2,(Z74+($K$3/10000))/2))^(2*Y74/365.25)</f>
        <v>0.412504869598035</v>
      </c>
      <c r="AB74" s="61" t="n">
        <f aca="false">IF(AND(mthbeg&lt;=A74,mthend&gt;=A74),1,0)</f>
        <v>1</v>
      </c>
      <c r="AC74" s="61" t="n">
        <f aca="false">W74*AB74</f>
        <v>31</v>
      </c>
      <c r="AD74" s="121" t="n">
        <f aca="false">$D74*E74</f>
        <v>12717553.6585442</v>
      </c>
      <c r="AE74" s="121" t="n">
        <f aca="false">$D74*F74</f>
        <v>0</v>
      </c>
      <c r="AF74" s="121" t="n">
        <f aca="false">$D74*G74</f>
        <v>12717553.6585442</v>
      </c>
      <c r="AG74" s="121" t="n">
        <f aca="false">$D74*H74</f>
        <v>0</v>
      </c>
      <c r="AH74" s="121" t="n">
        <f aca="false">$D74*I74</f>
        <v>0</v>
      </c>
      <c r="AI74" s="121" t="n">
        <f aca="false">$D74*J74</f>
        <v>0</v>
      </c>
      <c r="AJ74" s="121" t="n">
        <f aca="false">$D74*K74</f>
        <v>0</v>
      </c>
      <c r="AK74" s="121" t="n">
        <f aca="false">$D74*L74</f>
        <v>0</v>
      </c>
      <c r="AL74" s="121" t="n">
        <f aca="false">$D74*M74</f>
        <v>0</v>
      </c>
      <c r="AM74" s="139"/>
      <c r="AO74" s="75" t="e">
        <f aca="false">EURO(N74,O74,Z74,Z74,R74,U74,1,0)</f>
        <v>#NAME?</v>
      </c>
      <c r="AP74" s="138" t="e">
        <f aca="false">AO74*C74</f>
        <v>#NAME?</v>
      </c>
      <c r="AQ74" s="61" t="e">
        <f aca="false">EURO(N74,O74,Z74,Z74,R74,U74,1,1)</f>
        <v>#NAME?</v>
      </c>
      <c r="AR74" s="61" t="e">
        <f aca="false">AQ74+Put!AQ74</f>
        <v>#NAME?</v>
      </c>
      <c r="AS74" s="138" t="e">
        <f aca="false">AR74*C74</f>
        <v>#NAME?</v>
      </c>
      <c r="AT74" s="120" t="e">
        <f aca="false">AS74/10000</f>
        <v>#NAME?</v>
      </c>
    </row>
    <row r="75" customFormat="false" ht="12.75" hidden="false" customHeight="false" outlineLevel="0" collapsed="false">
      <c r="A75" s="127" t="n">
        <f aca="false">EDATE(A74,1)</f>
        <v>42156</v>
      </c>
      <c r="B75" s="128" t="n">
        <f aca="false">B74</f>
        <v>205479</v>
      </c>
      <c r="C75" s="116" t="n">
        <f aca="false">IF(AB75=0,0,IF(AND(AB75=1,$H$3=1),B75*W75,IF($H$3=2,B75,"N/A")))</f>
        <v>6164370</v>
      </c>
      <c r="D75" s="116" t="n">
        <f aca="false">C75*AA75</f>
        <v>2527766.83611015</v>
      </c>
      <c r="E75" s="129" t="n">
        <f aca="false">VLOOKUP($A75,[1]!CurveTable,MATCH($E$4,[1]!CurveType,0))</f>
        <v>4.88</v>
      </c>
      <c r="F75" s="130"/>
      <c r="G75" s="131" t="n">
        <f aca="false">E75</f>
        <v>4.88</v>
      </c>
      <c r="H75" s="129" t="n">
        <f aca="false">VLOOKUP($A75,[1]!CurveTable,MATCH($H$4,[1]!CurveType,0))</f>
        <v>0</v>
      </c>
      <c r="I75" s="131"/>
      <c r="J75" s="131" t="n">
        <f aca="false">H75</f>
        <v>0</v>
      </c>
      <c r="K75" s="129"/>
      <c r="L75" s="131"/>
      <c r="M75" s="131"/>
      <c r="N75" s="131" t="n">
        <f aca="false">G75+J75+M75+$N$7</f>
        <v>4.59</v>
      </c>
      <c r="O75" s="131" t="n">
        <f aca="false">Summary!$E$16</f>
        <v>9.81903240236408</v>
      </c>
      <c r="P75" s="131"/>
      <c r="Q75" s="129" t="n">
        <f aca="false">VLOOKUP($A75,[1]!CurveTable,MATCH($Q$4,[1]!CurveType,0))</f>
        <v>0.17</v>
      </c>
      <c r="R75" s="129" t="n">
        <f aca="false">Q75+Summary!$C$26</f>
        <v>0.17</v>
      </c>
      <c r="S75" s="129"/>
      <c r="T75" s="132" t="n">
        <f aca="false">X75</f>
        <v>42156</v>
      </c>
      <c r="U75" s="133" t="n">
        <f aca="false">T75-$C$3</f>
        <v>5151</v>
      </c>
      <c r="W75" s="61" t="n">
        <f aca="false">A76-A75</f>
        <v>30</v>
      </c>
      <c r="X75" s="135" t="n">
        <f aca="false">CHOOSE(F$3,A76+24,A75)</f>
        <v>42156</v>
      </c>
      <c r="Y75" s="61" t="n">
        <f aca="false">X75-C$3</f>
        <v>5151</v>
      </c>
      <c r="Z75" s="136" t="n">
        <f aca="false">VLOOKUP($A75,[1]!CurveTable,MATCH($Z$4,[1]!CurveType,0))</f>
        <v>0.0642209443039383</v>
      </c>
      <c r="AA75" s="137" t="n">
        <f aca="false">1/(1+CHOOSE(F$3,(Z76+($K$3/10000))/2,(Z75+($K$3/10000))/2))^(2*Y75/365.25)</f>
        <v>0.410060855547306</v>
      </c>
      <c r="AB75" s="61" t="n">
        <f aca="false">IF(AND(mthbeg&lt;=A75,mthend&gt;=A75),1,0)</f>
        <v>1</v>
      </c>
      <c r="AC75" s="61" t="n">
        <f aca="false">W75*AB75</f>
        <v>30</v>
      </c>
      <c r="AD75" s="121" t="n">
        <f aca="false">$D75*E75</f>
        <v>12335502.1602175</v>
      </c>
      <c r="AE75" s="121" t="n">
        <f aca="false">$D75*F75</f>
        <v>0</v>
      </c>
      <c r="AF75" s="121" t="n">
        <f aca="false">$D75*G75</f>
        <v>12335502.1602175</v>
      </c>
      <c r="AG75" s="121" t="n">
        <f aca="false">$D75*H75</f>
        <v>0</v>
      </c>
      <c r="AH75" s="121" t="n">
        <f aca="false">$D75*I75</f>
        <v>0</v>
      </c>
      <c r="AI75" s="121" t="n">
        <f aca="false">$D75*J75</f>
        <v>0</v>
      </c>
      <c r="AJ75" s="121" t="n">
        <f aca="false">$D75*K75</f>
        <v>0</v>
      </c>
      <c r="AK75" s="121" t="n">
        <f aca="false">$D75*L75</f>
        <v>0</v>
      </c>
      <c r="AL75" s="121" t="n">
        <f aca="false">$D75*M75</f>
        <v>0</v>
      </c>
      <c r="AM75" s="139"/>
      <c r="AO75" s="75" t="e">
        <f aca="false">EURO(N75,O75,Z75,Z75,R75,U75,1,0)</f>
        <v>#NAME?</v>
      </c>
      <c r="AP75" s="138" t="e">
        <f aca="false">AO75*C75</f>
        <v>#NAME?</v>
      </c>
      <c r="AQ75" s="61" t="e">
        <f aca="false">EURO(N75,O75,Z75,Z75,R75,U75,1,1)</f>
        <v>#NAME?</v>
      </c>
      <c r="AR75" s="61" t="e">
        <f aca="false">AQ75+Put!AQ75</f>
        <v>#NAME?</v>
      </c>
      <c r="AS75" s="138" t="e">
        <f aca="false">AR75*C75</f>
        <v>#NAME?</v>
      </c>
      <c r="AT75" s="120" t="e">
        <f aca="false">AS75/10000</f>
        <v>#NAME?</v>
      </c>
    </row>
    <row r="76" customFormat="false" ht="12.75" hidden="false" customHeight="false" outlineLevel="0" collapsed="false">
      <c r="A76" s="127" t="n">
        <f aca="false">EDATE(A75,1)</f>
        <v>42186</v>
      </c>
      <c r="B76" s="128" t="n">
        <f aca="false">B75</f>
        <v>205479</v>
      </c>
      <c r="C76" s="116" t="n">
        <f aca="false">IF(AB76=0,0,IF(AND(AB76=1,$H$3=1),B76*W76,IF($H$3=2,B76,"N/A")))</f>
        <v>6369849</v>
      </c>
      <c r="D76" s="116" t="n">
        <f aca="false">C76*AA76</f>
        <v>2597030.4902481</v>
      </c>
      <c r="E76" s="129" t="n">
        <f aca="false">VLOOKUP($A76,[1]!CurveTable,MATCH($E$4,[1]!CurveType,0))</f>
        <v>4.925</v>
      </c>
      <c r="F76" s="130"/>
      <c r="G76" s="131" t="n">
        <f aca="false">E76</f>
        <v>4.925</v>
      </c>
      <c r="H76" s="129" t="n">
        <f aca="false">VLOOKUP($A76,[1]!CurveTable,MATCH($H$4,[1]!CurveType,0))</f>
        <v>0</v>
      </c>
      <c r="I76" s="131"/>
      <c r="J76" s="131" t="n">
        <f aca="false">H76</f>
        <v>0</v>
      </c>
      <c r="K76" s="129"/>
      <c r="L76" s="131"/>
      <c r="M76" s="131"/>
      <c r="N76" s="131" t="n">
        <f aca="false">G76+J76+M76+$N$7</f>
        <v>4.635</v>
      </c>
      <c r="O76" s="131" t="n">
        <f aca="false">Summary!$E$16</f>
        <v>9.81903240236408</v>
      </c>
      <c r="P76" s="131"/>
      <c r="Q76" s="129" t="n">
        <f aca="false">VLOOKUP($A76,[1]!CurveTable,MATCH($Q$4,[1]!CurveType,0))</f>
        <v>0.17</v>
      </c>
      <c r="R76" s="129" t="n">
        <f aca="false">Q76+Summary!$C$26</f>
        <v>0.17</v>
      </c>
      <c r="S76" s="129"/>
      <c r="T76" s="132" t="n">
        <f aca="false">X76</f>
        <v>42186</v>
      </c>
      <c r="U76" s="133" t="n">
        <f aca="false">T76-$C$3</f>
        <v>5181</v>
      </c>
      <c r="W76" s="61" t="n">
        <f aca="false">A77-A76</f>
        <v>31</v>
      </c>
      <c r="X76" s="135" t="n">
        <f aca="false">CHOOSE(F$3,A77+24,A76)</f>
        <v>42186</v>
      </c>
      <c r="Y76" s="61" t="n">
        <f aca="false">X76-C$3</f>
        <v>5181</v>
      </c>
      <c r="Z76" s="136" t="n">
        <f aca="false">VLOOKUP($A76,[1]!CurveTable,MATCH($Z$4,[1]!CurveType,0))</f>
        <v>0.0642620904621092</v>
      </c>
      <c r="AA76" s="137" t="n">
        <f aca="false">1/(1+CHOOSE(F$3,(Z77+($K$3/10000))/2,(Z76+($K$3/10000))/2))^(2*Y76/365.25)</f>
        <v>0.407706758864786</v>
      </c>
      <c r="AB76" s="61" t="n">
        <f aca="false">IF(AND(mthbeg&lt;=A76,mthend&gt;=A76),1,0)</f>
        <v>1</v>
      </c>
      <c r="AC76" s="61" t="n">
        <f aca="false">W76*AB76</f>
        <v>31</v>
      </c>
      <c r="AD76" s="121" t="n">
        <f aca="false">$D76*E76</f>
        <v>12790375.1644719</v>
      </c>
      <c r="AE76" s="121" t="n">
        <f aca="false">$D76*F76</f>
        <v>0</v>
      </c>
      <c r="AF76" s="121" t="n">
        <f aca="false">$D76*G76</f>
        <v>12790375.1644719</v>
      </c>
      <c r="AG76" s="121" t="n">
        <f aca="false">$D76*H76</f>
        <v>0</v>
      </c>
      <c r="AH76" s="121" t="n">
        <f aca="false">$D76*I76</f>
        <v>0</v>
      </c>
      <c r="AI76" s="121" t="n">
        <f aca="false">$D76*J76</f>
        <v>0</v>
      </c>
      <c r="AJ76" s="121" t="n">
        <f aca="false">$D76*K76</f>
        <v>0</v>
      </c>
      <c r="AK76" s="121" t="n">
        <f aca="false">$D76*L76</f>
        <v>0</v>
      </c>
      <c r="AL76" s="121" t="n">
        <f aca="false">$D76*M76</f>
        <v>0</v>
      </c>
      <c r="AM76" s="139"/>
      <c r="AO76" s="75" t="e">
        <f aca="false">EURO(N76,O76,Z76,Z76,R76,U76,1,0)</f>
        <v>#NAME?</v>
      </c>
      <c r="AP76" s="138" t="e">
        <f aca="false">AO76*C76</f>
        <v>#NAME?</v>
      </c>
      <c r="AQ76" s="61" t="e">
        <f aca="false">EURO(N76,O76,Z76,Z76,R76,U76,1,1)</f>
        <v>#NAME?</v>
      </c>
      <c r="AR76" s="61" t="e">
        <f aca="false">AQ76+Put!AQ76</f>
        <v>#NAME?</v>
      </c>
      <c r="AS76" s="138" t="e">
        <f aca="false">AR76*C76</f>
        <v>#NAME?</v>
      </c>
      <c r="AT76" s="120" t="e">
        <f aca="false">AS76/10000</f>
        <v>#NAME?</v>
      </c>
    </row>
    <row r="77" customFormat="false" ht="12.75" hidden="false" customHeight="false" outlineLevel="0" collapsed="false">
      <c r="A77" s="127" t="n">
        <f aca="false">EDATE(A76,1)</f>
        <v>42217</v>
      </c>
      <c r="B77" s="128" t="n">
        <f aca="false">B76</f>
        <v>205479</v>
      </c>
      <c r="C77" s="116" t="n">
        <f aca="false">IF(AB77=0,0,IF(AND(AB77=1,$H$3=1),B77*W77,IF($H$3=2,B77,"N/A")))</f>
        <v>6369849</v>
      </c>
      <c r="D77" s="116" t="n">
        <f aca="false">C77*AA77</f>
        <v>2581608.10980259</v>
      </c>
      <c r="E77" s="129" t="n">
        <f aca="false">VLOOKUP($A77,[1]!CurveTable,MATCH($E$4,[1]!CurveType,0))</f>
        <v>4.96</v>
      </c>
      <c r="F77" s="130"/>
      <c r="G77" s="131" t="n">
        <f aca="false">E77</f>
        <v>4.96</v>
      </c>
      <c r="H77" s="129" t="n">
        <f aca="false">VLOOKUP($A77,[1]!CurveTable,MATCH($H$4,[1]!CurveType,0))</f>
        <v>0</v>
      </c>
      <c r="I77" s="131"/>
      <c r="J77" s="131" t="n">
        <f aca="false">H77</f>
        <v>0</v>
      </c>
      <c r="K77" s="129"/>
      <c r="L77" s="131"/>
      <c r="M77" s="131"/>
      <c r="N77" s="131" t="n">
        <f aca="false">G77+J77+M77+$N$7</f>
        <v>4.67</v>
      </c>
      <c r="O77" s="131" t="n">
        <f aca="false">Summary!$E$16</f>
        <v>9.81903240236408</v>
      </c>
      <c r="P77" s="131"/>
      <c r="Q77" s="129" t="n">
        <f aca="false">VLOOKUP($A77,[1]!CurveTable,MATCH($Q$4,[1]!CurveType,0))</f>
        <v>0.17</v>
      </c>
      <c r="R77" s="129" t="n">
        <f aca="false">Q77+Summary!$C$26</f>
        <v>0.17</v>
      </c>
      <c r="S77" s="129"/>
      <c r="T77" s="132" t="n">
        <f aca="false">X77</f>
        <v>42217</v>
      </c>
      <c r="U77" s="133" t="n">
        <f aca="false">T77-$C$3</f>
        <v>5212</v>
      </c>
      <c r="W77" s="61" t="n">
        <f aca="false">A78-A77</f>
        <v>31</v>
      </c>
      <c r="X77" s="135" t="n">
        <f aca="false">CHOOSE(F$3,A78+24,A77)</f>
        <v>42217</v>
      </c>
      <c r="Y77" s="61" t="n">
        <f aca="false">X77-C$3</f>
        <v>5212</v>
      </c>
      <c r="Z77" s="136" t="n">
        <f aca="false">VLOOKUP($A77,[1]!CurveTable,MATCH($Z$4,[1]!CurveType,0))</f>
        <v>0.064304608159476</v>
      </c>
      <c r="AA77" s="137" t="n">
        <f aca="false">1/(1+CHOOSE(F$3,(Z78+($K$3/10000))/2,(Z77+($K$3/10000))/2))^(2*Y77/365.25)</f>
        <v>0.405285605640352</v>
      </c>
      <c r="AB77" s="61" t="n">
        <f aca="false">IF(AND(mthbeg&lt;=A77,mthend&gt;=A77),1,0)</f>
        <v>1</v>
      </c>
      <c r="AC77" s="61" t="n">
        <f aca="false">W77*AB77</f>
        <v>31</v>
      </c>
      <c r="AD77" s="121" t="n">
        <f aca="false">$D77*E77</f>
        <v>12804776.2246208</v>
      </c>
      <c r="AE77" s="121" t="n">
        <f aca="false">$D77*F77</f>
        <v>0</v>
      </c>
      <c r="AF77" s="121" t="n">
        <f aca="false">$D77*G77</f>
        <v>12804776.2246208</v>
      </c>
      <c r="AG77" s="121" t="n">
        <f aca="false">$D77*H77</f>
        <v>0</v>
      </c>
      <c r="AH77" s="121" t="n">
        <f aca="false">$D77*I77</f>
        <v>0</v>
      </c>
      <c r="AI77" s="121" t="n">
        <f aca="false">$D77*J77</f>
        <v>0</v>
      </c>
      <c r="AJ77" s="121" t="n">
        <f aca="false">$D77*K77</f>
        <v>0</v>
      </c>
      <c r="AK77" s="121" t="n">
        <f aca="false">$D77*L77</f>
        <v>0</v>
      </c>
      <c r="AL77" s="121" t="n">
        <f aca="false">$D77*M77</f>
        <v>0</v>
      </c>
      <c r="AM77" s="139"/>
      <c r="AO77" s="75" t="e">
        <f aca="false">EURO(N77,O77,Z77,Z77,R77,U77,1,0)</f>
        <v>#NAME?</v>
      </c>
      <c r="AP77" s="138" t="e">
        <f aca="false">AO77*C77</f>
        <v>#NAME?</v>
      </c>
      <c r="AQ77" s="61" t="e">
        <f aca="false">EURO(N77,O77,Z77,Z77,R77,U77,1,1)</f>
        <v>#NAME?</v>
      </c>
      <c r="AR77" s="61" t="e">
        <f aca="false">AQ77+Put!AQ77</f>
        <v>#NAME?</v>
      </c>
      <c r="AS77" s="138" t="e">
        <f aca="false">AR77*C77</f>
        <v>#NAME?</v>
      </c>
      <c r="AT77" s="120" t="e">
        <f aca="false">AS77/10000</f>
        <v>#NAME?</v>
      </c>
    </row>
    <row r="78" customFormat="false" ht="12.75" hidden="false" customHeight="false" outlineLevel="0" collapsed="false">
      <c r="A78" s="127" t="n">
        <f aca="false">EDATE(A77,1)</f>
        <v>42248</v>
      </c>
      <c r="B78" s="128" t="n">
        <f aca="false">B77</f>
        <v>205479</v>
      </c>
      <c r="C78" s="116" t="n">
        <f aca="false">IF(AB78=0,0,IF(AND(AB78=1,$H$3=1),B78*W78,IF($H$3=2,B78,"N/A")))</f>
        <v>6164370</v>
      </c>
      <c r="D78" s="116" t="n">
        <f aca="false">C78*AA78</f>
        <v>2483476.83995211</v>
      </c>
      <c r="E78" s="129" t="n">
        <f aca="false">VLOOKUP($A78,[1]!CurveTable,MATCH($E$4,[1]!CurveType,0))</f>
        <v>4.965</v>
      </c>
      <c r="F78" s="130"/>
      <c r="G78" s="131" t="n">
        <f aca="false">E78</f>
        <v>4.965</v>
      </c>
      <c r="H78" s="129" t="n">
        <f aca="false">VLOOKUP($A78,[1]!CurveTable,MATCH($H$4,[1]!CurveType,0))</f>
        <v>0</v>
      </c>
      <c r="I78" s="131"/>
      <c r="J78" s="131" t="n">
        <f aca="false">H78</f>
        <v>0</v>
      </c>
      <c r="K78" s="129"/>
      <c r="L78" s="131"/>
      <c r="M78" s="131"/>
      <c r="N78" s="131" t="n">
        <f aca="false">G78+J78+M78+$N$7</f>
        <v>4.675</v>
      </c>
      <c r="O78" s="131" t="n">
        <f aca="false">Summary!$E$16</f>
        <v>9.81903240236408</v>
      </c>
      <c r="P78" s="131"/>
      <c r="Q78" s="129" t="n">
        <f aca="false">VLOOKUP($A78,[1]!CurveTable,MATCH($Q$4,[1]!CurveType,0))</f>
        <v>0.17</v>
      </c>
      <c r="R78" s="129" t="n">
        <f aca="false">Q78+Summary!$C$26</f>
        <v>0.17</v>
      </c>
      <c r="S78" s="129"/>
      <c r="T78" s="132" t="n">
        <f aca="false">X78</f>
        <v>42248</v>
      </c>
      <c r="U78" s="133" t="n">
        <f aca="false">T78-$C$3</f>
        <v>5243</v>
      </c>
      <c r="W78" s="61" t="n">
        <f aca="false">A79-A78</f>
        <v>30</v>
      </c>
      <c r="X78" s="135" t="n">
        <f aca="false">CHOOSE(F$3,A79+24,A78)</f>
        <v>42248</v>
      </c>
      <c r="Y78" s="61" t="n">
        <f aca="false">X78-C$3</f>
        <v>5243</v>
      </c>
      <c r="Z78" s="136" t="n">
        <f aca="false">VLOOKUP($A78,[1]!CurveTable,MATCH($Z$4,[1]!CurveType,0))</f>
        <v>0.064347125857442</v>
      </c>
      <c r="AA78" s="137" t="n">
        <f aca="false">1/(1+CHOOSE(F$3,(Z79+($K$3/10000))/2,(Z78+($K$3/10000))/2))^(2*Y78/365.25)</f>
        <v>0.402876018141694</v>
      </c>
      <c r="AB78" s="61" t="n">
        <f aca="false">IF(AND(mthbeg&lt;=A78,mthend&gt;=A78),1,0)</f>
        <v>1</v>
      </c>
      <c r="AC78" s="61" t="n">
        <f aca="false">W78*AB78</f>
        <v>30</v>
      </c>
      <c r="AD78" s="121" t="n">
        <f aca="false">$D78*E78</f>
        <v>12330462.5103622</v>
      </c>
      <c r="AE78" s="121" t="n">
        <f aca="false">$D78*F78</f>
        <v>0</v>
      </c>
      <c r="AF78" s="121" t="n">
        <f aca="false">$D78*G78</f>
        <v>12330462.5103622</v>
      </c>
      <c r="AG78" s="121" t="n">
        <f aca="false">$D78*H78</f>
        <v>0</v>
      </c>
      <c r="AH78" s="121" t="n">
        <f aca="false">$D78*I78</f>
        <v>0</v>
      </c>
      <c r="AI78" s="121" t="n">
        <f aca="false">$D78*J78</f>
        <v>0</v>
      </c>
      <c r="AJ78" s="121" t="n">
        <f aca="false">$D78*K78</f>
        <v>0</v>
      </c>
      <c r="AK78" s="121" t="n">
        <f aca="false">$D78*L78</f>
        <v>0</v>
      </c>
      <c r="AL78" s="121" t="n">
        <f aca="false">$D78*M78</f>
        <v>0</v>
      </c>
      <c r="AM78" s="139"/>
      <c r="AO78" s="75" t="e">
        <f aca="false">EURO(N78,O78,Z78,Z78,R78,U78,1,0)</f>
        <v>#NAME?</v>
      </c>
      <c r="AP78" s="138" t="e">
        <f aca="false">AO78*C78</f>
        <v>#NAME?</v>
      </c>
      <c r="AQ78" s="61" t="e">
        <f aca="false">EURO(N78,O78,Z78,Z78,R78,U78,1,1)</f>
        <v>#NAME?</v>
      </c>
      <c r="AR78" s="61" t="e">
        <f aca="false">AQ78+Put!AQ78</f>
        <v>#NAME?</v>
      </c>
      <c r="AS78" s="138" t="e">
        <f aca="false">AR78*C78</f>
        <v>#NAME?</v>
      </c>
      <c r="AT78" s="120" t="e">
        <f aca="false">AS78/10000</f>
        <v>#NAME?</v>
      </c>
    </row>
    <row r="79" customFormat="false" ht="12.75" hidden="false" customHeight="false" outlineLevel="0" collapsed="false">
      <c r="A79" s="127" t="n">
        <f aca="false">EDATE(A78,1)</f>
        <v>42278</v>
      </c>
      <c r="B79" s="128" t="n">
        <f aca="false">B78</f>
        <v>205479</v>
      </c>
      <c r="C79" s="116" t="n">
        <f aca="false">IF(AB79=0,0,IF(AND(AB79=1,$H$3=1),B79*W79,IF($H$3=2,B79,"N/A")))</f>
        <v>6369849</v>
      </c>
      <c r="D79" s="116" t="n">
        <f aca="false">C79*AA79</f>
        <v>2551475.74706831</v>
      </c>
      <c r="E79" s="129" t="n">
        <f aca="false">VLOOKUP($A79,[1]!CurveTable,MATCH($E$4,[1]!CurveType,0))</f>
        <v>4.995</v>
      </c>
      <c r="F79" s="130"/>
      <c r="G79" s="131" t="n">
        <f aca="false">E79</f>
        <v>4.995</v>
      </c>
      <c r="H79" s="129" t="n">
        <f aca="false">VLOOKUP($A79,[1]!CurveTable,MATCH($H$4,[1]!CurveType,0))</f>
        <v>0</v>
      </c>
      <c r="I79" s="131"/>
      <c r="J79" s="131" t="n">
        <f aca="false">H79</f>
        <v>0</v>
      </c>
      <c r="K79" s="129"/>
      <c r="L79" s="131"/>
      <c r="M79" s="131"/>
      <c r="N79" s="131" t="n">
        <f aca="false">G79+J79+M79+$N$7</f>
        <v>4.705</v>
      </c>
      <c r="O79" s="131" t="n">
        <f aca="false">Summary!$E$16</f>
        <v>9.81903240236408</v>
      </c>
      <c r="P79" s="131"/>
      <c r="Q79" s="129" t="n">
        <f aca="false">VLOOKUP($A79,[1]!CurveTable,MATCH($Q$4,[1]!CurveType,0))</f>
        <v>0.17</v>
      </c>
      <c r="R79" s="129" t="n">
        <f aca="false">Q79+Summary!$C$26</f>
        <v>0.17</v>
      </c>
      <c r="S79" s="129"/>
      <c r="T79" s="132" t="n">
        <f aca="false">X79</f>
        <v>42278</v>
      </c>
      <c r="U79" s="133" t="n">
        <f aca="false">T79-$C$3</f>
        <v>5273</v>
      </c>
      <c r="W79" s="61" t="n">
        <f aca="false">A80-A79</f>
        <v>31</v>
      </c>
      <c r="X79" s="135" t="n">
        <f aca="false">CHOOSE(F$3,A80+24,A79)</f>
        <v>42278</v>
      </c>
      <c r="Y79" s="61" t="n">
        <f aca="false">X79-C$3</f>
        <v>5273</v>
      </c>
      <c r="Z79" s="136" t="n">
        <f aca="false">VLOOKUP($A79,[1]!CurveTable,MATCH($Z$4,[1]!CurveType,0))</f>
        <v>0.064388272017335</v>
      </c>
      <c r="AA79" s="137" t="n">
        <f aca="false">1/(1+CHOOSE(F$3,(Z80+($K$3/10000))/2,(Z79+($K$3/10000))/2))^(2*Y79/365.25)</f>
        <v>0.400555138287943</v>
      </c>
      <c r="AB79" s="61" t="n">
        <f aca="false">IF(AND(mthbeg&lt;=A79,mthend&gt;=A79),1,0)</f>
        <v>1</v>
      </c>
      <c r="AC79" s="61" t="n">
        <f aca="false">W79*AB79</f>
        <v>31</v>
      </c>
      <c r="AD79" s="121" t="n">
        <f aca="false">$D79*E79</f>
        <v>12744621.3566062</v>
      </c>
      <c r="AE79" s="121" t="n">
        <f aca="false">$D79*F79</f>
        <v>0</v>
      </c>
      <c r="AF79" s="121" t="n">
        <f aca="false">$D79*G79</f>
        <v>12744621.3566062</v>
      </c>
      <c r="AG79" s="121" t="n">
        <f aca="false">$D79*H79</f>
        <v>0</v>
      </c>
      <c r="AH79" s="121" t="n">
        <f aca="false">$D79*I79</f>
        <v>0</v>
      </c>
      <c r="AI79" s="121" t="n">
        <f aca="false">$D79*J79</f>
        <v>0</v>
      </c>
      <c r="AJ79" s="121" t="n">
        <f aca="false">$D79*K79</f>
        <v>0</v>
      </c>
      <c r="AK79" s="121" t="n">
        <f aca="false">$D79*L79</f>
        <v>0</v>
      </c>
      <c r="AL79" s="121" t="n">
        <f aca="false">$D79*M79</f>
        <v>0</v>
      </c>
      <c r="AM79" s="139"/>
      <c r="AO79" s="75" t="e">
        <f aca="false">EURO(N79,O79,Z79,Z79,R79,U79,1,0)</f>
        <v>#NAME?</v>
      </c>
      <c r="AP79" s="138" t="e">
        <f aca="false">AO79*C79</f>
        <v>#NAME?</v>
      </c>
      <c r="AQ79" s="61" t="e">
        <f aca="false">EURO(N79,O79,Z79,Z79,R79,U79,1,1)</f>
        <v>#NAME?</v>
      </c>
      <c r="AR79" s="61" t="e">
        <f aca="false">AQ79+Put!AQ79</f>
        <v>#NAME?</v>
      </c>
      <c r="AS79" s="138" t="e">
        <f aca="false">AR79*C79</f>
        <v>#NAME?</v>
      </c>
      <c r="AT79" s="120" t="e">
        <f aca="false">AS79/10000</f>
        <v>#NAME?</v>
      </c>
    </row>
    <row r="80" customFormat="false" ht="12.75" hidden="false" customHeight="false" outlineLevel="0" collapsed="false">
      <c r="A80" s="127" t="n">
        <f aca="false">EDATE(A79,1)</f>
        <v>42309</v>
      </c>
      <c r="B80" s="128" t="n">
        <f aca="false">B79</f>
        <v>205479</v>
      </c>
      <c r="C80" s="116" t="n">
        <f aca="false">IF(AB80=0,0,IF(AND(AB80=1,$H$3=1),B80*W80,IF($H$3=2,B80,"N/A")))</f>
        <v>6164370</v>
      </c>
      <c r="D80" s="116" t="n">
        <f aca="false">C80*AA80</f>
        <v>2454456.14725469</v>
      </c>
      <c r="E80" s="129" t="n">
        <f aca="false">VLOOKUP($A80,[1]!CurveTable,MATCH($E$4,[1]!CurveType,0))</f>
        <v>5.105</v>
      </c>
      <c r="F80" s="130"/>
      <c r="G80" s="131" t="n">
        <f aca="false">E80</f>
        <v>5.105</v>
      </c>
      <c r="H80" s="129" t="n">
        <f aca="false">VLOOKUP($A80,[1]!CurveTable,MATCH($H$4,[1]!CurveType,0))</f>
        <v>0</v>
      </c>
      <c r="I80" s="131"/>
      <c r="J80" s="131" t="n">
        <f aca="false">H80</f>
        <v>0</v>
      </c>
      <c r="K80" s="129"/>
      <c r="L80" s="131"/>
      <c r="M80" s="131"/>
      <c r="N80" s="131" t="n">
        <f aca="false">G80+J80+M80+$N$7</f>
        <v>4.815</v>
      </c>
      <c r="O80" s="131" t="n">
        <f aca="false">Summary!$E$16</f>
        <v>9.81903240236408</v>
      </c>
      <c r="P80" s="131"/>
      <c r="Q80" s="129" t="n">
        <f aca="false">VLOOKUP($A80,[1]!CurveTable,MATCH($Q$4,[1]!CurveType,0))</f>
        <v>0.17</v>
      </c>
      <c r="R80" s="129" t="n">
        <f aca="false">Q80+Summary!$C$26</f>
        <v>0.17</v>
      </c>
      <c r="S80" s="129"/>
      <c r="T80" s="132" t="n">
        <f aca="false">X80</f>
        <v>42309</v>
      </c>
      <c r="U80" s="133" t="n">
        <f aca="false">T80-$C$3</f>
        <v>5304</v>
      </c>
      <c r="W80" s="61" t="n">
        <f aca="false">A81-A80</f>
        <v>30</v>
      </c>
      <c r="X80" s="135" t="n">
        <f aca="false">CHOOSE(F$3,A81+24,A80)</f>
        <v>42309</v>
      </c>
      <c r="Y80" s="61" t="n">
        <f aca="false">X80-C$3</f>
        <v>5304</v>
      </c>
      <c r="Z80" s="136" t="n">
        <f aca="false">VLOOKUP($A80,[1]!CurveTable,MATCH($Z$4,[1]!CurveType,0))</f>
        <v>0.06443078971648</v>
      </c>
      <c r="AA80" s="137" t="n">
        <f aca="false">1/(1+CHOOSE(F$3,(Z81+($K$3/10000))/2,(Z80+($K$3/10000))/2))^(2*Y80/365.25)</f>
        <v>0.398168206524704</v>
      </c>
      <c r="AB80" s="61" t="n">
        <f aca="false">IF(AND(mthbeg&lt;=A80,mthend&gt;=A80),1,0)</f>
        <v>1</v>
      </c>
      <c r="AC80" s="61" t="n">
        <f aca="false">W80*AB80</f>
        <v>30</v>
      </c>
      <c r="AD80" s="121" t="n">
        <f aca="false">$D80*E80</f>
        <v>12529998.6317352</v>
      </c>
      <c r="AE80" s="121" t="n">
        <f aca="false">$D80*F80</f>
        <v>0</v>
      </c>
      <c r="AF80" s="121" t="n">
        <f aca="false">$D80*G80</f>
        <v>12529998.6317352</v>
      </c>
      <c r="AG80" s="121" t="n">
        <f aca="false">$D80*H80</f>
        <v>0</v>
      </c>
      <c r="AH80" s="121" t="n">
        <f aca="false">$D80*I80</f>
        <v>0</v>
      </c>
      <c r="AI80" s="121" t="n">
        <f aca="false">$D80*J80</f>
        <v>0</v>
      </c>
      <c r="AJ80" s="121" t="n">
        <f aca="false">$D80*K80</f>
        <v>0</v>
      </c>
      <c r="AK80" s="121" t="n">
        <f aca="false">$D80*L80</f>
        <v>0</v>
      </c>
      <c r="AL80" s="121" t="n">
        <f aca="false">$D80*M80</f>
        <v>0</v>
      </c>
      <c r="AM80" s="139"/>
      <c r="AO80" s="75" t="e">
        <f aca="false">EURO(N80,O80,Z80,Z80,R80,U80,1,0)</f>
        <v>#NAME?</v>
      </c>
      <c r="AP80" s="138" t="e">
        <f aca="false">AO80*C80</f>
        <v>#NAME?</v>
      </c>
      <c r="AQ80" s="61" t="e">
        <f aca="false">EURO(N80,O80,Z80,Z80,R80,U80,1,1)</f>
        <v>#NAME?</v>
      </c>
      <c r="AR80" s="61" t="e">
        <f aca="false">AQ80+Put!AQ80</f>
        <v>#NAME?</v>
      </c>
      <c r="AS80" s="138" t="e">
        <f aca="false">AR80*C80</f>
        <v>#NAME?</v>
      </c>
      <c r="AT80" s="120" t="e">
        <f aca="false">AS80/10000</f>
        <v>#NAME?</v>
      </c>
    </row>
    <row r="81" customFormat="false" ht="12.75" hidden="false" customHeight="false" outlineLevel="0" collapsed="false">
      <c r="A81" s="127" t="n">
        <f aca="false">EDATE(A80,1)</f>
        <v>42339</v>
      </c>
      <c r="B81" s="128" t="n">
        <f aca="false">B80</f>
        <v>205479</v>
      </c>
      <c r="C81" s="116" t="n">
        <f aca="false">IF(AB81=0,0,IF(AND(AB81=1,$H$3=1),B81*W81,IF($H$3=2,B81,"N/A")))</f>
        <v>6369849</v>
      </c>
      <c r="D81" s="116" t="n">
        <f aca="false">C81*AA81</f>
        <v>2521626.93636672</v>
      </c>
      <c r="E81" s="129" t="n">
        <f aca="false">VLOOKUP($A81,[1]!CurveTable,MATCH($E$4,[1]!CurveType,0))</f>
        <v>5.225</v>
      </c>
      <c r="F81" s="130"/>
      <c r="G81" s="131" t="n">
        <f aca="false">E81</f>
        <v>5.225</v>
      </c>
      <c r="H81" s="129" t="n">
        <f aca="false">VLOOKUP($A81,[1]!CurveTable,MATCH($H$4,[1]!CurveType,0))</f>
        <v>0</v>
      </c>
      <c r="I81" s="131"/>
      <c r="J81" s="131" t="n">
        <f aca="false">H81</f>
        <v>0</v>
      </c>
      <c r="K81" s="129"/>
      <c r="L81" s="131"/>
      <c r="M81" s="131"/>
      <c r="N81" s="131" t="n">
        <f aca="false">G81+J81+M81+$N$7</f>
        <v>4.935</v>
      </c>
      <c r="O81" s="131" t="n">
        <f aca="false">Summary!$E$16</f>
        <v>9.81903240236408</v>
      </c>
      <c r="P81" s="131"/>
      <c r="Q81" s="129" t="n">
        <f aca="false">VLOOKUP($A81,[1]!CurveTable,MATCH($Q$4,[1]!CurveType,0))</f>
        <v>0.17</v>
      </c>
      <c r="R81" s="129" t="n">
        <f aca="false">Q81+Summary!$C$26</f>
        <v>0.17</v>
      </c>
      <c r="S81" s="129"/>
      <c r="T81" s="132" t="n">
        <f aca="false">X81</f>
        <v>42339</v>
      </c>
      <c r="U81" s="133" t="n">
        <f aca="false">T81-$C$3</f>
        <v>5334</v>
      </c>
      <c r="W81" s="61" t="n">
        <f aca="false">A82-A81</f>
        <v>31</v>
      </c>
      <c r="X81" s="135" t="n">
        <f aca="false">CHOOSE(F$3,A82+24,A81)</f>
        <v>42339</v>
      </c>
      <c r="Y81" s="61" t="n">
        <f aca="false">X81-C$3</f>
        <v>5334</v>
      </c>
      <c r="Z81" s="136" t="n">
        <f aca="false">VLOOKUP($A81,[1]!CurveTable,MATCH($Z$4,[1]!CurveType,0))</f>
        <v>0.0644719358775143</v>
      </c>
      <c r="AA81" s="137" t="n">
        <f aca="false">1/(1+CHOOSE(F$3,(Z82+($K$3/10000))/2,(Z81+($K$3/10000))/2))^(2*Y81/365.25)</f>
        <v>0.39586918565365</v>
      </c>
      <c r="AB81" s="61" t="n">
        <f aca="false">IF(AND(mthbeg&lt;=A81,mthend&gt;=A81),1,0)</f>
        <v>1</v>
      </c>
      <c r="AC81" s="61" t="n">
        <f aca="false">W81*AB81</f>
        <v>31</v>
      </c>
      <c r="AD81" s="121" t="n">
        <f aca="false">$D81*E81</f>
        <v>13175500.7425161</v>
      </c>
      <c r="AE81" s="121" t="n">
        <f aca="false">$D81*F81</f>
        <v>0</v>
      </c>
      <c r="AF81" s="121" t="n">
        <f aca="false">$D81*G81</f>
        <v>13175500.7425161</v>
      </c>
      <c r="AG81" s="121" t="n">
        <f aca="false">$D81*H81</f>
        <v>0</v>
      </c>
      <c r="AH81" s="121" t="n">
        <f aca="false">$D81*I81</f>
        <v>0</v>
      </c>
      <c r="AI81" s="121" t="n">
        <f aca="false">$D81*J81</f>
        <v>0</v>
      </c>
      <c r="AJ81" s="121" t="n">
        <f aca="false">$D81*K81</f>
        <v>0</v>
      </c>
      <c r="AK81" s="121" t="n">
        <f aca="false">$D81*L81</f>
        <v>0</v>
      </c>
      <c r="AL81" s="121" t="n">
        <f aca="false">$D81*M81</f>
        <v>0</v>
      </c>
      <c r="AM81" s="139"/>
      <c r="AO81" s="75" t="e">
        <f aca="false">EURO(N81,O81,Z81,Z81,R81,U81,1,0)</f>
        <v>#NAME?</v>
      </c>
      <c r="AP81" s="138" t="e">
        <f aca="false">AO81*C81</f>
        <v>#NAME?</v>
      </c>
      <c r="AQ81" s="61" t="e">
        <f aca="false">EURO(N81,O81,Z81,Z81,R81,U81,1,1)</f>
        <v>#NAME?</v>
      </c>
      <c r="AR81" s="61" t="e">
        <f aca="false">AQ81+Put!AQ81</f>
        <v>#NAME?</v>
      </c>
      <c r="AS81" s="138" t="e">
        <f aca="false">AR81*C81</f>
        <v>#NAME?</v>
      </c>
      <c r="AT81" s="120" t="e">
        <f aca="false">AS81/10000</f>
        <v>#NAME?</v>
      </c>
    </row>
    <row r="82" customFormat="false" ht="12.75" hidden="false" customHeight="false" outlineLevel="0" collapsed="false">
      <c r="A82" s="127" t="n">
        <f aca="false">EDATE(A81,1)</f>
        <v>42370</v>
      </c>
      <c r="B82" s="128" t="n">
        <f aca="false">B81</f>
        <v>205479</v>
      </c>
      <c r="C82" s="116" t="n">
        <f aca="false">IF(AB82=0,0,IF(AND(AB82=1,$H$3=1),B82*W82,IF($H$3=2,B82,"N/A")))</f>
        <v>6369849</v>
      </c>
      <c r="D82" s="116" t="n">
        <f aca="false">C82*AA82</f>
        <v>2506565.98686294</v>
      </c>
      <c r="E82" s="129" t="n">
        <f aca="false">VLOOKUP($A82,[1]!CurveTable,MATCH($E$4,[1]!CurveType,0))</f>
        <v>5.31</v>
      </c>
      <c r="F82" s="130"/>
      <c r="G82" s="131" t="n">
        <f aca="false">E82</f>
        <v>5.31</v>
      </c>
      <c r="H82" s="129" t="n">
        <f aca="false">VLOOKUP($A82,[1]!CurveTable,MATCH($H$4,[1]!CurveType,0))</f>
        <v>0</v>
      </c>
      <c r="I82" s="131"/>
      <c r="J82" s="131" t="n">
        <f aca="false">H82</f>
        <v>0</v>
      </c>
      <c r="K82" s="129"/>
      <c r="L82" s="131"/>
      <c r="M82" s="131"/>
      <c r="N82" s="131" t="n">
        <f aca="false">G82+J82+M82+$N$7</f>
        <v>5.02</v>
      </c>
      <c r="O82" s="131" t="n">
        <f aca="false">Summary!$E$16</f>
        <v>9.81903240236408</v>
      </c>
      <c r="P82" s="131"/>
      <c r="Q82" s="129" t="n">
        <f aca="false">VLOOKUP($A82,[1]!CurveTable,MATCH($Q$4,[1]!CurveType,0))</f>
        <v>0.17</v>
      </c>
      <c r="R82" s="129" t="n">
        <f aca="false">Q82+Summary!$C$26</f>
        <v>0.17</v>
      </c>
      <c r="S82" s="129"/>
      <c r="T82" s="132" t="n">
        <f aca="false">X82</f>
        <v>42370</v>
      </c>
      <c r="U82" s="133" t="n">
        <f aca="false">T82-$C$3</f>
        <v>5365</v>
      </c>
      <c r="W82" s="61" t="n">
        <f aca="false">A83-A82</f>
        <v>31</v>
      </c>
      <c r="X82" s="135" t="n">
        <f aca="false">CHOOSE(F$3,A83+24,A82)</f>
        <v>42370</v>
      </c>
      <c r="Y82" s="61" t="n">
        <f aca="false">X82-C$3</f>
        <v>5365</v>
      </c>
      <c r="Z82" s="136" t="n">
        <f aca="false">VLOOKUP($A82,[1]!CurveTable,MATCH($Z$4,[1]!CurveType,0))</f>
        <v>0.0645144535778392</v>
      </c>
      <c r="AA82" s="137" t="n">
        <f aca="false">1/(1+CHOOSE(F$3,(Z83+($K$3/10000))/2,(Z82+($K$3/10000))/2))^(2*Y82/365.25)</f>
        <v>0.393504773325544</v>
      </c>
      <c r="AB82" s="61" t="n">
        <f aca="false">IF(AND(mthbeg&lt;=A82,mthend&gt;=A82),1,0)</f>
        <v>1</v>
      </c>
      <c r="AC82" s="61" t="n">
        <f aca="false">W82*AB82</f>
        <v>31</v>
      </c>
      <c r="AD82" s="121" t="n">
        <f aca="false">$D82*E82</f>
        <v>13309865.3902422</v>
      </c>
      <c r="AE82" s="121" t="n">
        <f aca="false">$D82*F82</f>
        <v>0</v>
      </c>
      <c r="AF82" s="121" t="n">
        <f aca="false">$D82*G82</f>
        <v>13309865.3902422</v>
      </c>
      <c r="AG82" s="121" t="n">
        <f aca="false">$D82*H82</f>
        <v>0</v>
      </c>
      <c r="AH82" s="121" t="n">
        <f aca="false">$D82*I82</f>
        <v>0</v>
      </c>
      <c r="AI82" s="121" t="n">
        <f aca="false">$D82*J82</f>
        <v>0</v>
      </c>
      <c r="AJ82" s="121" t="n">
        <f aca="false">$D82*K82</f>
        <v>0</v>
      </c>
      <c r="AK82" s="121" t="n">
        <f aca="false">$D82*L82</f>
        <v>0</v>
      </c>
      <c r="AL82" s="121" t="n">
        <f aca="false">$D82*M82</f>
        <v>0</v>
      </c>
      <c r="AM82" s="139"/>
      <c r="AO82" s="75" t="e">
        <f aca="false">EURO(N82,O82,Z82,Z82,R82,U82,1,0)</f>
        <v>#NAME?</v>
      </c>
      <c r="AP82" s="138" t="e">
        <f aca="false">AO82*C82</f>
        <v>#NAME?</v>
      </c>
      <c r="AQ82" s="61" t="e">
        <f aca="false">EURO(N82,O82,Z82,Z82,R82,U82,1,1)</f>
        <v>#NAME?</v>
      </c>
      <c r="AR82" s="61" t="e">
        <f aca="false">AQ82+Put!AQ82</f>
        <v>#NAME?</v>
      </c>
      <c r="AS82" s="138" t="e">
        <f aca="false">AR82*C82</f>
        <v>#NAME?</v>
      </c>
      <c r="AT82" s="120" t="e">
        <f aca="false">AS82/10000</f>
        <v>#NAME?</v>
      </c>
    </row>
    <row r="83" customFormat="false" ht="12.75" hidden="false" customHeight="false" outlineLevel="0" collapsed="false">
      <c r="A83" s="127" t="n">
        <f aca="false">EDATE(A82,1)</f>
        <v>42401</v>
      </c>
      <c r="B83" s="128" t="n">
        <f aca="false">B82</f>
        <v>205479</v>
      </c>
      <c r="C83" s="116" t="n">
        <f aca="false">IF(AB83=0,0,IF(AND(AB83=1,$H$3=1),B83*W83,IF($H$3=2,B83,"N/A")))</f>
        <v>5958891</v>
      </c>
      <c r="D83" s="116" t="n">
        <f aca="false">C83*AA83</f>
        <v>2330830.66053438</v>
      </c>
      <c r="E83" s="129" t="n">
        <f aca="false">VLOOKUP($A83,[1]!CurveTable,MATCH($E$4,[1]!CurveType,0))</f>
        <v>5.19</v>
      </c>
      <c r="F83" s="130"/>
      <c r="G83" s="131" t="n">
        <f aca="false">E83</f>
        <v>5.19</v>
      </c>
      <c r="H83" s="129" t="n">
        <f aca="false">VLOOKUP($A83,[1]!CurveTable,MATCH($H$4,[1]!CurveType,0))</f>
        <v>0</v>
      </c>
      <c r="I83" s="131"/>
      <c r="J83" s="131" t="n">
        <f aca="false">H83</f>
        <v>0</v>
      </c>
      <c r="K83" s="129"/>
      <c r="L83" s="131"/>
      <c r="M83" s="131"/>
      <c r="N83" s="131" t="n">
        <f aca="false">G83+J83+M83+$N$7</f>
        <v>4.9</v>
      </c>
      <c r="O83" s="131" t="n">
        <f aca="false">Summary!$E$16</f>
        <v>9.81903240236408</v>
      </c>
      <c r="P83" s="131"/>
      <c r="Q83" s="129" t="n">
        <f aca="false">VLOOKUP($A83,[1]!CurveTable,MATCH($Q$4,[1]!CurveType,0))</f>
        <v>0.17</v>
      </c>
      <c r="R83" s="129" t="n">
        <f aca="false">Q83+Summary!$C$26</f>
        <v>0.17</v>
      </c>
      <c r="S83" s="129"/>
      <c r="T83" s="132" t="n">
        <f aca="false">X83</f>
        <v>42401</v>
      </c>
      <c r="U83" s="133" t="n">
        <f aca="false">T83-$C$3</f>
        <v>5396</v>
      </c>
      <c r="W83" s="61" t="n">
        <f aca="false">A84-A83</f>
        <v>29</v>
      </c>
      <c r="X83" s="135" t="n">
        <f aca="false">CHOOSE(F$3,A84+24,A83)</f>
        <v>42401</v>
      </c>
      <c r="Y83" s="61" t="n">
        <f aca="false">X83-C$3</f>
        <v>5396</v>
      </c>
      <c r="Z83" s="136" t="n">
        <f aca="false">VLOOKUP($A83,[1]!CurveTable,MATCH($Z$4,[1]!CurveType,0))</f>
        <v>0.0645569712787637</v>
      </c>
      <c r="AA83" s="137" t="n">
        <f aca="false">1/(1+CHOOSE(F$3,(Z84+($K$3/10000))/2,(Z83+($K$3/10000))/2))^(2*Y83/365.25)</f>
        <v>0.391151752991351</v>
      </c>
      <c r="AB83" s="61" t="n">
        <f aca="false">IF(AND(mthbeg&lt;=A83,mthend&gt;=A83),1,0)</f>
        <v>1</v>
      </c>
      <c r="AC83" s="61" t="n">
        <f aca="false">W83*AB83</f>
        <v>29</v>
      </c>
      <c r="AD83" s="121" t="n">
        <f aca="false">$D83*E83</f>
        <v>12097011.1281735</v>
      </c>
      <c r="AE83" s="121" t="n">
        <f aca="false">$D83*F83</f>
        <v>0</v>
      </c>
      <c r="AF83" s="121" t="n">
        <f aca="false">$D83*G83</f>
        <v>12097011.1281735</v>
      </c>
      <c r="AG83" s="121" t="n">
        <f aca="false">$D83*H83</f>
        <v>0</v>
      </c>
      <c r="AH83" s="121" t="n">
        <f aca="false">$D83*I83</f>
        <v>0</v>
      </c>
      <c r="AI83" s="121" t="n">
        <f aca="false">$D83*J83</f>
        <v>0</v>
      </c>
      <c r="AJ83" s="121" t="n">
        <f aca="false">$D83*K83</f>
        <v>0</v>
      </c>
      <c r="AK83" s="121" t="n">
        <f aca="false">$D83*L83</f>
        <v>0</v>
      </c>
      <c r="AL83" s="121" t="n">
        <f aca="false">$D83*M83</f>
        <v>0</v>
      </c>
      <c r="AM83" s="139"/>
      <c r="AO83" s="75" t="e">
        <f aca="false">EURO(N83,O83,Z83,Z83,R83,U83,1,0)</f>
        <v>#NAME?</v>
      </c>
      <c r="AP83" s="138" t="e">
        <f aca="false">AO83*C83</f>
        <v>#NAME?</v>
      </c>
      <c r="AQ83" s="61" t="e">
        <f aca="false">EURO(N83,O83,Z83,Z83,R83,U83,1,1)</f>
        <v>#NAME?</v>
      </c>
      <c r="AR83" s="61" t="e">
        <f aca="false">AQ83+Put!AQ83</f>
        <v>#NAME?</v>
      </c>
      <c r="AS83" s="138" t="e">
        <f aca="false">AR83*C83</f>
        <v>#NAME?</v>
      </c>
      <c r="AT83" s="120" t="e">
        <f aca="false">AS83/10000</f>
        <v>#NAME?</v>
      </c>
    </row>
    <row r="84" customFormat="false" ht="12.75" hidden="false" customHeight="false" outlineLevel="0" collapsed="false">
      <c r="A84" s="127" t="n">
        <f aca="false">EDATE(A83,1)</f>
        <v>42430</v>
      </c>
      <c r="B84" s="128" t="n">
        <f aca="false">B83</f>
        <v>205479</v>
      </c>
      <c r="C84" s="116" t="n">
        <f aca="false">IF(AB84=0,0,IF(AND(AB84=1,$H$3=1),B84*W84,IF($H$3=2,B84,"N/A")))</f>
        <v>6369849</v>
      </c>
      <c r="D84" s="116" t="n">
        <f aca="false">C84*AA84</f>
        <v>2477621.70567579</v>
      </c>
      <c r="E84" s="129" t="n">
        <f aca="false">VLOOKUP($A84,[1]!CurveTable,MATCH($E$4,[1]!CurveType,0))</f>
        <v>5.051</v>
      </c>
      <c r="F84" s="130"/>
      <c r="G84" s="131" t="n">
        <f aca="false">E84</f>
        <v>5.051</v>
      </c>
      <c r="H84" s="129" t="n">
        <f aca="false">VLOOKUP($A84,[1]!CurveTable,MATCH($H$4,[1]!CurveType,0))</f>
        <v>0</v>
      </c>
      <c r="I84" s="131"/>
      <c r="J84" s="131" t="n">
        <f aca="false">H84</f>
        <v>0</v>
      </c>
      <c r="K84" s="129"/>
      <c r="L84" s="131"/>
      <c r="M84" s="131"/>
      <c r="N84" s="131" t="n">
        <f aca="false">G84+J84+M84+$N$7</f>
        <v>4.761</v>
      </c>
      <c r="O84" s="131" t="n">
        <f aca="false">Summary!$E$16</f>
        <v>9.81903240236408</v>
      </c>
      <c r="P84" s="131"/>
      <c r="Q84" s="129" t="n">
        <f aca="false">VLOOKUP($A84,[1]!CurveTable,MATCH($Q$4,[1]!CurveType,0))</f>
        <v>0.17</v>
      </c>
      <c r="R84" s="129" t="n">
        <f aca="false">Q84+Summary!$C$26</f>
        <v>0.17</v>
      </c>
      <c r="S84" s="129"/>
      <c r="T84" s="132" t="n">
        <f aca="false">X84</f>
        <v>42430</v>
      </c>
      <c r="U84" s="133" t="n">
        <f aca="false">T84-$C$3</f>
        <v>5425</v>
      </c>
      <c r="W84" s="61" t="n">
        <f aca="false">A85-A84</f>
        <v>31</v>
      </c>
      <c r="X84" s="135" t="n">
        <f aca="false">CHOOSE(F$3,A85+24,A84)</f>
        <v>42430</v>
      </c>
      <c r="Y84" s="61" t="n">
        <f aca="false">X84-C$3</f>
        <v>5425</v>
      </c>
      <c r="Z84" s="136" t="n">
        <f aca="false">VLOOKUP($A84,[1]!CurveTable,MATCH($Z$4,[1]!CurveType,0))</f>
        <v>0.064596745902751</v>
      </c>
      <c r="AA84" s="137" t="n">
        <f aca="false">1/(1+CHOOSE(F$3,(Z85+($K$3/10000))/2,(Z84+($K$3/10000))/2))^(2*Y84/365.25)</f>
        <v>0.3889608224113</v>
      </c>
      <c r="AB84" s="61" t="n">
        <f aca="false">IF(AND(mthbeg&lt;=A84,mthend&gt;=A84),1,0)</f>
        <v>1</v>
      </c>
      <c r="AC84" s="61" t="n">
        <f aca="false">W84*AB84</f>
        <v>31</v>
      </c>
      <c r="AD84" s="121" t="n">
        <f aca="false">$D84*E84</f>
        <v>12514467.2353684</v>
      </c>
      <c r="AE84" s="121" t="n">
        <f aca="false">$D84*F84</f>
        <v>0</v>
      </c>
      <c r="AF84" s="121" t="n">
        <f aca="false">$D84*G84</f>
        <v>12514467.2353684</v>
      </c>
      <c r="AG84" s="121" t="n">
        <f aca="false">$D84*H84</f>
        <v>0</v>
      </c>
      <c r="AH84" s="121" t="n">
        <f aca="false">$D84*I84</f>
        <v>0</v>
      </c>
      <c r="AI84" s="121" t="n">
        <f aca="false">$D84*J84</f>
        <v>0</v>
      </c>
      <c r="AJ84" s="121" t="n">
        <f aca="false">$D84*K84</f>
        <v>0</v>
      </c>
      <c r="AK84" s="121" t="n">
        <f aca="false">$D84*L84</f>
        <v>0</v>
      </c>
      <c r="AL84" s="121" t="n">
        <f aca="false">$D84*M84</f>
        <v>0</v>
      </c>
      <c r="AM84" s="139"/>
      <c r="AO84" s="75" t="e">
        <f aca="false">EURO(N84,O84,Z84,Z84,R84,U84,1,0)</f>
        <v>#NAME?</v>
      </c>
      <c r="AP84" s="138" t="e">
        <f aca="false">AO84*C84</f>
        <v>#NAME?</v>
      </c>
      <c r="AQ84" s="61" t="e">
        <f aca="false">EURO(N84,O84,Z84,Z84,R84,U84,1,1)</f>
        <v>#NAME?</v>
      </c>
      <c r="AR84" s="61" t="e">
        <f aca="false">AQ84+Put!AQ84</f>
        <v>#NAME?</v>
      </c>
      <c r="AS84" s="138" t="e">
        <f aca="false">AR84*C84</f>
        <v>#NAME?</v>
      </c>
      <c r="AT84" s="120" t="e">
        <f aca="false">AS84/10000</f>
        <v>#NAME?</v>
      </c>
    </row>
    <row r="85" customFormat="false" ht="12.75" hidden="false" customHeight="false" outlineLevel="0" collapsed="false">
      <c r="A85" s="127" t="n">
        <f aca="false">EDATE(A84,1)</f>
        <v>42461</v>
      </c>
      <c r="B85" s="128" t="n">
        <f aca="false">B84</f>
        <v>205479</v>
      </c>
      <c r="C85" s="116" t="n">
        <f aca="false">IF(AB85=0,0,IF(AND(AB85=1,$H$3=1),B85*W85,IF($H$3=2,B85,"N/A")))</f>
        <v>6164370</v>
      </c>
      <c r="D85" s="116" t="n">
        <f aca="false">C85*AA85</f>
        <v>2383328.83707222</v>
      </c>
      <c r="E85" s="129" t="n">
        <f aca="false">VLOOKUP($A85,[1]!CurveTable,MATCH($E$4,[1]!CurveType,0))</f>
        <v>4.881</v>
      </c>
      <c r="F85" s="130"/>
      <c r="G85" s="131" t="n">
        <f aca="false">E85</f>
        <v>4.881</v>
      </c>
      <c r="H85" s="129" t="n">
        <f aca="false">VLOOKUP($A85,[1]!CurveTable,MATCH($H$4,[1]!CurveType,0))</f>
        <v>0</v>
      </c>
      <c r="I85" s="131"/>
      <c r="J85" s="131" t="n">
        <f aca="false">H85</f>
        <v>0</v>
      </c>
      <c r="K85" s="129"/>
      <c r="L85" s="131"/>
      <c r="M85" s="131"/>
      <c r="N85" s="131" t="n">
        <f aca="false">G85+J85+M85+$N$7</f>
        <v>4.591</v>
      </c>
      <c r="O85" s="131" t="n">
        <f aca="false">Summary!$E$16</f>
        <v>9.81903240236408</v>
      </c>
      <c r="P85" s="131"/>
      <c r="Q85" s="129" t="n">
        <f aca="false">VLOOKUP($A85,[1]!CurveTable,MATCH($Q$4,[1]!CurveType,0))</f>
        <v>0.17</v>
      </c>
      <c r="R85" s="129" t="n">
        <f aca="false">Q85+Summary!$C$26</f>
        <v>0.17</v>
      </c>
      <c r="S85" s="129"/>
      <c r="T85" s="132" t="n">
        <f aca="false">X85</f>
        <v>42461</v>
      </c>
      <c r="U85" s="133" t="n">
        <f aca="false">T85-$C$3</f>
        <v>5456</v>
      </c>
      <c r="W85" s="61" t="n">
        <f aca="false">A86-A85</f>
        <v>30</v>
      </c>
      <c r="X85" s="135" t="n">
        <f aca="false">CHOOSE(F$3,A86+24,A85)</f>
        <v>42461</v>
      </c>
      <c r="Y85" s="61" t="n">
        <f aca="false">X85-C$3</f>
        <v>5456</v>
      </c>
      <c r="Z85" s="136" t="n">
        <f aca="false">VLOOKUP($A85,[1]!CurveTable,MATCH($Z$4,[1]!CurveType,0))</f>
        <v>0.0646392636048354</v>
      </c>
      <c r="AA85" s="137" t="n">
        <f aca="false">1/(1+CHOOSE(F$3,(Z86+($K$3/10000))/2,(Z85+($K$3/10000))/2))^(2*Y85/365.25)</f>
        <v>0.386629750821612</v>
      </c>
      <c r="AB85" s="61" t="n">
        <f aca="false">IF(AND(mthbeg&lt;=A85,mthend&gt;=A85),1,0)</f>
        <v>1</v>
      </c>
      <c r="AC85" s="61" t="n">
        <f aca="false">W85*AB85</f>
        <v>30</v>
      </c>
      <c r="AD85" s="121" t="n">
        <f aca="false">$D85*E85</f>
        <v>11633028.0537495</v>
      </c>
      <c r="AE85" s="121" t="n">
        <f aca="false">$D85*F85</f>
        <v>0</v>
      </c>
      <c r="AF85" s="121" t="n">
        <f aca="false">$D85*G85</f>
        <v>11633028.0537495</v>
      </c>
      <c r="AG85" s="121" t="n">
        <f aca="false">$D85*H85</f>
        <v>0</v>
      </c>
      <c r="AH85" s="121" t="n">
        <f aca="false">$D85*I85</f>
        <v>0</v>
      </c>
      <c r="AI85" s="121" t="n">
        <f aca="false">$D85*J85</f>
        <v>0</v>
      </c>
      <c r="AJ85" s="121" t="n">
        <f aca="false">$D85*K85</f>
        <v>0</v>
      </c>
      <c r="AK85" s="121" t="n">
        <f aca="false">$D85*L85</f>
        <v>0</v>
      </c>
      <c r="AL85" s="121" t="n">
        <f aca="false">$D85*M85</f>
        <v>0</v>
      </c>
      <c r="AM85" s="139"/>
      <c r="AO85" s="75" t="e">
        <f aca="false">EURO(N85,O85,Z85,Z85,R85,U85,1,0)</f>
        <v>#NAME?</v>
      </c>
      <c r="AP85" s="138" t="e">
        <f aca="false">AO85*C85</f>
        <v>#NAME?</v>
      </c>
      <c r="AQ85" s="61" t="e">
        <f aca="false">EURO(N85,O85,Z85,Z85,R85,U85,1,1)</f>
        <v>#NAME?</v>
      </c>
      <c r="AR85" s="61" t="e">
        <f aca="false">AQ85+Put!AQ85</f>
        <v>#NAME?</v>
      </c>
      <c r="AS85" s="138" t="e">
        <f aca="false">AR85*C85</f>
        <v>#NAME?</v>
      </c>
      <c r="AT85" s="120" t="e">
        <f aca="false">AS85/10000</f>
        <v>#NAME?</v>
      </c>
    </row>
    <row r="86" customFormat="false" ht="12.75" hidden="false" customHeight="false" outlineLevel="0" collapsed="false">
      <c r="A86" s="127" t="n">
        <f aca="false">EDATE(A85,1)</f>
        <v>42491</v>
      </c>
      <c r="B86" s="128" t="n">
        <f aca="false">B85</f>
        <v>205479</v>
      </c>
      <c r="C86" s="116" t="n">
        <f aca="false">IF(AB86=0,0,IF(AND(AB86=1,$H$3=1),B86*W86,IF($H$3=2,B86,"N/A")))</f>
        <v>6369849</v>
      </c>
      <c r="D86" s="116" t="n">
        <f aca="false">C86*AA86</f>
        <v>2448472.00923034</v>
      </c>
      <c r="E86" s="129" t="n">
        <f aca="false">VLOOKUP($A86,[1]!CurveTable,MATCH($E$4,[1]!CurveType,0))</f>
        <v>4.94</v>
      </c>
      <c r="F86" s="130"/>
      <c r="G86" s="131" t="n">
        <f aca="false">E86</f>
        <v>4.94</v>
      </c>
      <c r="H86" s="129" t="n">
        <f aca="false">VLOOKUP($A86,[1]!CurveTable,MATCH($H$4,[1]!CurveType,0))</f>
        <v>0</v>
      </c>
      <c r="I86" s="131"/>
      <c r="J86" s="131" t="n">
        <f aca="false">H86</f>
        <v>0</v>
      </c>
      <c r="K86" s="129"/>
      <c r="L86" s="131"/>
      <c r="M86" s="131"/>
      <c r="N86" s="131" t="n">
        <f aca="false">G86+J86+M86+$N$7</f>
        <v>4.65</v>
      </c>
      <c r="O86" s="131" t="n">
        <f aca="false">Summary!$E$16</f>
        <v>9.81903240236408</v>
      </c>
      <c r="P86" s="131"/>
      <c r="Q86" s="129" t="n">
        <f aca="false">VLOOKUP($A86,[1]!CurveTable,MATCH($Q$4,[1]!CurveType,0))</f>
        <v>0.17</v>
      </c>
      <c r="R86" s="129" t="n">
        <f aca="false">Q86+Summary!$C$26</f>
        <v>0.17</v>
      </c>
      <c r="S86" s="129"/>
      <c r="T86" s="132" t="n">
        <f aca="false">X86</f>
        <v>42491</v>
      </c>
      <c r="U86" s="133" t="n">
        <f aca="false">T86-$C$3</f>
        <v>5486</v>
      </c>
      <c r="W86" s="61" t="n">
        <f aca="false">A87-A86</f>
        <v>31</v>
      </c>
      <c r="X86" s="135" t="n">
        <f aca="false">CHOOSE(F$3,A87+24,A86)</f>
        <v>42491</v>
      </c>
      <c r="Y86" s="61" t="n">
        <f aca="false">X86-C$3</f>
        <v>5486</v>
      </c>
      <c r="Z86" s="136" t="n">
        <f aca="false">VLOOKUP($A86,[1]!CurveTable,MATCH($Z$4,[1]!CurveType,0))</f>
        <v>0.0646804097687132</v>
      </c>
      <c r="AA86" s="137" t="n">
        <f aca="false">1/(1+CHOOSE(F$3,(Z87+($K$3/10000))/2,(Z86+($K$3/10000))/2))^(2*Y86/365.25)</f>
        <v>0.384384623439321</v>
      </c>
      <c r="AB86" s="61" t="n">
        <f aca="false">IF(AND(mthbeg&lt;=A86,mthend&gt;=A86),1,0)</f>
        <v>1</v>
      </c>
      <c r="AC86" s="61" t="n">
        <f aca="false">W86*AB86</f>
        <v>31</v>
      </c>
      <c r="AD86" s="121" t="n">
        <f aca="false">$D86*E86</f>
        <v>12095451.7255979</v>
      </c>
      <c r="AE86" s="121" t="n">
        <f aca="false">$D86*F86</f>
        <v>0</v>
      </c>
      <c r="AF86" s="121" t="n">
        <f aca="false">$D86*G86</f>
        <v>12095451.7255979</v>
      </c>
      <c r="AG86" s="121" t="n">
        <f aca="false">$D86*H86</f>
        <v>0</v>
      </c>
      <c r="AH86" s="121" t="n">
        <f aca="false">$D86*I86</f>
        <v>0</v>
      </c>
      <c r="AI86" s="121" t="n">
        <f aca="false">$D86*J86</f>
        <v>0</v>
      </c>
      <c r="AJ86" s="121" t="n">
        <f aca="false">$D86*K86</f>
        <v>0</v>
      </c>
      <c r="AK86" s="121" t="n">
        <f aca="false">$D86*L86</f>
        <v>0</v>
      </c>
      <c r="AL86" s="121" t="n">
        <f aca="false">$D86*M86</f>
        <v>0</v>
      </c>
      <c r="AM86" s="139"/>
      <c r="AO86" s="75" t="e">
        <f aca="false">EURO(N86,O86,Z86,Z86,R86,U86,1,0)</f>
        <v>#NAME?</v>
      </c>
      <c r="AP86" s="138" t="e">
        <f aca="false">AO86*C86</f>
        <v>#NAME?</v>
      </c>
      <c r="AQ86" s="61" t="e">
        <f aca="false">EURO(N86,O86,Z86,Z86,R86,U86,1,1)</f>
        <v>#NAME?</v>
      </c>
      <c r="AR86" s="61" t="e">
        <f aca="false">AQ86+Put!AQ86</f>
        <v>#NAME?</v>
      </c>
      <c r="AS86" s="138" t="e">
        <f aca="false">AR86*C86</f>
        <v>#NAME?</v>
      </c>
      <c r="AT86" s="120" t="e">
        <f aca="false">AS86/10000</f>
        <v>#NAME?</v>
      </c>
    </row>
    <row r="87" customFormat="false" ht="12.75" hidden="false" customHeight="false" outlineLevel="0" collapsed="false">
      <c r="A87" s="127" t="n">
        <f aca="false">EDATE(A86,1)</f>
        <v>42522</v>
      </c>
      <c r="B87" s="128" t="n">
        <f aca="false">B86</f>
        <v>205479</v>
      </c>
      <c r="C87" s="116" t="n">
        <f aca="false">IF(AB87=0,0,IF(AND(AB87=1,$H$3=1),B87*W87,IF($H$3=2,B87,"N/A")))</f>
        <v>6164370</v>
      </c>
      <c r="D87" s="116" t="n">
        <f aca="false">C87*AA87</f>
        <v>2355256.17195219</v>
      </c>
      <c r="E87" s="129" t="n">
        <f aca="false">VLOOKUP($A87,[1]!CurveTable,MATCH($E$4,[1]!CurveType,0))</f>
        <v>4.98</v>
      </c>
      <c r="F87" s="130"/>
      <c r="G87" s="131" t="n">
        <f aca="false">E87</f>
        <v>4.98</v>
      </c>
      <c r="H87" s="129" t="n">
        <f aca="false">VLOOKUP($A87,[1]!CurveTable,MATCH($H$4,[1]!CurveType,0))</f>
        <v>0</v>
      </c>
      <c r="I87" s="131"/>
      <c r="J87" s="131" t="n">
        <f aca="false">H87</f>
        <v>0</v>
      </c>
      <c r="K87" s="129"/>
      <c r="L87" s="131"/>
      <c r="M87" s="131"/>
      <c r="N87" s="131" t="n">
        <f aca="false">G87+J87+M87+$N$7</f>
        <v>4.69</v>
      </c>
      <c r="O87" s="131" t="n">
        <f aca="false">Summary!$E$16</f>
        <v>9.81903240236408</v>
      </c>
      <c r="P87" s="131"/>
      <c r="Q87" s="129" t="n">
        <f aca="false">VLOOKUP($A87,[1]!CurveTable,MATCH($Q$4,[1]!CurveType,0))</f>
        <v>0.17</v>
      </c>
      <c r="R87" s="129" t="n">
        <f aca="false">Q87+Summary!$C$26</f>
        <v>0.17</v>
      </c>
      <c r="S87" s="129"/>
      <c r="T87" s="132" t="n">
        <f aca="false">X87</f>
        <v>42522</v>
      </c>
      <c r="U87" s="133" t="n">
        <f aca="false">T87-$C$3</f>
        <v>5517</v>
      </c>
      <c r="W87" s="61" t="n">
        <f aca="false">A88-A87</f>
        <v>30</v>
      </c>
      <c r="X87" s="135" t="n">
        <f aca="false">CHOOSE(F$3,A88+24,A87)</f>
        <v>42522</v>
      </c>
      <c r="Y87" s="61" t="n">
        <f aca="false">X87-C$3</f>
        <v>5517</v>
      </c>
      <c r="Z87" s="136" t="n">
        <f aca="false">VLOOKUP($A87,[1]!CurveTable,MATCH($Z$4,[1]!CurveType,0))</f>
        <v>0.0647229274719767</v>
      </c>
      <c r="AA87" s="137" t="n">
        <f aca="false">1/(1+CHOOSE(F$3,(Z88+($K$3/10000))/2,(Z87+($K$3/10000))/2))^(2*Y87/365.25)</f>
        <v>0.382075730683297</v>
      </c>
      <c r="AB87" s="61" t="n">
        <f aca="false">IF(AND(mthbeg&lt;=A87,mthend&gt;=A87),1,0)</f>
        <v>1</v>
      </c>
      <c r="AC87" s="61" t="n">
        <f aca="false">W87*AB87</f>
        <v>30</v>
      </c>
      <c r="AD87" s="121" t="n">
        <f aca="false">$D87*E87</f>
        <v>11729175.7363219</v>
      </c>
      <c r="AE87" s="121" t="n">
        <f aca="false">$D87*F87</f>
        <v>0</v>
      </c>
      <c r="AF87" s="121" t="n">
        <f aca="false">$D87*G87</f>
        <v>11729175.7363219</v>
      </c>
      <c r="AG87" s="121" t="n">
        <f aca="false">$D87*H87</f>
        <v>0</v>
      </c>
      <c r="AH87" s="121" t="n">
        <f aca="false">$D87*I87</f>
        <v>0</v>
      </c>
      <c r="AI87" s="121" t="n">
        <f aca="false">$D87*J87</f>
        <v>0</v>
      </c>
      <c r="AJ87" s="121" t="n">
        <f aca="false">$D87*K87</f>
        <v>0</v>
      </c>
      <c r="AK87" s="121" t="n">
        <f aca="false">$D87*L87</f>
        <v>0</v>
      </c>
      <c r="AL87" s="121" t="n">
        <f aca="false">$D87*M87</f>
        <v>0</v>
      </c>
      <c r="AM87" s="139"/>
      <c r="AO87" s="75" t="e">
        <f aca="false">EURO(N87,O87,Z87,Z87,R87,U87,1,0)</f>
        <v>#NAME?</v>
      </c>
      <c r="AP87" s="138" t="e">
        <f aca="false">AO87*C87</f>
        <v>#NAME?</v>
      </c>
      <c r="AQ87" s="61" t="e">
        <f aca="false">EURO(N87,O87,Z87,Z87,R87,U87,1,1)</f>
        <v>#NAME?</v>
      </c>
      <c r="AR87" s="61" t="e">
        <f aca="false">AQ87+Put!AQ87</f>
        <v>#NAME?</v>
      </c>
      <c r="AS87" s="138" t="e">
        <f aca="false">AR87*C87</f>
        <v>#NAME?</v>
      </c>
      <c r="AT87" s="120" t="e">
        <f aca="false">AS87/10000</f>
        <v>#NAME?</v>
      </c>
    </row>
    <row r="88" customFormat="false" ht="12.75" hidden="false" customHeight="false" outlineLevel="0" collapsed="false">
      <c r="A88" s="127" t="n">
        <f aca="false">EDATE(A87,1)</f>
        <v>42552</v>
      </c>
      <c r="B88" s="128" t="n">
        <f aca="false">B87</f>
        <v>205479</v>
      </c>
      <c r="C88" s="116" t="n">
        <f aca="false">IF(AB88=0,0,IF(AND(AB88=1,$H$3=1),B88*W88,IF($H$3=2,B88,"N/A")))</f>
        <v>6369849</v>
      </c>
      <c r="D88" s="116" t="n">
        <f aca="false">C88*AA88</f>
        <v>2419599.88492534</v>
      </c>
      <c r="E88" s="129" t="n">
        <f aca="false">VLOOKUP($A88,[1]!CurveTable,MATCH($E$4,[1]!CurveType,0))</f>
        <v>5.025</v>
      </c>
      <c r="F88" s="130"/>
      <c r="G88" s="131" t="n">
        <f aca="false">E88</f>
        <v>5.025</v>
      </c>
      <c r="H88" s="129" t="n">
        <f aca="false">VLOOKUP($A88,[1]!CurveTable,MATCH($H$4,[1]!CurveType,0))</f>
        <v>0</v>
      </c>
      <c r="I88" s="131"/>
      <c r="J88" s="131" t="n">
        <f aca="false">H88</f>
        <v>0</v>
      </c>
      <c r="K88" s="129"/>
      <c r="L88" s="131"/>
      <c r="M88" s="131"/>
      <c r="N88" s="131" t="n">
        <f aca="false">G88+J88+M88+$N$7</f>
        <v>4.735</v>
      </c>
      <c r="O88" s="131" t="n">
        <f aca="false">Summary!$E$16</f>
        <v>9.81903240236408</v>
      </c>
      <c r="P88" s="131"/>
      <c r="Q88" s="129" t="n">
        <f aca="false">VLOOKUP($A88,[1]!CurveTable,MATCH($Q$4,[1]!CurveType,0))</f>
        <v>0.17</v>
      </c>
      <c r="R88" s="129" t="n">
        <f aca="false">Q88+Summary!$C$26</f>
        <v>0.17</v>
      </c>
      <c r="S88" s="129"/>
      <c r="T88" s="132" t="n">
        <f aca="false">X88</f>
        <v>42552</v>
      </c>
      <c r="U88" s="133" t="n">
        <f aca="false">T88-$C$3</f>
        <v>5547</v>
      </c>
      <c r="W88" s="61" t="n">
        <f aca="false">A89-A88</f>
        <v>31</v>
      </c>
      <c r="X88" s="135" t="n">
        <f aca="false">CHOOSE(F$3,A89+24,A88)</f>
        <v>42552</v>
      </c>
      <c r="Y88" s="61" t="n">
        <f aca="false">X88-C$3</f>
        <v>5547</v>
      </c>
      <c r="Z88" s="136" t="n">
        <f aca="false">VLOOKUP($A88,[1]!CurveTable,MATCH($Z$4,[1]!CurveType,0))</f>
        <v>0.0647640736369959</v>
      </c>
      <c r="AA88" s="137" t="n">
        <f aca="false">1/(1+CHOOSE(F$3,(Z89+($K$3/10000))/2,(Z88+($K$3/10000))/2))^(2*Y88/365.25)</f>
        <v>0.379852000404616</v>
      </c>
      <c r="AB88" s="61" t="n">
        <f aca="false">IF(AND(mthbeg&lt;=A88,mthend&gt;=A88),1,0)</f>
        <v>1</v>
      </c>
      <c r="AC88" s="61" t="n">
        <f aca="false">W88*AB88</f>
        <v>31</v>
      </c>
      <c r="AD88" s="121" t="n">
        <f aca="false">$D88*E88</f>
        <v>12158489.4217498</v>
      </c>
      <c r="AE88" s="121" t="n">
        <f aca="false">$D88*F88</f>
        <v>0</v>
      </c>
      <c r="AF88" s="121" t="n">
        <f aca="false">$D88*G88</f>
        <v>12158489.4217498</v>
      </c>
      <c r="AG88" s="121" t="n">
        <f aca="false">$D88*H88</f>
        <v>0</v>
      </c>
      <c r="AH88" s="121" t="n">
        <f aca="false">$D88*I88</f>
        <v>0</v>
      </c>
      <c r="AI88" s="121" t="n">
        <f aca="false">$D88*J88</f>
        <v>0</v>
      </c>
      <c r="AJ88" s="121" t="n">
        <f aca="false">$D88*K88</f>
        <v>0</v>
      </c>
      <c r="AK88" s="121" t="n">
        <f aca="false">$D88*L88</f>
        <v>0</v>
      </c>
      <c r="AL88" s="121" t="n">
        <f aca="false">$D88*M88</f>
        <v>0</v>
      </c>
      <c r="AM88" s="139"/>
      <c r="AO88" s="75" t="e">
        <f aca="false">EURO(N88,O88,Z88,Z88,R88,U88,1,0)</f>
        <v>#NAME?</v>
      </c>
      <c r="AP88" s="138" t="e">
        <f aca="false">AO88*C88</f>
        <v>#NAME?</v>
      </c>
      <c r="AQ88" s="61" t="e">
        <f aca="false">EURO(N88,O88,Z88,Z88,R88,U88,1,1)</f>
        <v>#NAME?</v>
      </c>
      <c r="AR88" s="61" t="e">
        <f aca="false">AQ88+Put!AQ88</f>
        <v>#NAME?</v>
      </c>
      <c r="AS88" s="138" t="e">
        <f aca="false">AR88*C88</f>
        <v>#NAME?</v>
      </c>
      <c r="AT88" s="120" t="e">
        <f aca="false">AS88/10000</f>
        <v>#NAME?</v>
      </c>
    </row>
    <row r="89" customFormat="false" ht="12.75" hidden="false" customHeight="false" outlineLevel="0" collapsed="false">
      <c r="A89" s="127" t="n">
        <f aca="false">EDATE(A88,1)</f>
        <v>42583</v>
      </c>
      <c r="B89" s="128" t="n">
        <f aca="false">B88</f>
        <v>205479</v>
      </c>
      <c r="C89" s="116" t="n">
        <f aca="false">IF(AB89=0,0,IF(AND(AB89=1,$H$3=1),B89*W89,IF($H$3=2,B89,"N/A")))</f>
        <v>6369849</v>
      </c>
      <c r="D89" s="116" t="n">
        <f aca="false">C89*AA89</f>
        <v>2405032.9896634</v>
      </c>
      <c r="E89" s="129" t="n">
        <f aca="false">VLOOKUP($A89,[1]!CurveTable,MATCH($E$4,[1]!CurveType,0))</f>
        <v>5.06</v>
      </c>
      <c r="F89" s="130"/>
      <c r="G89" s="131" t="n">
        <f aca="false">E89</f>
        <v>5.06</v>
      </c>
      <c r="H89" s="129" t="n">
        <f aca="false">VLOOKUP($A89,[1]!CurveTable,MATCH($H$4,[1]!CurveType,0))</f>
        <v>0</v>
      </c>
      <c r="I89" s="131"/>
      <c r="J89" s="131" t="n">
        <f aca="false">H89</f>
        <v>0</v>
      </c>
      <c r="K89" s="129"/>
      <c r="L89" s="131"/>
      <c r="M89" s="131"/>
      <c r="N89" s="131" t="n">
        <f aca="false">G89+J89+M89+$N$7</f>
        <v>4.77</v>
      </c>
      <c r="O89" s="131" t="n">
        <f aca="false">Summary!$E$16</f>
        <v>9.81903240236408</v>
      </c>
      <c r="P89" s="131"/>
      <c r="Q89" s="129" t="n">
        <f aca="false">VLOOKUP($A89,[1]!CurveTable,MATCH($Q$4,[1]!CurveType,0))</f>
        <v>0.17</v>
      </c>
      <c r="R89" s="129" t="n">
        <f aca="false">Q89+Summary!$C$26</f>
        <v>0.17</v>
      </c>
      <c r="S89" s="129"/>
      <c r="T89" s="132" t="n">
        <f aca="false">X89</f>
        <v>42583</v>
      </c>
      <c r="U89" s="133" t="n">
        <f aca="false">T89-$C$3</f>
        <v>5578</v>
      </c>
      <c r="W89" s="61" t="n">
        <f aca="false">A90-A89</f>
        <v>31</v>
      </c>
      <c r="X89" s="135" t="n">
        <f aca="false">CHOOSE(F$3,A90+24,A89)</f>
        <v>42583</v>
      </c>
      <c r="Y89" s="61" t="n">
        <f aca="false">X89-C$3</f>
        <v>5578</v>
      </c>
      <c r="Z89" s="136" t="n">
        <f aca="false">VLOOKUP($A89,[1]!CurveTable,MATCH($Z$4,[1]!CurveType,0))</f>
        <v>0.0648065913414388</v>
      </c>
      <c r="AA89" s="137" t="n">
        <f aca="false">1/(1+CHOOSE(F$3,(Z90+($K$3/10000))/2,(Z89+($K$3/10000))/2))^(2*Y89/365.25)</f>
        <v>0.377565149450701</v>
      </c>
      <c r="AB89" s="61" t="n">
        <f aca="false">IF(AND(mthbeg&lt;=A89,mthend&gt;=A89),1,0)</f>
        <v>1</v>
      </c>
      <c r="AC89" s="61" t="n">
        <f aca="false">W89*AB89</f>
        <v>31</v>
      </c>
      <c r="AD89" s="121" t="n">
        <f aca="false">$D89*E89</f>
        <v>12169466.9276968</v>
      </c>
      <c r="AE89" s="121" t="n">
        <f aca="false">$D89*F89</f>
        <v>0</v>
      </c>
      <c r="AF89" s="121" t="n">
        <f aca="false">$D89*G89</f>
        <v>12169466.9276968</v>
      </c>
      <c r="AG89" s="121" t="n">
        <f aca="false">$D89*H89</f>
        <v>0</v>
      </c>
      <c r="AH89" s="121" t="n">
        <f aca="false">$D89*I89</f>
        <v>0</v>
      </c>
      <c r="AI89" s="121" t="n">
        <f aca="false">$D89*J89</f>
        <v>0</v>
      </c>
      <c r="AJ89" s="121" t="n">
        <f aca="false">$D89*K89</f>
        <v>0</v>
      </c>
      <c r="AK89" s="121" t="n">
        <f aca="false">$D89*L89</f>
        <v>0</v>
      </c>
      <c r="AL89" s="121" t="n">
        <f aca="false">$D89*M89</f>
        <v>0</v>
      </c>
      <c r="AM89" s="139"/>
      <c r="AO89" s="75" t="e">
        <f aca="false">EURO(N89,O89,Z89,Z89,R89,U89,1,0)</f>
        <v>#NAME?</v>
      </c>
      <c r="AP89" s="138" t="e">
        <f aca="false">AO89*C89</f>
        <v>#NAME?</v>
      </c>
      <c r="AQ89" s="61" t="e">
        <f aca="false">EURO(N89,O89,Z89,Z89,R89,U89,1,1)</f>
        <v>#NAME?</v>
      </c>
      <c r="AR89" s="61" t="e">
        <f aca="false">AQ89+Put!AQ89</f>
        <v>#NAME?</v>
      </c>
      <c r="AS89" s="138" t="e">
        <f aca="false">AR89*C89</f>
        <v>#NAME?</v>
      </c>
      <c r="AT89" s="120" t="e">
        <f aca="false">AS89/10000</f>
        <v>#NAME?</v>
      </c>
    </row>
    <row r="90" customFormat="false" ht="12.75" hidden="false" customHeight="false" outlineLevel="0" collapsed="false">
      <c r="A90" s="127" t="n">
        <f aca="false">EDATE(A89,1)</f>
        <v>42614</v>
      </c>
      <c r="B90" s="128" t="n">
        <f aca="false">B89</f>
        <v>205479</v>
      </c>
      <c r="C90" s="116" t="n">
        <f aca="false">IF(AB90=0,0,IF(AND(AB90=1,$H$3=1),B90*W90,IF($H$3=2,B90,"N/A")))</f>
        <v>6164370</v>
      </c>
      <c r="D90" s="116" t="n">
        <f aca="false">C90*AA90</f>
        <v>2313423.01147565</v>
      </c>
      <c r="E90" s="129" t="n">
        <f aca="false">VLOOKUP($A90,[1]!CurveTable,MATCH($E$4,[1]!CurveType,0))</f>
        <v>5.065</v>
      </c>
      <c r="F90" s="130"/>
      <c r="G90" s="131" t="n">
        <f aca="false">E90</f>
        <v>5.065</v>
      </c>
      <c r="H90" s="129" t="n">
        <f aca="false">VLOOKUP($A90,[1]!CurveTable,MATCH($H$4,[1]!CurveType,0))</f>
        <v>0</v>
      </c>
      <c r="I90" s="131"/>
      <c r="J90" s="131" t="n">
        <f aca="false">H90</f>
        <v>0</v>
      </c>
      <c r="K90" s="129"/>
      <c r="L90" s="131"/>
      <c r="M90" s="131"/>
      <c r="N90" s="131" t="n">
        <f aca="false">G90+J90+M90+$N$7</f>
        <v>4.775</v>
      </c>
      <c r="O90" s="131" t="n">
        <f aca="false">Summary!$E$16</f>
        <v>9.81903240236408</v>
      </c>
      <c r="P90" s="131"/>
      <c r="Q90" s="129" t="n">
        <f aca="false">VLOOKUP($A90,[1]!CurveTable,MATCH($Q$4,[1]!CurveType,0))</f>
        <v>0.17</v>
      </c>
      <c r="R90" s="129" t="n">
        <f aca="false">Q90+Summary!$C$26</f>
        <v>0.17</v>
      </c>
      <c r="S90" s="129"/>
      <c r="T90" s="132" t="n">
        <f aca="false">X90</f>
        <v>42614</v>
      </c>
      <c r="U90" s="133" t="n">
        <f aca="false">T90-$C$3</f>
        <v>5609</v>
      </c>
      <c r="W90" s="61" t="n">
        <f aca="false">A91-A90</f>
        <v>30</v>
      </c>
      <c r="X90" s="135" t="n">
        <f aca="false">CHOOSE(F$3,A91+24,A90)</f>
        <v>42614</v>
      </c>
      <c r="Y90" s="61" t="n">
        <f aca="false">X90-C$3</f>
        <v>5609</v>
      </c>
      <c r="Z90" s="136" t="n">
        <f aca="false">VLOOKUP($A90,[1]!CurveTable,MATCH($Z$4,[1]!CurveType,0))</f>
        <v>0.0648491090464804</v>
      </c>
      <c r="AA90" s="137" t="n">
        <f aca="false">1/(1+CHOOSE(F$3,(Z91+($K$3/10000))/2,(Z90+($K$3/10000))/2))^(2*Y90/365.25)</f>
        <v>0.37528944749839</v>
      </c>
      <c r="AB90" s="61" t="n">
        <f aca="false">IF(AND(mthbeg&lt;=A90,mthend&gt;=A90),1,0)</f>
        <v>1</v>
      </c>
      <c r="AC90" s="61" t="n">
        <f aca="false">W90*AB90</f>
        <v>30</v>
      </c>
      <c r="AD90" s="121" t="n">
        <f aca="false">$D90*E90</f>
        <v>11717487.5531242</v>
      </c>
      <c r="AE90" s="121" t="n">
        <f aca="false">$D90*F90</f>
        <v>0</v>
      </c>
      <c r="AF90" s="121" t="n">
        <f aca="false">$D90*G90</f>
        <v>11717487.5531242</v>
      </c>
      <c r="AG90" s="121" t="n">
        <f aca="false">$D90*H90</f>
        <v>0</v>
      </c>
      <c r="AH90" s="121" t="n">
        <f aca="false">$D90*I90</f>
        <v>0</v>
      </c>
      <c r="AI90" s="121" t="n">
        <f aca="false">$D90*J90</f>
        <v>0</v>
      </c>
      <c r="AJ90" s="121" t="n">
        <f aca="false">$D90*K90</f>
        <v>0</v>
      </c>
      <c r="AK90" s="121" t="n">
        <f aca="false">$D90*L90</f>
        <v>0</v>
      </c>
      <c r="AL90" s="121" t="n">
        <f aca="false">$D90*M90</f>
        <v>0</v>
      </c>
      <c r="AM90" s="139"/>
      <c r="AO90" s="75" t="e">
        <f aca="false">EURO(N90,O90,Z90,Z90,R90,U90,1,0)</f>
        <v>#NAME?</v>
      </c>
      <c r="AP90" s="138" t="e">
        <f aca="false">AO90*C90</f>
        <v>#NAME?</v>
      </c>
      <c r="AQ90" s="61" t="e">
        <f aca="false">EURO(N90,O90,Z90,Z90,R90,U90,1,1)</f>
        <v>#NAME?</v>
      </c>
      <c r="AR90" s="61" t="e">
        <f aca="false">AQ90+Put!AQ90</f>
        <v>#NAME?</v>
      </c>
      <c r="AS90" s="138" t="e">
        <f aca="false">AR90*C90</f>
        <v>#NAME?</v>
      </c>
      <c r="AT90" s="120" t="e">
        <f aca="false">AS90/10000</f>
        <v>#NAME?</v>
      </c>
    </row>
    <row r="91" customFormat="false" ht="12.75" hidden="false" customHeight="false" outlineLevel="0" collapsed="false">
      <c r="A91" s="127" t="n">
        <f aca="false">EDATE(A90,1)</f>
        <v>42644</v>
      </c>
      <c r="B91" s="128" t="n">
        <f aca="false">B90</f>
        <v>205479</v>
      </c>
      <c r="C91" s="116" t="n">
        <f aca="false">IF(AB91=0,0,IF(AND(AB91=1,$H$3=1),B91*W91,IF($H$3=2,B91,"N/A")))</f>
        <v>6369849</v>
      </c>
      <c r="D91" s="116" t="n">
        <f aca="false">C91*AA91</f>
        <v>2376576.24837087</v>
      </c>
      <c r="E91" s="129" t="n">
        <f aca="false">VLOOKUP($A91,[1]!CurveTable,MATCH($E$4,[1]!CurveType,0))</f>
        <v>5.095</v>
      </c>
      <c r="F91" s="130"/>
      <c r="G91" s="131" t="n">
        <f aca="false">E91</f>
        <v>5.095</v>
      </c>
      <c r="H91" s="129" t="n">
        <f aca="false">VLOOKUP($A91,[1]!CurveTable,MATCH($H$4,[1]!CurveType,0))</f>
        <v>0</v>
      </c>
      <c r="I91" s="131"/>
      <c r="J91" s="131" t="n">
        <f aca="false">H91</f>
        <v>0</v>
      </c>
      <c r="K91" s="129"/>
      <c r="L91" s="131"/>
      <c r="M91" s="131"/>
      <c r="N91" s="131" t="n">
        <f aca="false">G91+J91+M91+$N$7</f>
        <v>4.805</v>
      </c>
      <c r="O91" s="131" t="n">
        <f aca="false">Summary!$E$16</f>
        <v>9.81903240236408</v>
      </c>
      <c r="P91" s="131"/>
      <c r="Q91" s="129" t="n">
        <f aca="false">VLOOKUP($A91,[1]!CurveTable,MATCH($Q$4,[1]!CurveType,0))</f>
        <v>0.17</v>
      </c>
      <c r="R91" s="129" t="n">
        <f aca="false">Q91+Summary!$C$26</f>
        <v>0.17</v>
      </c>
      <c r="S91" s="129"/>
      <c r="T91" s="132" t="n">
        <f aca="false">X91</f>
        <v>42644</v>
      </c>
      <c r="U91" s="133" t="n">
        <f aca="false">T91-$C$3</f>
        <v>5639</v>
      </c>
      <c r="W91" s="61" t="n">
        <f aca="false">A92-A91</f>
        <v>31</v>
      </c>
      <c r="X91" s="135" t="n">
        <f aca="false">CHOOSE(F$3,A92+24,A91)</f>
        <v>42644</v>
      </c>
      <c r="Y91" s="61" t="n">
        <f aca="false">X91-C$3</f>
        <v>5639</v>
      </c>
      <c r="Z91" s="136" t="n">
        <f aca="false">VLOOKUP($A91,[1]!CurveTable,MATCH($Z$4,[1]!CurveType,0))</f>
        <v>0.0648902552132204</v>
      </c>
      <c r="AA91" s="137" t="n">
        <f aca="false">1/(1+CHOOSE(F$3,(Z92+($K$3/10000))/2,(Z91+($K$3/10000))/2))^(2*Y91/365.25)</f>
        <v>0.373097737225933</v>
      </c>
      <c r="AB91" s="61" t="n">
        <f aca="false">IF(AND(mthbeg&lt;=A91,mthend&gt;=A91),1,0)</f>
        <v>1</v>
      </c>
      <c r="AC91" s="61" t="n">
        <f aca="false">W91*AB91</f>
        <v>31</v>
      </c>
      <c r="AD91" s="121" t="n">
        <f aca="false">$D91*E91</f>
        <v>12108655.9854496</v>
      </c>
      <c r="AE91" s="121" t="n">
        <f aca="false">$D91*F91</f>
        <v>0</v>
      </c>
      <c r="AF91" s="121" t="n">
        <f aca="false">$D91*G91</f>
        <v>12108655.9854496</v>
      </c>
      <c r="AG91" s="121" t="n">
        <f aca="false">$D91*H91</f>
        <v>0</v>
      </c>
      <c r="AH91" s="121" t="n">
        <f aca="false">$D91*I91</f>
        <v>0</v>
      </c>
      <c r="AI91" s="121" t="n">
        <f aca="false">$D91*J91</f>
        <v>0</v>
      </c>
      <c r="AJ91" s="121" t="n">
        <f aca="false">$D91*K91</f>
        <v>0</v>
      </c>
      <c r="AK91" s="121" t="n">
        <f aca="false">$D91*L91</f>
        <v>0</v>
      </c>
      <c r="AL91" s="121" t="n">
        <f aca="false">$D91*M91</f>
        <v>0</v>
      </c>
      <c r="AM91" s="139"/>
      <c r="AO91" s="75" t="e">
        <f aca="false">EURO(N91,O91,Z91,Z91,R91,U91,1,0)</f>
        <v>#NAME?</v>
      </c>
      <c r="AP91" s="138" t="e">
        <f aca="false">AO91*C91</f>
        <v>#NAME?</v>
      </c>
      <c r="AQ91" s="61" t="e">
        <f aca="false">EURO(N91,O91,Z91,Z91,R91,U91,1,1)</f>
        <v>#NAME?</v>
      </c>
      <c r="AR91" s="61" t="e">
        <f aca="false">AQ91+Put!AQ91</f>
        <v>#NAME?</v>
      </c>
      <c r="AS91" s="138" t="e">
        <f aca="false">AR91*C91</f>
        <v>#NAME?</v>
      </c>
      <c r="AT91" s="120" t="e">
        <f aca="false">AS91/10000</f>
        <v>#NAME?</v>
      </c>
    </row>
    <row r="92" customFormat="false" ht="12.75" hidden="false" customHeight="false" outlineLevel="0" collapsed="false">
      <c r="A92" s="127" t="n">
        <f aca="false">EDATE(A91,1)</f>
        <v>42675</v>
      </c>
      <c r="B92" s="128" t="n">
        <f aca="false">B91</f>
        <v>205479</v>
      </c>
      <c r="C92" s="116" t="n">
        <f aca="false">IF(AB92=0,0,IF(AND(AB92=1,$H$3=1),B92*W92,IF($H$3=2,B92,"N/A")))</f>
        <v>6164370</v>
      </c>
      <c r="D92" s="116" t="n">
        <f aca="false">C92*AA92</f>
        <v>2286018.82745456</v>
      </c>
      <c r="E92" s="129" t="n">
        <f aca="false">VLOOKUP($A92,[1]!CurveTable,MATCH($E$4,[1]!CurveType,0))</f>
        <v>5.205</v>
      </c>
      <c r="F92" s="130"/>
      <c r="G92" s="131" t="n">
        <f aca="false">E92</f>
        <v>5.205</v>
      </c>
      <c r="H92" s="129" t="n">
        <f aca="false">VLOOKUP($A92,[1]!CurveTable,MATCH($H$4,[1]!CurveType,0))</f>
        <v>0</v>
      </c>
      <c r="I92" s="131"/>
      <c r="J92" s="131" t="n">
        <f aca="false">H92</f>
        <v>0</v>
      </c>
      <c r="K92" s="129"/>
      <c r="L92" s="131"/>
      <c r="M92" s="131"/>
      <c r="N92" s="131" t="n">
        <f aca="false">G92+J92+M92+$N$7</f>
        <v>4.915</v>
      </c>
      <c r="O92" s="131" t="n">
        <f aca="false">Summary!$E$16</f>
        <v>9.81903240236408</v>
      </c>
      <c r="P92" s="131"/>
      <c r="Q92" s="129" t="n">
        <f aca="false">VLOOKUP($A92,[1]!CurveTable,MATCH($Q$4,[1]!CurveType,0))</f>
        <v>0.17</v>
      </c>
      <c r="R92" s="129" t="n">
        <f aca="false">Q92+Summary!$C$26</f>
        <v>0.17</v>
      </c>
      <c r="S92" s="129"/>
      <c r="T92" s="132" t="n">
        <f aca="false">X92</f>
        <v>42675</v>
      </c>
      <c r="U92" s="133" t="n">
        <f aca="false">T92-$C$3</f>
        <v>5670</v>
      </c>
      <c r="W92" s="61" t="n">
        <f aca="false">A93-A92</f>
        <v>30</v>
      </c>
      <c r="X92" s="135" t="n">
        <f aca="false">CHOOSE(F$3,A93+24,A92)</f>
        <v>42675</v>
      </c>
      <c r="Y92" s="61" t="n">
        <f aca="false">X92-C$3</f>
        <v>5670</v>
      </c>
      <c r="Z92" s="136" t="n">
        <f aca="false">VLOOKUP($A92,[1]!CurveTable,MATCH($Z$4,[1]!CurveType,0))</f>
        <v>0.0649327729194416</v>
      </c>
      <c r="AA92" s="137" t="n">
        <f aca="false">1/(1+CHOOSE(F$3,(Z93+($K$3/10000))/2,(Z92+($K$3/10000))/2))^(2*Y92/365.25)</f>
        <v>0.370843870088031</v>
      </c>
      <c r="AB92" s="61" t="n">
        <f aca="false">IF(AND(mthbeg&lt;=A92,mthend&gt;=A92),1,0)</f>
        <v>1</v>
      </c>
      <c r="AC92" s="61" t="n">
        <f aca="false">W92*AB92</f>
        <v>30</v>
      </c>
      <c r="AD92" s="121" t="n">
        <f aca="false">$D92*E92</f>
        <v>11898727.996901</v>
      </c>
      <c r="AE92" s="121" t="n">
        <f aca="false">$D92*F92</f>
        <v>0</v>
      </c>
      <c r="AF92" s="121" t="n">
        <f aca="false">$D92*G92</f>
        <v>11898727.996901</v>
      </c>
      <c r="AG92" s="121" t="n">
        <f aca="false">$D92*H92</f>
        <v>0</v>
      </c>
      <c r="AH92" s="121" t="n">
        <f aca="false">$D92*I92</f>
        <v>0</v>
      </c>
      <c r="AI92" s="121" t="n">
        <f aca="false">$D92*J92</f>
        <v>0</v>
      </c>
      <c r="AJ92" s="121" t="n">
        <f aca="false">$D92*K92</f>
        <v>0</v>
      </c>
      <c r="AK92" s="121" t="n">
        <f aca="false">$D92*L92</f>
        <v>0</v>
      </c>
      <c r="AL92" s="121" t="n">
        <f aca="false">$D92*M92</f>
        <v>0</v>
      </c>
      <c r="AM92" s="139"/>
      <c r="AO92" s="75" t="e">
        <f aca="false">EURO(N92,O92,Z92,Z92,R92,U92,1,0)</f>
        <v>#NAME?</v>
      </c>
      <c r="AP92" s="138" t="e">
        <f aca="false">AO92*C92</f>
        <v>#NAME?</v>
      </c>
      <c r="AQ92" s="61" t="e">
        <f aca="false">EURO(N92,O92,Z92,Z92,R92,U92,1,1)</f>
        <v>#NAME?</v>
      </c>
      <c r="AR92" s="61" t="e">
        <f aca="false">AQ92+Put!AQ92</f>
        <v>#NAME?</v>
      </c>
      <c r="AS92" s="138" t="e">
        <f aca="false">AR92*C92</f>
        <v>#NAME?</v>
      </c>
      <c r="AT92" s="120" t="e">
        <f aca="false">AS92/10000</f>
        <v>#NAME?</v>
      </c>
    </row>
    <row r="93" customFormat="false" ht="12.75" hidden="false" customHeight="false" outlineLevel="0" collapsed="false">
      <c r="A93" s="127" t="n">
        <f aca="false">EDATE(A92,1)</f>
        <v>42705</v>
      </c>
      <c r="B93" s="128" t="n">
        <f aca="false">B92</f>
        <v>205479</v>
      </c>
      <c r="C93" s="116" t="n">
        <f aca="false">IF(AB93=0,0,IF(AND(AB93=1,$H$3=1),B93*W93,IF($H$3=2,B93,"N/A")))</f>
        <v>6369849</v>
      </c>
      <c r="D93" s="116" t="n">
        <f aca="false">C93*AA93</f>
        <v>2348392.76595346</v>
      </c>
      <c r="E93" s="129" t="n">
        <f aca="false">VLOOKUP($A93,[1]!CurveTable,MATCH($E$4,[1]!CurveType,0))</f>
        <v>5.325</v>
      </c>
      <c r="F93" s="130"/>
      <c r="G93" s="131" t="n">
        <f aca="false">E93</f>
        <v>5.325</v>
      </c>
      <c r="H93" s="129" t="n">
        <f aca="false">VLOOKUP($A93,[1]!CurveTable,MATCH($H$4,[1]!CurveType,0))</f>
        <v>0</v>
      </c>
      <c r="I93" s="131"/>
      <c r="J93" s="131" t="n">
        <f aca="false">H93</f>
        <v>0</v>
      </c>
      <c r="K93" s="129"/>
      <c r="L93" s="131"/>
      <c r="M93" s="131"/>
      <c r="N93" s="131" t="n">
        <f aca="false">G93+J93+M93+$N$7</f>
        <v>5.035</v>
      </c>
      <c r="O93" s="131" t="n">
        <f aca="false">Summary!$E$16</f>
        <v>9.81903240236408</v>
      </c>
      <c r="P93" s="131"/>
      <c r="Q93" s="129" t="n">
        <f aca="false">VLOOKUP($A93,[1]!CurveTable,MATCH($Q$4,[1]!CurveType,0))</f>
        <v>0.17</v>
      </c>
      <c r="R93" s="129" t="n">
        <f aca="false">Q93+Summary!$C$26</f>
        <v>0.17</v>
      </c>
      <c r="S93" s="129"/>
      <c r="T93" s="132" t="n">
        <f aca="false">X93</f>
        <v>42705</v>
      </c>
      <c r="U93" s="133" t="n">
        <f aca="false">T93-$C$3</f>
        <v>5700</v>
      </c>
      <c r="W93" s="61" t="n">
        <f aca="false">A94-A93</f>
        <v>31</v>
      </c>
      <c r="X93" s="135" t="n">
        <f aca="false">CHOOSE(F$3,A94+24,A93)</f>
        <v>42705</v>
      </c>
      <c r="Y93" s="61" t="n">
        <f aca="false">X93-C$3</f>
        <v>5700</v>
      </c>
      <c r="Z93" s="136" t="n">
        <f aca="false">VLOOKUP($A93,[1]!CurveTable,MATCH($Z$4,[1]!CurveType,0))</f>
        <v>0.0649739190873224</v>
      </c>
      <c r="AA93" s="137" t="n">
        <f aca="false">1/(1+CHOOSE(F$3,(Z94+($K$3/10000))/2,(Z93+($K$3/10000))/2))^(2*Y93/365.25)</f>
        <v>0.368673223800668</v>
      </c>
      <c r="AB93" s="61" t="n">
        <f aca="false">IF(AND(mthbeg&lt;=A93,mthend&gt;=A93),1,0)</f>
        <v>1</v>
      </c>
      <c r="AC93" s="61" t="n">
        <f aca="false">W93*AB93</f>
        <v>31</v>
      </c>
      <c r="AD93" s="121" t="n">
        <f aca="false">$D93*E93</f>
        <v>12505191.4787022</v>
      </c>
      <c r="AE93" s="121" t="n">
        <f aca="false">$D93*F93</f>
        <v>0</v>
      </c>
      <c r="AF93" s="121" t="n">
        <f aca="false">$D93*G93</f>
        <v>12505191.4787022</v>
      </c>
      <c r="AG93" s="121" t="n">
        <f aca="false">$D93*H93</f>
        <v>0</v>
      </c>
      <c r="AH93" s="121" t="n">
        <f aca="false">$D93*I93</f>
        <v>0</v>
      </c>
      <c r="AI93" s="121" t="n">
        <f aca="false">$D93*J93</f>
        <v>0</v>
      </c>
      <c r="AJ93" s="121" t="n">
        <f aca="false">$D93*K93</f>
        <v>0</v>
      </c>
      <c r="AK93" s="121" t="n">
        <f aca="false">$D93*L93</f>
        <v>0</v>
      </c>
      <c r="AL93" s="121" t="n">
        <f aca="false">$D93*M93</f>
        <v>0</v>
      </c>
      <c r="AM93" s="139"/>
      <c r="AO93" s="75" t="e">
        <f aca="false">EURO(N93,O93,Z93,Z93,R93,U93,1,0)</f>
        <v>#NAME?</v>
      </c>
      <c r="AP93" s="138" t="e">
        <f aca="false">AO93*C93</f>
        <v>#NAME?</v>
      </c>
      <c r="AQ93" s="61" t="e">
        <f aca="false">EURO(N93,O93,Z93,Z93,R93,U93,1,1)</f>
        <v>#NAME?</v>
      </c>
      <c r="AR93" s="61" t="e">
        <f aca="false">AQ93+Put!AQ93</f>
        <v>#NAME?</v>
      </c>
      <c r="AS93" s="138" t="e">
        <f aca="false">AR93*C93</f>
        <v>#NAME?</v>
      </c>
      <c r="AT93" s="120" t="e">
        <f aca="false">AS93/10000</f>
        <v>#NAME?</v>
      </c>
    </row>
    <row r="94" customFormat="false" ht="12.75" hidden="false" customHeight="false" outlineLevel="0" collapsed="false">
      <c r="A94" s="127" t="n">
        <f aca="false">EDATE(A93,1)</f>
        <v>42736</v>
      </c>
      <c r="B94" s="128" t="n">
        <f aca="false">B93</f>
        <v>205479</v>
      </c>
      <c r="C94" s="116" t="n">
        <f aca="false">IF(AB94=0,0,IF(AND(AB94=1,$H$3=1),B94*W94,IF($H$3=2,B94,"N/A")))</f>
        <v>6369849</v>
      </c>
      <c r="D94" s="116" t="n">
        <f aca="false">C94*AA94</f>
        <v>2334174.18169845</v>
      </c>
      <c r="E94" s="129" t="n">
        <f aca="false">VLOOKUP($A94,[1]!CurveTable,MATCH($E$4,[1]!CurveType,0))</f>
        <v>5.4125</v>
      </c>
      <c r="F94" s="130"/>
      <c r="G94" s="131" t="n">
        <f aca="false">E94</f>
        <v>5.4125</v>
      </c>
      <c r="H94" s="129" t="n">
        <f aca="false">VLOOKUP($A94,[1]!CurveTable,MATCH($H$4,[1]!CurveType,0))</f>
        <v>0</v>
      </c>
      <c r="I94" s="131"/>
      <c r="J94" s="131" t="n">
        <f aca="false">H94</f>
        <v>0</v>
      </c>
      <c r="K94" s="129"/>
      <c r="L94" s="131"/>
      <c r="M94" s="131"/>
      <c r="N94" s="131" t="n">
        <f aca="false">G94+J94+M94+$N$7</f>
        <v>5.1225</v>
      </c>
      <c r="O94" s="131" t="n">
        <f aca="false">Summary!$E$16</f>
        <v>9.81903240236408</v>
      </c>
      <c r="P94" s="131"/>
      <c r="Q94" s="129" t="n">
        <f aca="false">VLOOKUP($A94,[1]!CurveTable,MATCH($Q$4,[1]!CurveType,0))</f>
        <v>0.17</v>
      </c>
      <c r="R94" s="129" t="n">
        <f aca="false">Q94+Summary!$C$26</f>
        <v>0.17</v>
      </c>
      <c r="S94" s="129"/>
      <c r="T94" s="132" t="n">
        <f aca="false">X94</f>
        <v>42736</v>
      </c>
      <c r="U94" s="133" t="n">
        <f aca="false">T94-$C$3</f>
        <v>5731</v>
      </c>
      <c r="W94" s="61" t="n">
        <f aca="false">A95-A94</f>
        <v>31</v>
      </c>
      <c r="X94" s="135" t="n">
        <f aca="false">CHOOSE(F$3,A95+24,A94)</f>
        <v>42736</v>
      </c>
      <c r="Y94" s="61" t="n">
        <f aca="false">X94-C$3</f>
        <v>5731</v>
      </c>
      <c r="Z94" s="136" t="n">
        <f aca="false">VLOOKUP($A94,[1]!CurveTable,MATCH($Z$4,[1]!CurveType,0))</f>
        <v>0.065016436794723</v>
      </c>
      <c r="AA94" s="137" t="n">
        <f aca="false">1/(1+CHOOSE(F$3,(Z95+($K$3/10000))/2,(Z94+($K$3/10000))/2))^(2*Y94/365.25)</f>
        <v>0.366441054049861</v>
      </c>
      <c r="AB94" s="61" t="n">
        <f aca="false">IF(AND(mthbeg&lt;=A94,mthend&gt;=A94),1,0)</f>
        <v>1</v>
      </c>
      <c r="AC94" s="61" t="n">
        <f aca="false">W94*AB94</f>
        <v>31</v>
      </c>
      <c r="AD94" s="121" t="n">
        <f aca="false">$D94*E94</f>
        <v>12633717.7584429</v>
      </c>
      <c r="AE94" s="121" t="n">
        <f aca="false">$D94*F94</f>
        <v>0</v>
      </c>
      <c r="AF94" s="121" t="n">
        <f aca="false">$D94*G94</f>
        <v>12633717.7584429</v>
      </c>
      <c r="AG94" s="121" t="n">
        <f aca="false">$D94*H94</f>
        <v>0</v>
      </c>
      <c r="AH94" s="121" t="n">
        <f aca="false">$D94*I94</f>
        <v>0</v>
      </c>
      <c r="AI94" s="121" t="n">
        <f aca="false">$D94*J94</f>
        <v>0</v>
      </c>
      <c r="AJ94" s="121" t="n">
        <f aca="false">$D94*K94</f>
        <v>0</v>
      </c>
      <c r="AK94" s="121" t="n">
        <f aca="false">$D94*L94</f>
        <v>0</v>
      </c>
      <c r="AL94" s="121" t="n">
        <f aca="false">$D94*M94</f>
        <v>0</v>
      </c>
      <c r="AM94" s="139"/>
      <c r="AO94" s="75" t="e">
        <f aca="false">EURO(N94,O94,Z94,Z94,R94,U94,1,0)</f>
        <v>#NAME?</v>
      </c>
      <c r="AP94" s="138" t="e">
        <f aca="false">AO94*C94</f>
        <v>#NAME?</v>
      </c>
      <c r="AQ94" s="61" t="e">
        <f aca="false">EURO(N94,O94,Z94,Z94,R94,U94,1,1)</f>
        <v>#NAME?</v>
      </c>
      <c r="AR94" s="61" t="e">
        <f aca="false">AQ94+Put!AQ94</f>
        <v>#NAME?</v>
      </c>
      <c r="AS94" s="138" t="e">
        <f aca="false">AR94*C94</f>
        <v>#NAME?</v>
      </c>
      <c r="AT94" s="120" t="e">
        <f aca="false">AS94/10000</f>
        <v>#NAME?</v>
      </c>
    </row>
    <row r="95" customFormat="false" ht="12.75" hidden="false" customHeight="false" outlineLevel="0" collapsed="false">
      <c r="A95" s="127" t="n">
        <f aca="false">EDATE(A94,1)</f>
        <v>42767</v>
      </c>
      <c r="B95" s="128" t="n">
        <f aca="false">B94</f>
        <v>205479</v>
      </c>
      <c r="C95" s="116" t="n">
        <f aca="false">IF(AB95=0,0,IF(AND(AB95=1,$H$3=1),B95*W95,IF($H$3=2,B95,"N/A")))</f>
        <v>5753412</v>
      </c>
      <c r="D95" s="116" t="n">
        <f aca="false">C95*AA95</f>
        <v>2095506.90241469</v>
      </c>
      <c r="E95" s="129" t="n">
        <f aca="false">VLOOKUP($A95,[1]!CurveTable,MATCH($E$4,[1]!CurveType,0))</f>
        <v>5.2925</v>
      </c>
      <c r="F95" s="130"/>
      <c r="G95" s="131" t="n">
        <f aca="false">E95</f>
        <v>5.2925</v>
      </c>
      <c r="H95" s="129" t="n">
        <f aca="false">VLOOKUP($A95,[1]!CurveTable,MATCH($H$4,[1]!CurveType,0))</f>
        <v>0</v>
      </c>
      <c r="I95" s="131"/>
      <c r="J95" s="131" t="n">
        <f aca="false">H95</f>
        <v>0</v>
      </c>
      <c r="K95" s="129"/>
      <c r="L95" s="131"/>
      <c r="M95" s="131"/>
      <c r="N95" s="131" t="n">
        <f aca="false">G95+J95+M95+$N$7</f>
        <v>5.0025</v>
      </c>
      <c r="O95" s="131" t="n">
        <f aca="false">Summary!$E$16</f>
        <v>9.81903240236408</v>
      </c>
      <c r="P95" s="131"/>
      <c r="Q95" s="129" t="n">
        <f aca="false">VLOOKUP($A95,[1]!CurveTable,MATCH($Q$4,[1]!CurveType,0))</f>
        <v>0.17</v>
      </c>
      <c r="R95" s="129" t="n">
        <f aca="false">Q95+Summary!$C$26</f>
        <v>0.17</v>
      </c>
      <c r="S95" s="129"/>
      <c r="T95" s="132" t="n">
        <f aca="false">X95</f>
        <v>42767</v>
      </c>
      <c r="U95" s="133" t="n">
        <f aca="false">T95-$C$3</f>
        <v>5762</v>
      </c>
      <c r="W95" s="61" t="n">
        <f aca="false">A96-A95</f>
        <v>28</v>
      </c>
      <c r="X95" s="135" t="n">
        <f aca="false">CHOOSE(F$3,A96+24,A95)</f>
        <v>42767</v>
      </c>
      <c r="Y95" s="61" t="n">
        <f aca="false">X95-C$3</f>
        <v>5762</v>
      </c>
      <c r="Z95" s="136" t="n">
        <f aca="false">VLOOKUP($A95,[1]!CurveTable,MATCH($Z$4,[1]!CurveType,0))</f>
        <v>0.0650589545027218</v>
      </c>
      <c r="AA95" s="137" t="n">
        <f aca="false">1/(1+CHOOSE(F$3,(Z96+($K$3/10000))/2,(Z95+($K$3/10000))/2))^(2*Y95/365.25)</f>
        <v>0.364219858131956</v>
      </c>
      <c r="AB95" s="61" t="n">
        <f aca="false">IF(AND(mthbeg&lt;=A95,mthend&gt;=A95),1,0)</f>
        <v>1</v>
      </c>
      <c r="AC95" s="61" t="n">
        <f aca="false">W95*AB95</f>
        <v>28</v>
      </c>
      <c r="AD95" s="121" t="n">
        <f aca="false">$D95*E95</f>
        <v>11090470.2810298</v>
      </c>
      <c r="AE95" s="121" t="n">
        <f aca="false">$D95*F95</f>
        <v>0</v>
      </c>
      <c r="AF95" s="121" t="n">
        <f aca="false">$D95*G95</f>
        <v>11090470.2810298</v>
      </c>
      <c r="AG95" s="121" t="n">
        <f aca="false">$D95*H95</f>
        <v>0</v>
      </c>
      <c r="AH95" s="121" t="n">
        <f aca="false">$D95*I95</f>
        <v>0</v>
      </c>
      <c r="AI95" s="121" t="n">
        <f aca="false">$D95*J95</f>
        <v>0</v>
      </c>
      <c r="AJ95" s="121" t="n">
        <f aca="false">$D95*K95</f>
        <v>0</v>
      </c>
      <c r="AK95" s="121" t="n">
        <f aca="false">$D95*L95</f>
        <v>0</v>
      </c>
      <c r="AL95" s="121" t="n">
        <f aca="false">$D95*M95</f>
        <v>0</v>
      </c>
      <c r="AM95" s="139"/>
      <c r="AO95" s="75" t="e">
        <f aca="false">EURO(N95,O95,Z95,Z95,R95,U95,1,0)</f>
        <v>#NAME?</v>
      </c>
      <c r="AP95" s="138" t="e">
        <f aca="false">AO95*C95</f>
        <v>#NAME?</v>
      </c>
      <c r="AQ95" s="61" t="e">
        <f aca="false">EURO(N95,O95,Z95,Z95,R95,U95,1,1)</f>
        <v>#NAME?</v>
      </c>
      <c r="AR95" s="61" t="e">
        <f aca="false">AQ95+Put!AQ95</f>
        <v>#NAME?</v>
      </c>
      <c r="AS95" s="138" t="e">
        <f aca="false">AR95*C95</f>
        <v>#NAME?</v>
      </c>
      <c r="AT95" s="120" t="e">
        <f aca="false">AS95/10000</f>
        <v>#NAME?</v>
      </c>
    </row>
    <row r="96" customFormat="false" ht="12.75" hidden="false" customHeight="false" outlineLevel="0" collapsed="false">
      <c r="A96" s="127" t="n">
        <f aca="false">EDATE(A95,1)</f>
        <v>42795</v>
      </c>
      <c r="B96" s="128" t="n">
        <f aca="false">B95</f>
        <v>205479</v>
      </c>
      <c r="C96" s="116" t="n">
        <f aca="false">IF(AB96=0,0,IF(AND(AB96=1,$H$3=1),B96*W96,IF($H$3=2,B96,"N/A")))</f>
        <v>6369849</v>
      </c>
      <c r="D96" s="116" t="n">
        <f aca="false">C96*AA96</f>
        <v>2307305.93751058</v>
      </c>
      <c r="E96" s="129" t="n">
        <f aca="false">VLOOKUP($A96,[1]!CurveTable,MATCH($E$4,[1]!CurveType,0))</f>
        <v>5.1535</v>
      </c>
      <c r="F96" s="130"/>
      <c r="G96" s="131" t="n">
        <f aca="false">E96</f>
        <v>5.1535</v>
      </c>
      <c r="H96" s="129" t="n">
        <f aca="false">VLOOKUP($A96,[1]!CurveTable,MATCH($H$4,[1]!CurveType,0))</f>
        <v>0</v>
      </c>
      <c r="I96" s="131"/>
      <c r="J96" s="131" t="n">
        <f aca="false">H96</f>
        <v>0</v>
      </c>
      <c r="K96" s="129"/>
      <c r="L96" s="131"/>
      <c r="M96" s="131"/>
      <c r="N96" s="131" t="n">
        <f aca="false">G96+J96+M96+$N$7</f>
        <v>4.8635</v>
      </c>
      <c r="O96" s="131" t="n">
        <f aca="false">Summary!$E$16</f>
        <v>9.81903240236408</v>
      </c>
      <c r="P96" s="131"/>
      <c r="Q96" s="129" t="n">
        <f aca="false">VLOOKUP($A96,[1]!CurveTable,MATCH($Q$4,[1]!CurveType,0))</f>
        <v>0.17</v>
      </c>
      <c r="R96" s="129" t="n">
        <f aca="false">Q96+Summary!$C$26</f>
        <v>0.17</v>
      </c>
      <c r="S96" s="129"/>
      <c r="T96" s="132" t="n">
        <f aca="false">X96</f>
        <v>42795</v>
      </c>
      <c r="U96" s="133" t="n">
        <f aca="false">T96-$C$3</f>
        <v>5790</v>
      </c>
      <c r="W96" s="61" t="n">
        <f aca="false">A97-A96</f>
        <v>31</v>
      </c>
      <c r="X96" s="135" t="n">
        <f aca="false">CHOOSE(F$3,A97+24,A96)</f>
        <v>42795</v>
      </c>
      <c r="Y96" s="61" t="n">
        <f aca="false">X96-C$3</f>
        <v>5790</v>
      </c>
      <c r="Z96" s="136" t="n">
        <f aca="false">VLOOKUP($A96,[1]!CurveTable,MATCH($Z$4,[1]!CurveType,0))</f>
        <v>0.0650973575943334</v>
      </c>
      <c r="AA96" s="137" t="n">
        <f aca="false">1/(1+CHOOSE(F$3,(Z97+($K$3/10000))/2,(Z96+($K$3/10000))/2))^(2*Y96/365.25)</f>
        <v>0.36222301933854</v>
      </c>
      <c r="AB96" s="61" t="n">
        <f aca="false">IF(AND(mthbeg&lt;=A96,mthend&gt;=A96),1,0)</f>
        <v>1</v>
      </c>
      <c r="AC96" s="61" t="n">
        <f aca="false">W96*AB96</f>
        <v>31</v>
      </c>
      <c r="AD96" s="121" t="n">
        <f aca="false">$D96*E96</f>
        <v>11890701.1489608</v>
      </c>
      <c r="AE96" s="121" t="n">
        <f aca="false">$D96*F96</f>
        <v>0</v>
      </c>
      <c r="AF96" s="121" t="n">
        <f aca="false">$D96*G96</f>
        <v>11890701.1489608</v>
      </c>
      <c r="AG96" s="121" t="n">
        <f aca="false">$D96*H96</f>
        <v>0</v>
      </c>
      <c r="AH96" s="121" t="n">
        <f aca="false">$D96*I96</f>
        <v>0</v>
      </c>
      <c r="AI96" s="121" t="n">
        <f aca="false">$D96*J96</f>
        <v>0</v>
      </c>
      <c r="AJ96" s="121" t="n">
        <f aca="false">$D96*K96</f>
        <v>0</v>
      </c>
      <c r="AK96" s="121" t="n">
        <f aca="false">$D96*L96</f>
        <v>0</v>
      </c>
      <c r="AL96" s="121" t="n">
        <f aca="false">$D96*M96</f>
        <v>0</v>
      </c>
      <c r="AM96" s="139"/>
      <c r="AO96" s="75" t="e">
        <f aca="false">EURO(N96,O96,Z96,Z96,R96,U96,1,0)</f>
        <v>#NAME?</v>
      </c>
      <c r="AP96" s="138" t="e">
        <f aca="false">AO96*C96</f>
        <v>#NAME?</v>
      </c>
      <c r="AQ96" s="61" t="e">
        <f aca="false">EURO(N96,O96,Z96,Z96,R96,U96,1,1)</f>
        <v>#NAME?</v>
      </c>
      <c r="AR96" s="61" t="e">
        <f aca="false">AQ96+Put!AQ96</f>
        <v>#NAME?</v>
      </c>
      <c r="AS96" s="138" t="e">
        <f aca="false">AR96*C96</f>
        <v>#NAME?</v>
      </c>
      <c r="AT96" s="120" t="e">
        <f aca="false">AS96/10000</f>
        <v>#NAME?</v>
      </c>
    </row>
    <row r="97" customFormat="false" ht="12.75" hidden="false" customHeight="false" outlineLevel="0" collapsed="false">
      <c r="A97" s="127" t="n">
        <f aca="false">EDATE(A96,1)</f>
        <v>42826</v>
      </c>
      <c r="B97" s="128" t="n">
        <f aca="false">B96</f>
        <v>205479</v>
      </c>
      <c r="C97" s="116" t="n">
        <f aca="false">IF(AB97=0,0,IF(AND(AB97=1,$H$3=1),B97*W97,IF($H$3=2,B97,"N/A")))</f>
        <v>6164370</v>
      </c>
      <c r="D97" s="116" t="n">
        <f aca="false">C97*AA97</f>
        <v>2219312.58195166</v>
      </c>
      <c r="E97" s="129" t="n">
        <f aca="false">VLOOKUP($A97,[1]!CurveTable,MATCH($E$4,[1]!CurveType,0))</f>
        <v>4.9835</v>
      </c>
      <c r="F97" s="130"/>
      <c r="G97" s="131" t="n">
        <f aca="false">E97</f>
        <v>4.9835</v>
      </c>
      <c r="H97" s="129" t="n">
        <f aca="false">VLOOKUP($A97,[1]!CurveTable,MATCH($H$4,[1]!CurveType,0))</f>
        <v>0</v>
      </c>
      <c r="I97" s="131"/>
      <c r="J97" s="131" t="n">
        <f aca="false">H97</f>
        <v>0</v>
      </c>
      <c r="K97" s="129"/>
      <c r="L97" s="131"/>
      <c r="M97" s="131"/>
      <c r="N97" s="131" t="n">
        <f aca="false">G97+J97+M97+$N$7</f>
        <v>4.6935</v>
      </c>
      <c r="O97" s="131" t="n">
        <f aca="false">Summary!$E$16</f>
        <v>9.81903240236408</v>
      </c>
      <c r="P97" s="131"/>
      <c r="Q97" s="129" t="n">
        <f aca="false">VLOOKUP($A97,[1]!CurveTable,MATCH($Q$4,[1]!CurveType,0))</f>
        <v>0.17</v>
      </c>
      <c r="R97" s="129" t="n">
        <f aca="false">Q97+Summary!$C$26</f>
        <v>0.17</v>
      </c>
      <c r="S97" s="129"/>
      <c r="T97" s="132" t="n">
        <f aca="false">X97</f>
        <v>42826</v>
      </c>
      <c r="U97" s="133" t="n">
        <f aca="false">T97-$C$3</f>
        <v>5821</v>
      </c>
      <c r="W97" s="61" t="n">
        <f aca="false">A98-A97</f>
        <v>30</v>
      </c>
      <c r="X97" s="135" t="n">
        <f aca="false">CHOOSE(F$3,A98+24,A97)</f>
        <v>42826</v>
      </c>
      <c r="Y97" s="61" t="n">
        <f aca="false">X97-C$3</f>
        <v>5821</v>
      </c>
      <c r="Z97" s="136" t="n">
        <f aca="false">VLOOKUP($A97,[1]!CurveTable,MATCH($Z$4,[1]!CurveType,0))</f>
        <v>0.0651398753034726</v>
      </c>
      <c r="AA97" s="137" t="n">
        <f aca="false">1/(1+CHOOSE(F$3,(Z98+($K$3/10000))/2,(Z97+($K$3/10000))/2))^(2*Y97/365.25)</f>
        <v>0.360022610899681</v>
      </c>
      <c r="AB97" s="61" t="n">
        <f aca="false">IF(AND(mthbeg&lt;=A97,mthend&gt;=A97),1,0)</f>
        <v>1</v>
      </c>
      <c r="AC97" s="61" t="n">
        <f aca="false">W97*AB97</f>
        <v>30</v>
      </c>
      <c r="AD97" s="121" t="n">
        <f aca="false">$D97*E97</f>
        <v>11059944.2521561</v>
      </c>
      <c r="AE97" s="121" t="n">
        <f aca="false">$D97*F97</f>
        <v>0</v>
      </c>
      <c r="AF97" s="121" t="n">
        <f aca="false">$D97*G97</f>
        <v>11059944.2521561</v>
      </c>
      <c r="AG97" s="121" t="n">
        <f aca="false">$D97*H97</f>
        <v>0</v>
      </c>
      <c r="AH97" s="121" t="n">
        <f aca="false">$D97*I97</f>
        <v>0</v>
      </c>
      <c r="AI97" s="121" t="n">
        <f aca="false">$D97*J97</f>
        <v>0</v>
      </c>
      <c r="AJ97" s="121" t="n">
        <f aca="false">$D97*K97</f>
        <v>0</v>
      </c>
      <c r="AK97" s="121" t="n">
        <f aca="false">$D97*L97</f>
        <v>0</v>
      </c>
      <c r="AL97" s="121" t="n">
        <f aca="false">$D97*M97</f>
        <v>0</v>
      </c>
      <c r="AM97" s="139"/>
      <c r="AO97" s="75" t="e">
        <f aca="false">EURO(N97,O97,Z97,Z97,R97,U97,1,0)</f>
        <v>#NAME?</v>
      </c>
      <c r="AP97" s="138" t="e">
        <f aca="false">AO97*C97</f>
        <v>#NAME?</v>
      </c>
      <c r="AQ97" s="61" t="e">
        <f aca="false">EURO(N97,O97,Z97,Z97,R97,U97,1,1)</f>
        <v>#NAME?</v>
      </c>
      <c r="AR97" s="61" t="e">
        <f aca="false">AQ97+Put!AQ97</f>
        <v>#NAME?</v>
      </c>
      <c r="AS97" s="138" t="e">
        <f aca="false">AR97*C97</f>
        <v>#NAME?</v>
      </c>
      <c r="AT97" s="120" t="e">
        <f aca="false">AS97/10000</f>
        <v>#NAME?</v>
      </c>
    </row>
    <row r="98" customFormat="false" ht="12.75" hidden="false" customHeight="false" outlineLevel="0" collapsed="false">
      <c r="A98" s="127" t="n">
        <f aca="false">EDATE(A97,1)</f>
        <v>42856</v>
      </c>
      <c r="B98" s="128" t="n">
        <f aca="false">B97</f>
        <v>205479</v>
      </c>
      <c r="C98" s="116" t="n">
        <f aca="false">IF(AB98=0,0,IF(AND(AB98=1,$H$3=1),B98*W98,IF($H$3=2,B98,"N/A")))</f>
        <v>6369849</v>
      </c>
      <c r="D98" s="116" t="n">
        <f aca="false">C98*AA98</f>
        <v>2279791.46822217</v>
      </c>
      <c r="E98" s="129" t="n">
        <f aca="false">VLOOKUP($A98,[1]!CurveTable,MATCH($E$4,[1]!CurveType,0))</f>
        <v>5.0425</v>
      </c>
      <c r="F98" s="130"/>
      <c r="G98" s="131" t="n">
        <f aca="false">E98</f>
        <v>5.0425</v>
      </c>
      <c r="H98" s="129" t="n">
        <f aca="false">VLOOKUP($A98,[1]!CurveTable,MATCH($H$4,[1]!CurveType,0))</f>
        <v>0</v>
      </c>
      <c r="I98" s="131"/>
      <c r="J98" s="131" t="n">
        <f aca="false">H98</f>
        <v>0</v>
      </c>
      <c r="K98" s="129"/>
      <c r="L98" s="131"/>
      <c r="M98" s="131"/>
      <c r="N98" s="131" t="n">
        <f aca="false">G98+J98+M98+$N$7</f>
        <v>4.7525</v>
      </c>
      <c r="O98" s="131" t="n">
        <f aca="false">Summary!$E$16</f>
        <v>9.81903240236408</v>
      </c>
      <c r="P98" s="131"/>
      <c r="Q98" s="129" t="n">
        <f aca="false">VLOOKUP($A98,[1]!CurveTable,MATCH($Q$4,[1]!CurveType,0))</f>
        <v>0.17</v>
      </c>
      <c r="R98" s="129" t="n">
        <f aca="false">Q98+Summary!$C$26</f>
        <v>0.17</v>
      </c>
      <c r="S98" s="129"/>
      <c r="T98" s="132" t="n">
        <f aca="false">X98</f>
        <v>42856</v>
      </c>
      <c r="U98" s="133" t="n">
        <f aca="false">T98-$C$3</f>
        <v>5851</v>
      </c>
      <c r="W98" s="61" t="n">
        <f aca="false">A99-A98</f>
        <v>31</v>
      </c>
      <c r="X98" s="135" t="n">
        <f aca="false">CHOOSE(F$3,A99+24,A98)</f>
        <v>42856</v>
      </c>
      <c r="Y98" s="61" t="n">
        <f aca="false">X98-C$3</f>
        <v>5851</v>
      </c>
      <c r="Z98" s="136" t="n">
        <f aca="false">VLOOKUP($A98,[1]!CurveTable,MATCH($Z$4,[1]!CurveType,0))</f>
        <v>0.0651810214741788</v>
      </c>
      <c r="AA98" s="137" t="n">
        <f aca="false">1/(1+CHOOSE(F$3,(Z99+($K$3/10000))/2,(Z98+($K$3/10000))/2))^(2*Y98/365.25)</f>
        <v>0.3579035340119</v>
      </c>
      <c r="AB98" s="61" t="n">
        <f aca="false">IF(AND(mthbeg&lt;=A98,mthend&gt;=A98),1,0)</f>
        <v>1</v>
      </c>
      <c r="AC98" s="61" t="n">
        <f aca="false">W98*AB98</f>
        <v>31</v>
      </c>
      <c r="AD98" s="121" t="n">
        <f aca="false">$D98*E98</f>
        <v>11495848.4785103</v>
      </c>
      <c r="AE98" s="121" t="n">
        <f aca="false">$D98*F98</f>
        <v>0</v>
      </c>
      <c r="AF98" s="121" t="n">
        <f aca="false">$D98*G98</f>
        <v>11495848.4785103</v>
      </c>
      <c r="AG98" s="121" t="n">
        <f aca="false">$D98*H98</f>
        <v>0</v>
      </c>
      <c r="AH98" s="121" t="n">
        <f aca="false">$D98*I98</f>
        <v>0</v>
      </c>
      <c r="AI98" s="121" t="n">
        <f aca="false">$D98*J98</f>
        <v>0</v>
      </c>
      <c r="AJ98" s="121" t="n">
        <f aca="false">$D98*K98</f>
        <v>0</v>
      </c>
      <c r="AK98" s="121" t="n">
        <f aca="false">$D98*L98</f>
        <v>0</v>
      </c>
      <c r="AL98" s="121" t="n">
        <f aca="false">$D98*M98</f>
        <v>0</v>
      </c>
      <c r="AM98" s="139"/>
      <c r="AO98" s="75" t="e">
        <f aca="false">EURO(N98,O98,Z98,Z98,R98,U98,1,0)</f>
        <v>#NAME?</v>
      </c>
      <c r="AP98" s="138" t="e">
        <f aca="false">AO98*C98</f>
        <v>#NAME?</v>
      </c>
      <c r="AQ98" s="61" t="e">
        <f aca="false">EURO(N98,O98,Z98,Z98,R98,U98,1,1)</f>
        <v>#NAME?</v>
      </c>
      <c r="AR98" s="61" t="e">
        <f aca="false">AQ98+Put!AQ98</f>
        <v>#NAME?</v>
      </c>
      <c r="AS98" s="138" t="e">
        <f aca="false">AR98*C98</f>
        <v>#NAME?</v>
      </c>
      <c r="AT98" s="120" t="e">
        <f aca="false">AS98/10000</f>
        <v>#NAME?</v>
      </c>
    </row>
    <row r="99" customFormat="false" ht="12.75" hidden="false" customHeight="false" outlineLevel="0" collapsed="false">
      <c r="A99" s="127" t="n">
        <f aca="false">EDATE(A98,1)</f>
        <v>42887</v>
      </c>
      <c r="B99" s="128" t="n">
        <f aca="false">B98</f>
        <v>205479</v>
      </c>
      <c r="C99" s="116" t="n">
        <f aca="false">IF(AB99=0,0,IF(AND(AB99=1,$H$3=1),B99*W99,IF($H$3=2,B99,"N/A")))</f>
        <v>6164370</v>
      </c>
      <c r="D99" s="116" t="n">
        <f aca="false">C99*AA99</f>
        <v>2192817.32667227</v>
      </c>
      <c r="E99" s="129" t="n">
        <f aca="false">VLOOKUP($A99,[1]!CurveTable,MATCH($E$4,[1]!CurveType,0))</f>
        <v>5.0825</v>
      </c>
      <c r="F99" s="130"/>
      <c r="G99" s="131" t="n">
        <f aca="false">E99</f>
        <v>5.0825</v>
      </c>
      <c r="H99" s="129" t="n">
        <f aca="false">VLOOKUP($A99,[1]!CurveTable,MATCH($H$4,[1]!CurveType,0))</f>
        <v>0</v>
      </c>
      <c r="I99" s="131"/>
      <c r="J99" s="131" t="n">
        <f aca="false">H99</f>
        <v>0</v>
      </c>
      <c r="K99" s="129"/>
      <c r="L99" s="131"/>
      <c r="M99" s="131"/>
      <c r="N99" s="131" t="n">
        <f aca="false">G99+J99+M99+$N$7</f>
        <v>4.7925</v>
      </c>
      <c r="O99" s="131" t="n">
        <f aca="false">Summary!$E$16</f>
        <v>9.81903240236408</v>
      </c>
      <c r="P99" s="131"/>
      <c r="Q99" s="129" t="n">
        <f aca="false">VLOOKUP($A99,[1]!CurveTable,MATCH($Q$4,[1]!CurveType,0))</f>
        <v>0.17</v>
      </c>
      <c r="R99" s="129" t="n">
        <f aca="false">Q99+Summary!$C$26</f>
        <v>0.17</v>
      </c>
      <c r="S99" s="129"/>
      <c r="T99" s="132" t="n">
        <f aca="false">X99</f>
        <v>42887</v>
      </c>
      <c r="U99" s="133" t="n">
        <f aca="false">T99-$C$3</f>
        <v>5882</v>
      </c>
      <c r="W99" s="61" t="n">
        <f aca="false">A100-A99</f>
        <v>30</v>
      </c>
      <c r="X99" s="135" t="n">
        <f aca="false">CHOOSE(F$3,A100+24,A99)</f>
        <v>42887</v>
      </c>
      <c r="Y99" s="61" t="n">
        <f aca="false">X99-C$3</f>
        <v>5882</v>
      </c>
      <c r="Z99" s="136" t="n">
        <f aca="false">VLOOKUP($A99,[1]!CurveTable,MATCH($Z$4,[1]!CurveType,0))</f>
        <v>0.0652235391844971</v>
      </c>
      <c r="AA99" s="137" t="n">
        <f aca="false">1/(1+CHOOSE(F$3,(Z100+($K$3/10000))/2,(Z99+($K$3/10000))/2))^(2*Y99/365.25)</f>
        <v>0.35572448225403</v>
      </c>
      <c r="AB99" s="61" t="n">
        <f aca="false">IF(AND(mthbeg&lt;=A99,mthend&gt;=A99),1,0)</f>
        <v>1</v>
      </c>
      <c r="AC99" s="61" t="n">
        <f aca="false">W99*AB99</f>
        <v>30</v>
      </c>
      <c r="AD99" s="121" t="n">
        <f aca="false">$D99*E99</f>
        <v>11144994.0628118</v>
      </c>
      <c r="AE99" s="121" t="n">
        <f aca="false">$D99*F99</f>
        <v>0</v>
      </c>
      <c r="AF99" s="121" t="n">
        <f aca="false">$D99*G99</f>
        <v>11144994.0628118</v>
      </c>
      <c r="AG99" s="121" t="n">
        <f aca="false">$D99*H99</f>
        <v>0</v>
      </c>
      <c r="AH99" s="121" t="n">
        <f aca="false">$D99*I99</f>
        <v>0</v>
      </c>
      <c r="AI99" s="121" t="n">
        <f aca="false">$D99*J99</f>
        <v>0</v>
      </c>
      <c r="AJ99" s="121" t="n">
        <f aca="false">$D99*K99</f>
        <v>0</v>
      </c>
      <c r="AK99" s="121" t="n">
        <f aca="false">$D99*L99</f>
        <v>0</v>
      </c>
      <c r="AL99" s="121" t="n">
        <f aca="false">$D99*M99</f>
        <v>0</v>
      </c>
      <c r="AM99" s="139"/>
      <c r="AO99" s="75" t="e">
        <f aca="false">EURO(N99,O99,Z99,Z99,R99,U99,1,0)</f>
        <v>#NAME?</v>
      </c>
      <c r="AP99" s="138" t="e">
        <f aca="false">AO99*C99</f>
        <v>#NAME?</v>
      </c>
      <c r="AQ99" s="61" t="e">
        <f aca="false">EURO(N99,O99,Z99,Z99,R99,U99,1,1)</f>
        <v>#NAME?</v>
      </c>
      <c r="AR99" s="61" t="e">
        <f aca="false">AQ99+Put!AQ99</f>
        <v>#NAME?</v>
      </c>
      <c r="AS99" s="138" t="e">
        <f aca="false">AR99*C99</f>
        <v>#NAME?</v>
      </c>
      <c r="AT99" s="120" t="e">
        <f aca="false">AS99/10000</f>
        <v>#NAME?</v>
      </c>
    </row>
    <row r="100" customFormat="false" ht="12.75" hidden="false" customHeight="false" outlineLevel="0" collapsed="false">
      <c r="A100" s="127" t="n">
        <f aca="false">EDATE(A99,1)</f>
        <v>42917</v>
      </c>
      <c r="B100" s="128" t="n">
        <f aca="false">B99</f>
        <v>205479</v>
      </c>
      <c r="C100" s="116" t="n">
        <f aca="false">IF(AB100=0,0,IF(AND(AB100=1,$H$3=1),B100*W100,IF($H$3=2,B100,"N/A")))</f>
        <v>6369849</v>
      </c>
      <c r="D100" s="116" t="n">
        <f aca="false">C100*AA100</f>
        <v>2252544.26357872</v>
      </c>
      <c r="E100" s="129" t="n">
        <f aca="false">VLOOKUP($A100,[1]!CurveTable,MATCH($E$4,[1]!CurveType,0))</f>
        <v>5.1275</v>
      </c>
      <c r="F100" s="130"/>
      <c r="G100" s="131" t="n">
        <f aca="false">E100</f>
        <v>5.1275</v>
      </c>
      <c r="H100" s="129" t="n">
        <f aca="false">VLOOKUP($A100,[1]!CurveTable,MATCH($H$4,[1]!CurveType,0))</f>
        <v>0</v>
      </c>
      <c r="I100" s="131"/>
      <c r="J100" s="131" t="n">
        <f aca="false">H100</f>
        <v>0</v>
      </c>
      <c r="K100" s="129"/>
      <c r="L100" s="131"/>
      <c r="M100" s="131"/>
      <c r="N100" s="131" t="n">
        <f aca="false">G100+J100+M100+$N$7</f>
        <v>4.8375</v>
      </c>
      <c r="O100" s="131" t="n">
        <f aca="false">Summary!$E$16</f>
        <v>9.81903240236408</v>
      </c>
      <c r="P100" s="131"/>
      <c r="Q100" s="129" t="n">
        <f aca="false">VLOOKUP($A100,[1]!CurveTable,MATCH($Q$4,[1]!CurveType,0))</f>
        <v>0.17</v>
      </c>
      <c r="R100" s="129" t="n">
        <f aca="false">Q100+Summary!$C$26</f>
        <v>0.17</v>
      </c>
      <c r="S100" s="129"/>
      <c r="T100" s="132" t="n">
        <f aca="false">X100</f>
        <v>42917</v>
      </c>
      <c r="U100" s="133" t="n">
        <f aca="false">T100-$C$3</f>
        <v>5912</v>
      </c>
      <c r="W100" s="61" t="n">
        <f aca="false">A101-A100</f>
        <v>31</v>
      </c>
      <c r="X100" s="135" t="n">
        <f aca="false">CHOOSE(F$3,A101+24,A100)</f>
        <v>42917</v>
      </c>
      <c r="Y100" s="61" t="n">
        <f aca="false">X100-C$3</f>
        <v>5912</v>
      </c>
      <c r="Z100" s="136" t="n">
        <f aca="false">VLOOKUP($A100,[1]!CurveTable,MATCH($Z$4,[1]!CurveType,0))</f>
        <v>0.0652646853563441</v>
      </c>
      <c r="AA100" s="137" t="n">
        <f aca="false">1/(1+CHOOSE(F$3,(Z101+($K$3/10000))/2,(Z100+($K$3/10000))/2))^(2*Y100/365.25)</f>
        <v>0.353626006453013</v>
      </c>
      <c r="AB100" s="61" t="n">
        <f aca="false">IF(AND(mthbeg&lt;=A100,mthend&gt;=A100),1,0)</f>
        <v>1</v>
      </c>
      <c r="AC100" s="61" t="n">
        <f aca="false">W100*AB100</f>
        <v>31</v>
      </c>
      <c r="AD100" s="121" t="n">
        <f aca="false">$D100*E100</f>
        <v>11549920.7114999</v>
      </c>
      <c r="AE100" s="121" t="n">
        <f aca="false">$D100*F100</f>
        <v>0</v>
      </c>
      <c r="AF100" s="121" t="n">
        <f aca="false">$D100*G100</f>
        <v>11549920.7114999</v>
      </c>
      <c r="AG100" s="121" t="n">
        <f aca="false">$D100*H100</f>
        <v>0</v>
      </c>
      <c r="AH100" s="121" t="n">
        <f aca="false">$D100*I100</f>
        <v>0</v>
      </c>
      <c r="AI100" s="121" t="n">
        <f aca="false">$D100*J100</f>
        <v>0</v>
      </c>
      <c r="AJ100" s="121" t="n">
        <f aca="false">$D100*K100</f>
        <v>0</v>
      </c>
      <c r="AK100" s="121" t="n">
        <f aca="false">$D100*L100</f>
        <v>0</v>
      </c>
      <c r="AL100" s="121" t="n">
        <f aca="false">$D100*M100</f>
        <v>0</v>
      </c>
      <c r="AM100" s="139"/>
      <c r="AO100" s="75" t="e">
        <f aca="false">EURO(N100,O100,Z100,Z100,R100,U100,1,0)</f>
        <v>#NAME?</v>
      </c>
      <c r="AP100" s="138" t="e">
        <f aca="false">AO100*C100</f>
        <v>#NAME?</v>
      </c>
      <c r="AQ100" s="61" t="e">
        <f aca="false">EURO(N100,O100,Z100,Z100,R100,U100,1,1)</f>
        <v>#NAME?</v>
      </c>
      <c r="AR100" s="61" t="e">
        <f aca="false">AQ100+Put!AQ100</f>
        <v>#NAME?</v>
      </c>
      <c r="AS100" s="138" t="e">
        <f aca="false">AR100*C100</f>
        <v>#NAME?</v>
      </c>
      <c r="AT100" s="120" t="e">
        <f aca="false">AS100/10000</f>
        <v>#NAME?</v>
      </c>
    </row>
    <row r="101" customFormat="false" ht="12.75" hidden="false" customHeight="false" outlineLevel="0" collapsed="false">
      <c r="A101" s="127" t="n">
        <f aca="false">EDATE(A100,1)</f>
        <v>42948</v>
      </c>
      <c r="B101" s="128" t="n">
        <f aca="false">B100</f>
        <v>205479</v>
      </c>
      <c r="C101" s="116" t="n">
        <f aca="false">IF(AB101=0,0,IF(AND(AB101=1,$H$3=1),B101*W101,IF($H$3=2,B101,"N/A")))</f>
        <v>6369849</v>
      </c>
      <c r="D101" s="116" t="n">
        <f aca="false">C101*AA101</f>
        <v>2238799.19396847</v>
      </c>
      <c r="E101" s="129" t="n">
        <f aca="false">VLOOKUP($A101,[1]!CurveTable,MATCH($E$4,[1]!CurveType,0))</f>
        <v>5.1625</v>
      </c>
      <c r="F101" s="130"/>
      <c r="G101" s="131" t="n">
        <f aca="false">E101</f>
        <v>5.1625</v>
      </c>
      <c r="H101" s="129" t="n">
        <f aca="false">VLOOKUP($A101,[1]!CurveTable,MATCH($H$4,[1]!CurveType,0))</f>
        <v>0</v>
      </c>
      <c r="I101" s="131"/>
      <c r="J101" s="131" t="n">
        <f aca="false">H101</f>
        <v>0</v>
      </c>
      <c r="K101" s="129"/>
      <c r="L101" s="131"/>
      <c r="M101" s="131"/>
      <c r="N101" s="131" t="n">
        <f aca="false">G101+J101+M101+$N$7</f>
        <v>4.8725</v>
      </c>
      <c r="O101" s="131" t="n">
        <f aca="false">Summary!$E$16</f>
        <v>9.81903240236408</v>
      </c>
      <c r="P101" s="131"/>
      <c r="Q101" s="129" t="n">
        <f aca="false">VLOOKUP($A101,[1]!CurveTable,MATCH($Q$4,[1]!CurveType,0))</f>
        <v>0.17</v>
      </c>
      <c r="R101" s="129" t="n">
        <f aca="false">Q101+Summary!$C$26</f>
        <v>0.17</v>
      </c>
      <c r="S101" s="129"/>
      <c r="T101" s="132" t="n">
        <f aca="false">X101</f>
        <v>42948</v>
      </c>
      <c r="U101" s="133" t="n">
        <f aca="false">T101-$C$3</f>
        <v>5943</v>
      </c>
      <c r="W101" s="61" t="n">
        <f aca="false">A102-A101</f>
        <v>31</v>
      </c>
      <c r="X101" s="135" t="n">
        <f aca="false">CHOOSE(F$3,A102+24,A101)</f>
        <v>42948</v>
      </c>
      <c r="Y101" s="61" t="n">
        <f aca="false">X101-C$3</f>
        <v>5943</v>
      </c>
      <c r="Z101" s="136" t="n">
        <f aca="false">VLOOKUP($A101,[1]!CurveTable,MATCH($Z$4,[1]!CurveType,0))</f>
        <v>0.0653072030678414</v>
      </c>
      <c r="AA101" s="137" t="n">
        <f aca="false">1/(1+CHOOSE(F$3,(Z102+($K$3/10000))/2,(Z101+($K$3/10000))/2))^(2*Y101/365.25)</f>
        <v>0.351468173573419</v>
      </c>
      <c r="AB101" s="61" t="n">
        <f aca="false">IF(AND(mthbeg&lt;=A101,mthend&gt;=A101),1,0)</f>
        <v>1</v>
      </c>
      <c r="AC101" s="61" t="n">
        <f aca="false">W101*AB101</f>
        <v>31</v>
      </c>
      <c r="AD101" s="121" t="n">
        <f aca="false">$D101*E101</f>
        <v>11557800.8388622</v>
      </c>
      <c r="AE101" s="121" t="n">
        <f aca="false">$D101*F101</f>
        <v>0</v>
      </c>
      <c r="AF101" s="121" t="n">
        <f aca="false">$D101*G101</f>
        <v>11557800.8388622</v>
      </c>
      <c r="AG101" s="121" t="n">
        <f aca="false">$D101*H101</f>
        <v>0</v>
      </c>
      <c r="AH101" s="121" t="n">
        <f aca="false">$D101*I101</f>
        <v>0</v>
      </c>
      <c r="AI101" s="121" t="n">
        <f aca="false">$D101*J101</f>
        <v>0</v>
      </c>
      <c r="AJ101" s="121" t="n">
        <f aca="false">$D101*K101</f>
        <v>0</v>
      </c>
      <c r="AK101" s="121" t="n">
        <f aca="false">$D101*L101</f>
        <v>0</v>
      </c>
      <c r="AL101" s="121" t="n">
        <f aca="false">$D101*M101</f>
        <v>0</v>
      </c>
      <c r="AM101" s="139"/>
      <c r="AO101" s="75" t="e">
        <f aca="false">EURO(N101,O101,Z101,Z101,R101,U101,1,0)</f>
        <v>#NAME?</v>
      </c>
      <c r="AP101" s="138" t="e">
        <f aca="false">AO101*C101</f>
        <v>#NAME?</v>
      </c>
      <c r="AQ101" s="61" t="e">
        <f aca="false">EURO(N101,O101,Z101,Z101,R101,U101,1,1)</f>
        <v>#NAME?</v>
      </c>
      <c r="AR101" s="61" t="e">
        <f aca="false">AQ101+Put!AQ101</f>
        <v>#NAME?</v>
      </c>
      <c r="AS101" s="138" t="e">
        <f aca="false">AR101*C101</f>
        <v>#NAME?</v>
      </c>
      <c r="AT101" s="120" t="e">
        <f aca="false">AS101/10000</f>
        <v>#NAME?</v>
      </c>
    </row>
    <row r="102" customFormat="false" ht="12.75" hidden="false" customHeight="false" outlineLevel="0" collapsed="false">
      <c r="A102" s="127" t="n">
        <f aca="false">EDATE(A101,1)</f>
        <v>42979</v>
      </c>
      <c r="B102" s="128" t="n">
        <f aca="false">B101</f>
        <v>205479</v>
      </c>
      <c r="C102" s="116" t="n">
        <f aca="false">IF(AB102=0,0,IF(AND(AB102=1,$H$3=1),B102*W102,IF($H$3=2,B102,"N/A")))</f>
        <v>6164370</v>
      </c>
      <c r="D102" s="116" t="n">
        <f aca="false">C102*AA102</f>
        <v>2153344.33182357</v>
      </c>
      <c r="E102" s="129" t="n">
        <f aca="false">VLOOKUP($A102,[1]!CurveTable,MATCH($E$4,[1]!CurveType,0))</f>
        <v>5.1675</v>
      </c>
      <c r="F102" s="130"/>
      <c r="G102" s="131" t="n">
        <f aca="false">E102</f>
        <v>5.1675</v>
      </c>
      <c r="H102" s="129" t="n">
        <f aca="false">VLOOKUP($A102,[1]!CurveTable,MATCH($H$4,[1]!CurveType,0))</f>
        <v>0</v>
      </c>
      <c r="I102" s="131"/>
      <c r="J102" s="131" t="n">
        <f aca="false">H102</f>
        <v>0</v>
      </c>
      <c r="K102" s="129"/>
      <c r="L102" s="131"/>
      <c r="M102" s="131"/>
      <c r="N102" s="131" t="n">
        <f aca="false">G102+J102+M102+$N$7</f>
        <v>4.8775</v>
      </c>
      <c r="O102" s="131" t="n">
        <f aca="false">Summary!$E$16</f>
        <v>9.81903240236408</v>
      </c>
      <c r="P102" s="131"/>
      <c r="Q102" s="129" t="n">
        <f aca="false">VLOOKUP($A102,[1]!CurveTable,MATCH($Q$4,[1]!CurveType,0))</f>
        <v>0.17</v>
      </c>
      <c r="R102" s="129" t="n">
        <f aca="false">Q102+Summary!$C$26</f>
        <v>0.17</v>
      </c>
      <c r="S102" s="129"/>
      <c r="T102" s="132" t="n">
        <f aca="false">X102</f>
        <v>42979</v>
      </c>
      <c r="U102" s="133" t="n">
        <f aca="false">T102-$C$3</f>
        <v>5974</v>
      </c>
      <c r="W102" s="61" t="n">
        <f aca="false">A103-A102</f>
        <v>30</v>
      </c>
      <c r="X102" s="135" t="n">
        <f aca="false">CHOOSE(F$3,A103+24,A102)</f>
        <v>42979</v>
      </c>
      <c r="Y102" s="61" t="n">
        <f aca="false">X102-C$3</f>
        <v>5974</v>
      </c>
      <c r="Z102" s="136" t="n">
        <f aca="false">VLOOKUP($A102,[1]!CurveTable,MATCH($Z$4,[1]!CurveType,0))</f>
        <v>0.0653497207799383</v>
      </c>
      <c r="AA102" s="137" t="n">
        <f aca="false">1/(1+CHOOSE(F$3,(Z103+($K$3/10000))/2,(Z102+($K$3/10000))/2))^(2*Y102/365.25)</f>
        <v>0.349321071224403</v>
      </c>
      <c r="AB102" s="61" t="n">
        <f aca="false">IF(AND(mthbeg&lt;=A102,mthend&gt;=A102),1,0)</f>
        <v>1</v>
      </c>
      <c r="AC102" s="61" t="n">
        <f aca="false">W102*AB102</f>
        <v>30</v>
      </c>
      <c r="AD102" s="121" t="n">
        <f aca="false">$D102*E102</f>
        <v>11127406.8346983</v>
      </c>
      <c r="AE102" s="121" t="n">
        <f aca="false">$D102*F102</f>
        <v>0</v>
      </c>
      <c r="AF102" s="121" t="n">
        <f aca="false">$D102*G102</f>
        <v>11127406.8346983</v>
      </c>
      <c r="AG102" s="121" t="n">
        <f aca="false">$D102*H102</f>
        <v>0</v>
      </c>
      <c r="AH102" s="121" t="n">
        <f aca="false">$D102*I102</f>
        <v>0</v>
      </c>
      <c r="AI102" s="121" t="n">
        <f aca="false">$D102*J102</f>
        <v>0</v>
      </c>
      <c r="AJ102" s="121" t="n">
        <f aca="false">$D102*K102</f>
        <v>0</v>
      </c>
      <c r="AK102" s="121" t="n">
        <f aca="false">$D102*L102</f>
        <v>0</v>
      </c>
      <c r="AL102" s="121" t="n">
        <f aca="false">$D102*M102</f>
        <v>0</v>
      </c>
      <c r="AM102" s="139"/>
      <c r="AO102" s="75" t="e">
        <f aca="false">EURO(N102,O102,Z102,Z102,R102,U102,1,0)</f>
        <v>#NAME?</v>
      </c>
      <c r="AP102" s="138" t="e">
        <f aca="false">AO102*C102</f>
        <v>#NAME?</v>
      </c>
      <c r="AQ102" s="61" t="e">
        <f aca="false">EURO(N102,O102,Z102,Z102,R102,U102,1,1)</f>
        <v>#NAME?</v>
      </c>
      <c r="AR102" s="61" t="e">
        <f aca="false">AQ102+Put!AQ102</f>
        <v>#NAME?</v>
      </c>
      <c r="AS102" s="138" t="e">
        <f aca="false">AR102*C102</f>
        <v>#NAME?</v>
      </c>
      <c r="AT102" s="120" t="e">
        <f aca="false">AS102/10000</f>
        <v>#NAME?</v>
      </c>
    </row>
    <row r="103" customFormat="false" ht="12.75" hidden="false" customHeight="false" outlineLevel="0" collapsed="false">
      <c r="A103" s="127" t="n">
        <f aca="false">EDATE(A102,1)</f>
        <v>43009</v>
      </c>
      <c r="B103" s="128" t="n">
        <f aca="false">B102</f>
        <v>205479</v>
      </c>
      <c r="C103" s="116" t="n">
        <f aca="false">IF(AB103=0,0,IF(AND(AB103=1,$H$3=1),B103*W103,IF($H$3=2,B103,"N/A")))</f>
        <v>6369849</v>
      </c>
      <c r="D103" s="116" t="n">
        <f aca="false">C103*AA103</f>
        <v>2211951.80929822</v>
      </c>
      <c r="E103" s="129" t="n">
        <f aca="false">VLOOKUP($A103,[1]!CurveTable,MATCH($E$4,[1]!CurveType,0))</f>
        <v>5.1975</v>
      </c>
      <c r="F103" s="130"/>
      <c r="G103" s="131" t="n">
        <f aca="false">E103</f>
        <v>5.1975</v>
      </c>
      <c r="H103" s="129" t="n">
        <f aca="false">VLOOKUP($A103,[1]!CurveTable,MATCH($H$4,[1]!CurveType,0))</f>
        <v>0</v>
      </c>
      <c r="I103" s="131"/>
      <c r="J103" s="131" t="n">
        <f aca="false">H103</f>
        <v>0</v>
      </c>
      <c r="K103" s="129"/>
      <c r="L103" s="131"/>
      <c r="M103" s="131"/>
      <c r="N103" s="131" t="n">
        <f aca="false">G103+J103+M103+$N$7</f>
        <v>4.9075</v>
      </c>
      <c r="O103" s="131" t="n">
        <f aca="false">Summary!$E$16</f>
        <v>9.81903240236408</v>
      </c>
      <c r="P103" s="131"/>
      <c r="Q103" s="129" t="n">
        <f aca="false">VLOOKUP($A103,[1]!CurveTable,MATCH($Q$4,[1]!CurveType,0))</f>
        <v>0.17</v>
      </c>
      <c r="R103" s="129" t="n">
        <f aca="false">Q103+Summary!$C$26</f>
        <v>0.17</v>
      </c>
      <c r="S103" s="129"/>
      <c r="T103" s="132" t="n">
        <f aca="false">X103</f>
        <v>43009</v>
      </c>
      <c r="U103" s="133" t="n">
        <f aca="false">T103-$C$3</f>
        <v>6004</v>
      </c>
      <c r="W103" s="61" t="n">
        <f aca="false">A104-A103</f>
        <v>31</v>
      </c>
      <c r="X103" s="135" t="n">
        <f aca="false">CHOOSE(F$3,A104+24,A103)</f>
        <v>43009</v>
      </c>
      <c r="Y103" s="61" t="n">
        <f aca="false">X103-C$3</f>
        <v>6004</v>
      </c>
      <c r="Z103" s="136" t="n">
        <f aca="false">VLOOKUP($A103,[1]!CurveTable,MATCH($Z$4,[1]!CurveType,0))</f>
        <v>0.0653908669535053</v>
      </c>
      <c r="AA103" s="137" t="n">
        <f aca="false">1/(1+CHOOSE(F$3,(Z104+($K$3/10000))/2,(Z103+($K$3/10000))/2))^(2*Y103/365.25)</f>
        <v>0.347253413589274</v>
      </c>
      <c r="AB103" s="61" t="n">
        <f aca="false">IF(AND(mthbeg&lt;=A103,mthend&gt;=A103),1,0)</f>
        <v>1</v>
      </c>
      <c r="AC103" s="61" t="n">
        <f aca="false">W103*AB103</f>
        <v>31</v>
      </c>
      <c r="AD103" s="121" t="n">
        <f aca="false">$D103*E103</f>
        <v>11496619.5288275</v>
      </c>
      <c r="AE103" s="121" t="n">
        <f aca="false">$D103*F103</f>
        <v>0</v>
      </c>
      <c r="AF103" s="121" t="n">
        <f aca="false">$D103*G103</f>
        <v>11496619.5288275</v>
      </c>
      <c r="AG103" s="121" t="n">
        <f aca="false">$D103*H103</f>
        <v>0</v>
      </c>
      <c r="AH103" s="121" t="n">
        <f aca="false">$D103*I103</f>
        <v>0</v>
      </c>
      <c r="AI103" s="121" t="n">
        <f aca="false">$D103*J103</f>
        <v>0</v>
      </c>
      <c r="AJ103" s="121" t="n">
        <f aca="false">$D103*K103</f>
        <v>0</v>
      </c>
      <c r="AK103" s="121" t="n">
        <f aca="false">$D103*L103</f>
        <v>0</v>
      </c>
      <c r="AL103" s="121" t="n">
        <f aca="false">$D103*M103</f>
        <v>0</v>
      </c>
      <c r="AM103" s="139"/>
      <c r="AO103" s="75" t="e">
        <f aca="false">EURO(N103,O103,Z103,Z103,R103,U103,1,0)</f>
        <v>#NAME?</v>
      </c>
      <c r="AP103" s="138" t="e">
        <f aca="false">AO103*C103</f>
        <v>#NAME?</v>
      </c>
      <c r="AQ103" s="61" t="e">
        <f aca="false">EURO(N103,O103,Z103,Z103,R103,U103,1,1)</f>
        <v>#NAME?</v>
      </c>
      <c r="AR103" s="61" t="e">
        <f aca="false">AQ103+Put!AQ103</f>
        <v>#NAME?</v>
      </c>
      <c r="AS103" s="138" t="e">
        <f aca="false">AR103*C103</f>
        <v>#NAME?</v>
      </c>
      <c r="AT103" s="120" t="e">
        <f aca="false">AS103/10000</f>
        <v>#NAME?</v>
      </c>
    </row>
    <row r="104" customFormat="false" ht="12.75" hidden="false" customHeight="false" outlineLevel="0" collapsed="false">
      <c r="A104" s="127" t="n">
        <f aca="false">EDATE(A103,1)</f>
        <v>43040</v>
      </c>
      <c r="B104" s="128" t="n">
        <f aca="false">B103</f>
        <v>205479</v>
      </c>
      <c r="C104" s="116" t="n">
        <f aca="false">IF(AB104=0,0,IF(AND(AB104=1,$H$3=1),B104*W104,IF($H$3=2,B104,"N/A")))</f>
        <v>6164370</v>
      </c>
      <c r="D104" s="116" t="n">
        <f aca="false">C104*AA104</f>
        <v>2127492.51086849</v>
      </c>
      <c r="E104" s="129" t="n">
        <f aca="false">VLOOKUP($A104,[1]!CurveTable,MATCH($E$4,[1]!CurveType,0))</f>
        <v>5.3075</v>
      </c>
      <c r="F104" s="130"/>
      <c r="G104" s="131" t="n">
        <f aca="false">E104</f>
        <v>5.3075</v>
      </c>
      <c r="H104" s="129" t="n">
        <f aca="false">VLOOKUP($A104,[1]!CurveTable,MATCH($H$4,[1]!CurveType,0))</f>
        <v>0</v>
      </c>
      <c r="I104" s="131"/>
      <c r="J104" s="131" t="n">
        <f aca="false">H104</f>
        <v>0</v>
      </c>
      <c r="K104" s="129"/>
      <c r="L104" s="131"/>
      <c r="M104" s="131"/>
      <c r="N104" s="131" t="n">
        <f aca="false">G104+J104+M104+$N$7</f>
        <v>5.0175</v>
      </c>
      <c r="O104" s="131" t="n">
        <f aca="false">Summary!$E$16</f>
        <v>9.81903240236408</v>
      </c>
      <c r="P104" s="131"/>
      <c r="Q104" s="129" t="n">
        <f aca="false">VLOOKUP($A104,[1]!CurveTable,MATCH($Q$4,[1]!CurveType,0))</f>
        <v>0.17</v>
      </c>
      <c r="R104" s="129" t="n">
        <f aca="false">Q104+Summary!$C$26</f>
        <v>0.17</v>
      </c>
      <c r="S104" s="129"/>
      <c r="T104" s="132" t="n">
        <f aca="false">X104</f>
        <v>43040</v>
      </c>
      <c r="U104" s="133" t="n">
        <f aca="false">T104-$C$3</f>
        <v>6035</v>
      </c>
      <c r="W104" s="61" t="n">
        <f aca="false">A105-A104</f>
        <v>30</v>
      </c>
      <c r="X104" s="135" t="n">
        <f aca="false">CHOOSE(F$3,A105+24,A104)</f>
        <v>43040</v>
      </c>
      <c r="Y104" s="61" t="n">
        <f aca="false">X104-C$3</f>
        <v>6035</v>
      </c>
      <c r="Z104" s="136" t="n">
        <f aca="false">VLOOKUP($A104,[1]!CurveTable,MATCH($Z$4,[1]!CurveType,0))</f>
        <v>0.0654333846667812</v>
      </c>
      <c r="AA104" s="137" t="n">
        <f aca="false">1/(1+CHOOSE(F$3,(Z105+($K$3/10000))/2,(Z104+($K$3/10000))/2))^(2*Y104/365.25)</f>
        <v>0.34512732215433</v>
      </c>
      <c r="AB104" s="61" t="n">
        <f aca="false">IF(AND(mthbeg&lt;=A104,mthend&gt;=A104),1,0)</f>
        <v>1</v>
      </c>
      <c r="AC104" s="61" t="n">
        <f aca="false">W104*AB104</f>
        <v>30</v>
      </c>
      <c r="AD104" s="121" t="n">
        <f aca="false">$D104*E104</f>
        <v>11291666.5014345</v>
      </c>
      <c r="AE104" s="121" t="n">
        <f aca="false">$D104*F104</f>
        <v>0</v>
      </c>
      <c r="AF104" s="121" t="n">
        <f aca="false">$D104*G104</f>
        <v>11291666.5014345</v>
      </c>
      <c r="AG104" s="121" t="n">
        <f aca="false">$D104*H104</f>
        <v>0</v>
      </c>
      <c r="AH104" s="121" t="n">
        <f aca="false">$D104*I104</f>
        <v>0</v>
      </c>
      <c r="AI104" s="121" t="n">
        <f aca="false">$D104*J104</f>
        <v>0</v>
      </c>
      <c r="AJ104" s="121" t="n">
        <f aca="false">$D104*K104</f>
        <v>0</v>
      </c>
      <c r="AK104" s="121" t="n">
        <f aca="false">$D104*L104</f>
        <v>0</v>
      </c>
      <c r="AL104" s="121" t="n">
        <f aca="false">$D104*M104</f>
        <v>0</v>
      </c>
      <c r="AM104" s="139"/>
      <c r="AO104" s="75" t="e">
        <f aca="false">EURO(N104,O104,Z104,Z104,R104,U104,1,0)</f>
        <v>#NAME?</v>
      </c>
      <c r="AP104" s="138" t="e">
        <f aca="false">AO104*C104</f>
        <v>#NAME?</v>
      </c>
      <c r="AQ104" s="61" t="e">
        <f aca="false">EURO(N104,O104,Z104,Z104,R104,U104,1,1)</f>
        <v>#NAME?</v>
      </c>
      <c r="AR104" s="61" t="e">
        <f aca="false">AQ104+Put!AQ104</f>
        <v>#NAME?</v>
      </c>
      <c r="AS104" s="138" t="e">
        <f aca="false">AR104*C104</f>
        <v>#NAME?</v>
      </c>
      <c r="AT104" s="120" t="e">
        <f aca="false">AS104/10000</f>
        <v>#NAME?</v>
      </c>
    </row>
    <row r="105" customFormat="false" ht="12.75" hidden="false" customHeight="false" outlineLevel="0" collapsed="false">
      <c r="A105" s="127" t="n">
        <f aca="false">EDATE(A104,1)</f>
        <v>43070</v>
      </c>
      <c r="B105" s="128" t="n">
        <f aca="false">B104</f>
        <v>205479</v>
      </c>
      <c r="C105" s="116" t="n">
        <f aca="false">IF(AB105=0,0,IF(AND(AB105=1,$H$3=1),B105*W105,IF($H$3=2,B105,"N/A")))</f>
        <v>6369849</v>
      </c>
      <c r="D105" s="116" t="n">
        <f aca="false">C105*AA105</f>
        <v>2185367.35486165</v>
      </c>
      <c r="E105" s="129" t="n">
        <f aca="false">VLOOKUP($A105,[1]!CurveTable,MATCH($E$4,[1]!CurveType,0))</f>
        <v>5.4275</v>
      </c>
      <c r="F105" s="130"/>
      <c r="G105" s="131" t="n">
        <f aca="false">E105</f>
        <v>5.4275</v>
      </c>
      <c r="H105" s="129" t="n">
        <f aca="false">VLOOKUP($A105,[1]!CurveTable,MATCH($H$4,[1]!CurveType,0))</f>
        <v>0</v>
      </c>
      <c r="I105" s="131"/>
      <c r="J105" s="131" t="n">
        <f aca="false">H105</f>
        <v>0</v>
      </c>
      <c r="K105" s="129"/>
      <c r="L105" s="131"/>
      <c r="M105" s="131"/>
      <c r="N105" s="131" t="n">
        <f aca="false">G105+J105+M105+$N$7</f>
        <v>5.1375</v>
      </c>
      <c r="O105" s="131" t="n">
        <f aca="false">Summary!$E$16</f>
        <v>9.81903240236408</v>
      </c>
      <c r="P105" s="131"/>
      <c r="Q105" s="129" t="n">
        <f aca="false">VLOOKUP($A105,[1]!CurveTable,MATCH($Q$4,[1]!CurveType,0))</f>
        <v>0.17</v>
      </c>
      <c r="R105" s="129" t="n">
        <f aca="false">Q105+Summary!$C$26</f>
        <v>0.17</v>
      </c>
      <c r="S105" s="129"/>
      <c r="T105" s="132" t="n">
        <f aca="false">X105</f>
        <v>43070</v>
      </c>
      <c r="U105" s="133" t="n">
        <f aca="false">T105-$C$3</f>
        <v>6065</v>
      </c>
      <c r="W105" s="61" t="n">
        <f aca="false">A106-A105</f>
        <v>31</v>
      </c>
      <c r="X105" s="135" t="n">
        <f aca="false">CHOOSE(F$3,A106+24,A105)</f>
        <v>43070</v>
      </c>
      <c r="Y105" s="61" t="n">
        <f aca="false">X105-C$3</f>
        <v>6065</v>
      </c>
      <c r="Z105" s="136" t="n">
        <f aca="false">VLOOKUP($A105,[1]!CurveTable,MATCH($Z$4,[1]!CurveType,0))</f>
        <v>0.065474530841489</v>
      </c>
      <c r="AA105" s="137" t="n">
        <f aca="false">1/(1+CHOOSE(F$3,(Z106+($K$3/10000))/2,(Z105+($K$3/10000))/2))^(2*Y105/365.25)</f>
        <v>0.343079930915419</v>
      </c>
      <c r="AB105" s="61" t="n">
        <f aca="false">IF(AND(mthbeg&lt;=A105,mthend&gt;=A105),1,0)</f>
        <v>1</v>
      </c>
      <c r="AC105" s="61" t="n">
        <f aca="false">W105*AB105</f>
        <v>31</v>
      </c>
      <c r="AD105" s="121" t="n">
        <f aca="false">$D105*E105</f>
        <v>11861081.3185116</v>
      </c>
      <c r="AE105" s="121" t="n">
        <f aca="false">$D105*F105</f>
        <v>0</v>
      </c>
      <c r="AF105" s="121" t="n">
        <f aca="false">$D105*G105</f>
        <v>11861081.3185116</v>
      </c>
      <c r="AG105" s="121" t="n">
        <f aca="false">$D105*H105</f>
        <v>0</v>
      </c>
      <c r="AH105" s="121" t="n">
        <f aca="false">$D105*I105</f>
        <v>0</v>
      </c>
      <c r="AI105" s="121" t="n">
        <f aca="false">$D105*J105</f>
        <v>0</v>
      </c>
      <c r="AJ105" s="121" t="n">
        <f aca="false">$D105*K105</f>
        <v>0</v>
      </c>
      <c r="AK105" s="121" t="n">
        <f aca="false">$D105*L105</f>
        <v>0</v>
      </c>
      <c r="AL105" s="121" t="n">
        <f aca="false">$D105*M105</f>
        <v>0</v>
      </c>
      <c r="AM105" s="139"/>
      <c r="AO105" s="75" t="e">
        <f aca="false">EURO(N105,O105,Z105,Z105,R105,U105,1,0)</f>
        <v>#NAME?</v>
      </c>
      <c r="AP105" s="138" t="e">
        <f aca="false">AO105*C105</f>
        <v>#NAME?</v>
      </c>
      <c r="AQ105" s="61" t="e">
        <f aca="false">EURO(N105,O105,Z105,Z105,R105,U105,1,1)</f>
        <v>#NAME?</v>
      </c>
      <c r="AR105" s="61" t="e">
        <f aca="false">AQ105+Put!AQ105</f>
        <v>#NAME?</v>
      </c>
      <c r="AS105" s="138" t="e">
        <f aca="false">AR105*C105</f>
        <v>#NAME?</v>
      </c>
      <c r="AT105" s="120" t="e">
        <f aca="false">AS105/10000</f>
        <v>#NAME?</v>
      </c>
    </row>
    <row r="106" customFormat="false" ht="12.75" hidden="false" customHeight="false" outlineLevel="0" collapsed="false">
      <c r="A106" s="127" t="n">
        <f aca="false">EDATE(A105,1)</f>
        <v>43101</v>
      </c>
      <c r="B106" s="128" t="n">
        <f aca="false">B105</f>
        <v>205479</v>
      </c>
      <c r="C106" s="116" t="n">
        <f aca="false">IF(AB106=0,0,IF(AND(AB106=1,$H$3=1),B106*W106,IF($H$3=2,B106,"N/A")))</f>
        <v>6369849</v>
      </c>
      <c r="D106" s="116" t="n">
        <f aca="false">C106*AA106</f>
        <v>2171957.43107304</v>
      </c>
      <c r="E106" s="129" t="n">
        <f aca="false">VLOOKUP($A106,[1]!CurveTable,MATCH($E$4,[1]!CurveType,0))</f>
        <v>5.5175</v>
      </c>
      <c r="F106" s="130"/>
      <c r="G106" s="131" t="n">
        <f aca="false">E106</f>
        <v>5.5175</v>
      </c>
      <c r="H106" s="129" t="n">
        <f aca="false">VLOOKUP($A106,[1]!CurveTable,MATCH($H$4,[1]!CurveType,0))</f>
        <v>0</v>
      </c>
      <c r="I106" s="131"/>
      <c r="J106" s="131" t="n">
        <f aca="false">H106</f>
        <v>0</v>
      </c>
      <c r="K106" s="129"/>
      <c r="L106" s="131"/>
      <c r="M106" s="131"/>
      <c r="N106" s="131" t="n">
        <f aca="false">G106+J106+M106+$N$7</f>
        <v>5.2275</v>
      </c>
      <c r="O106" s="131" t="n">
        <f aca="false">Summary!$E$16</f>
        <v>9.81903240236408</v>
      </c>
      <c r="P106" s="131"/>
      <c r="Q106" s="129" t="n">
        <f aca="false">VLOOKUP($A106,[1]!CurveTable,MATCH($Q$4,[1]!CurveType,0))</f>
        <v>0.17</v>
      </c>
      <c r="R106" s="129" t="n">
        <f aca="false">Q106+Summary!$C$26</f>
        <v>0.17</v>
      </c>
      <c r="S106" s="129"/>
      <c r="T106" s="132" t="n">
        <f aca="false">X106</f>
        <v>43101</v>
      </c>
      <c r="U106" s="133" t="n">
        <f aca="false">T106-$C$3</f>
        <v>6096</v>
      </c>
      <c r="W106" s="61" t="n">
        <f aca="false">A107-A106</f>
        <v>31</v>
      </c>
      <c r="X106" s="135" t="n">
        <f aca="false">CHOOSE(F$3,A107+24,A106)</f>
        <v>43101</v>
      </c>
      <c r="Y106" s="61" t="n">
        <f aca="false">X106-C$3</f>
        <v>6096</v>
      </c>
      <c r="Z106" s="136" t="n">
        <f aca="false">VLOOKUP($A106,[1]!CurveTable,MATCH($Z$4,[1]!CurveType,0))</f>
        <v>0.0655170485559431</v>
      </c>
      <c r="AA106" s="137" t="n">
        <f aca="false">1/(1+CHOOSE(F$3,(Z107+($K$3/10000))/2,(Z106+($K$3/10000))/2))^(2*Y106/365.25)</f>
        <v>0.340974712441855</v>
      </c>
      <c r="AB106" s="61" t="n">
        <f aca="false">IF(AND(mthbeg&lt;=A106,mthend&gt;=A106),1,0)</f>
        <v>1</v>
      </c>
      <c r="AC106" s="61" t="n">
        <f aca="false">W106*AB106</f>
        <v>31</v>
      </c>
      <c r="AD106" s="121" t="n">
        <f aca="false">$D106*E106</f>
        <v>11983775.1259455</v>
      </c>
      <c r="AE106" s="121" t="n">
        <f aca="false">$D106*F106</f>
        <v>0</v>
      </c>
      <c r="AF106" s="121" t="n">
        <f aca="false">$D106*G106</f>
        <v>11983775.1259455</v>
      </c>
      <c r="AG106" s="121" t="n">
        <f aca="false">$D106*H106</f>
        <v>0</v>
      </c>
      <c r="AH106" s="121" t="n">
        <f aca="false">$D106*I106</f>
        <v>0</v>
      </c>
      <c r="AI106" s="121" t="n">
        <f aca="false">$D106*J106</f>
        <v>0</v>
      </c>
      <c r="AJ106" s="121" t="n">
        <f aca="false">$D106*K106</f>
        <v>0</v>
      </c>
      <c r="AK106" s="121" t="n">
        <f aca="false">$D106*L106</f>
        <v>0</v>
      </c>
      <c r="AL106" s="121" t="n">
        <f aca="false">$D106*M106</f>
        <v>0</v>
      </c>
      <c r="AM106" s="139"/>
      <c r="AO106" s="75" t="e">
        <f aca="false">EURO(N106,O106,Z106,Z106,R106,U106,1,0)</f>
        <v>#NAME?</v>
      </c>
      <c r="AP106" s="138" t="e">
        <f aca="false">AO106*C106</f>
        <v>#NAME?</v>
      </c>
      <c r="AQ106" s="61" t="e">
        <f aca="false">EURO(N106,O106,Z106,Z106,R106,U106,1,1)</f>
        <v>#NAME?</v>
      </c>
      <c r="AR106" s="61" t="e">
        <f aca="false">AQ106+Put!AQ106</f>
        <v>#NAME?</v>
      </c>
      <c r="AS106" s="138" t="e">
        <f aca="false">AR106*C106</f>
        <v>#NAME?</v>
      </c>
      <c r="AT106" s="120" t="e">
        <f aca="false">AS106/10000</f>
        <v>#NAME?</v>
      </c>
    </row>
    <row r="107" customFormat="false" ht="12.75" hidden="false" customHeight="false" outlineLevel="0" collapsed="false">
      <c r="A107" s="127" t="n">
        <f aca="false">EDATE(A106,1)</f>
        <v>43132</v>
      </c>
      <c r="B107" s="128" t="n">
        <f aca="false">B106</f>
        <v>205479</v>
      </c>
      <c r="C107" s="116" t="n">
        <f aca="false">IF(AB107=0,0,IF(AND(AB107=1,$H$3=1),B107*W107,IF($H$3=2,B107,"N/A")))</f>
        <v>5753412</v>
      </c>
      <c r="D107" s="116" t="n">
        <f aca="false">C107*AA107</f>
        <v>1949716.53852228</v>
      </c>
      <c r="E107" s="129" t="n">
        <f aca="false">VLOOKUP($A107,[1]!CurveTable,MATCH($E$4,[1]!CurveType,0))</f>
        <v>5.3975</v>
      </c>
      <c r="F107" s="130"/>
      <c r="G107" s="131" t="n">
        <f aca="false">E107</f>
        <v>5.3975</v>
      </c>
      <c r="H107" s="129" t="n">
        <f aca="false">VLOOKUP($A107,[1]!CurveTable,MATCH($H$4,[1]!CurveType,0))</f>
        <v>0</v>
      </c>
      <c r="I107" s="131"/>
      <c r="J107" s="131" t="n">
        <f aca="false">H107</f>
        <v>0</v>
      </c>
      <c r="K107" s="129"/>
      <c r="L107" s="131"/>
      <c r="M107" s="131"/>
      <c r="N107" s="131" t="n">
        <f aca="false">G107+J107+M107+$N$7</f>
        <v>5.1075</v>
      </c>
      <c r="O107" s="131" t="n">
        <f aca="false">Summary!$E$16</f>
        <v>9.81903240236408</v>
      </c>
      <c r="P107" s="131"/>
      <c r="Q107" s="129" t="n">
        <f aca="false">VLOOKUP($A107,[1]!CurveTable,MATCH($Q$4,[1]!CurveType,0))</f>
        <v>0.17</v>
      </c>
      <c r="R107" s="129" t="n">
        <f aca="false">Q107+Summary!$C$26</f>
        <v>0.17</v>
      </c>
      <c r="S107" s="129"/>
      <c r="T107" s="132" t="n">
        <f aca="false">X107</f>
        <v>43132</v>
      </c>
      <c r="U107" s="133" t="n">
        <f aca="false">T107-$C$3</f>
        <v>6127</v>
      </c>
      <c r="W107" s="61" t="n">
        <f aca="false">A108-A107</f>
        <v>28</v>
      </c>
      <c r="X107" s="135" t="n">
        <f aca="false">CHOOSE(F$3,A108+24,A107)</f>
        <v>43132</v>
      </c>
      <c r="Y107" s="61" t="n">
        <f aca="false">X107-C$3</f>
        <v>6127</v>
      </c>
      <c r="Z107" s="136" t="n">
        <f aca="false">VLOOKUP($A107,[1]!CurveTable,MATCH($Z$4,[1]!CurveType,0))</f>
        <v>0.0655595662709967</v>
      </c>
      <c r="AA107" s="137" t="n">
        <f aca="false">1/(1+CHOOSE(F$3,(Z108+($K$3/10000))/2,(Z107+($K$3/10000))/2))^(2*Y107/365.25)</f>
        <v>0.338880048660218</v>
      </c>
      <c r="AB107" s="61" t="n">
        <f aca="false">IF(AND(mthbeg&lt;=A107,mthend&gt;=A107),1,0)</f>
        <v>1</v>
      </c>
      <c r="AC107" s="61" t="n">
        <f aca="false">W107*AB107</f>
        <v>28</v>
      </c>
      <c r="AD107" s="121" t="n">
        <f aca="false">$D107*E107</f>
        <v>10523595.016674</v>
      </c>
      <c r="AE107" s="121" t="n">
        <f aca="false">$D107*F107</f>
        <v>0</v>
      </c>
      <c r="AF107" s="121" t="n">
        <f aca="false">$D107*G107</f>
        <v>10523595.016674</v>
      </c>
      <c r="AG107" s="121" t="n">
        <f aca="false">$D107*H107</f>
        <v>0</v>
      </c>
      <c r="AH107" s="121" t="n">
        <f aca="false">$D107*I107</f>
        <v>0</v>
      </c>
      <c r="AI107" s="121" t="n">
        <f aca="false">$D107*J107</f>
        <v>0</v>
      </c>
      <c r="AJ107" s="121" t="n">
        <f aca="false">$D107*K107</f>
        <v>0</v>
      </c>
      <c r="AK107" s="121" t="n">
        <f aca="false">$D107*L107</f>
        <v>0</v>
      </c>
      <c r="AL107" s="121" t="n">
        <f aca="false">$D107*M107</f>
        <v>0</v>
      </c>
      <c r="AM107" s="139"/>
      <c r="AO107" s="75" t="e">
        <f aca="false">EURO(N107,O107,Z107,Z107,R107,U107,1,0)</f>
        <v>#NAME?</v>
      </c>
      <c r="AP107" s="138" t="e">
        <f aca="false">AO107*C107</f>
        <v>#NAME?</v>
      </c>
      <c r="AQ107" s="61" t="e">
        <f aca="false">EURO(N107,O107,Z107,Z107,R107,U107,1,1)</f>
        <v>#NAME?</v>
      </c>
      <c r="AR107" s="61" t="e">
        <f aca="false">AQ107+Put!AQ107</f>
        <v>#NAME?</v>
      </c>
      <c r="AS107" s="138" t="e">
        <f aca="false">AR107*C107</f>
        <v>#NAME?</v>
      </c>
      <c r="AT107" s="120" t="e">
        <f aca="false">AS107/10000</f>
        <v>#NAME?</v>
      </c>
    </row>
    <row r="108" customFormat="false" ht="12.75" hidden="false" customHeight="false" outlineLevel="0" collapsed="false">
      <c r="A108" s="127" t="n">
        <f aca="false">EDATE(A107,1)</f>
        <v>43160</v>
      </c>
      <c r="B108" s="128" t="n">
        <f aca="false">B107</f>
        <v>205479</v>
      </c>
      <c r="C108" s="116" t="n">
        <f aca="false">IF(AB108=0,0,IF(AND(AB108=1,$H$3=1),B108*W108,IF($H$3=2,B108,"N/A")))</f>
        <v>6369849</v>
      </c>
      <c r="D108" s="116" t="n">
        <f aca="false">C108*AA108</f>
        <v>2146620.87366968</v>
      </c>
      <c r="E108" s="129" t="n">
        <f aca="false">VLOOKUP($A108,[1]!CurveTable,MATCH($E$4,[1]!CurveType,0))</f>
        <v>5.2585</v>
      </c>
      <c r="F108" s="130"/>
      <c r="G108" s="131" t="n">
        <f aca="false">E108</f>
        <v>5.2585</v>
      </c>
      <c r="H108" s="129" t="n">
        <f aca="false">VLOOKUP($A108,[1]!CurveTable,MATCH($H$4,[1]!CurveType,0))</f>
        <v>0</v>
      </c>
      <c r="I108" s="131"/>
      <c r="J108" s="131" t="n">
        <f aca="false">H108</f>
        <v>0</v>
      </c>
      <c r="K108" s="129"/>
      <c r="L108" s="131"/>
      <c r="M108" s="131"/>
      <c r="N108" s="131" t="n">
        <f aca="false">G108+J108+M108+$N$7</f>
        <v>4.9685</v>
      </c>
      <c r="O108" s="131" t="n">
        <f aca="false">Summary!$E$16</f>
        <v>9.81903240236408</v>
      </c>
      <c r="P108" s="131"/>
      <c r="Q108" s="129" t="n">
        <f aca="false">VLOOKUP($A108,[1]!CurveTable,MATCH($Q$4,[1]!CurveType,0))</f>
        <v>0.17</v>
      </c>
      <c r="R108" s="129" t="n">
        <f aca="false">Q108+Summary!$C$26</f>
        <v>0.17</v>
      </c>
      <c r="S108" s="129"/>
      <c r="T108" s="132" t="n">
        <f aca="false">X108</f>
        <v>43160</v>
      </c>
      <c r="U108" s="133" t="n">
        <f aca="false">T108-$C$3</f>
        <v>6155</v>
      </c>
      <c r="W108" s="61" t="n">
        <f aca="false">A109-A108</f>
        <v>31</v>
      </c>
      <c r="X108" s="135" t="n">
        <f aca="false">CHOOSE(F$3,A109+24,A108)</f>
        <v>43160</v>
      </c>
      <c r="Y108" s="61" t="n">
        <f aca="false">X108-C$3</f>
        <v>6155</v>
      </c>
      <c r="Z108" s="136" t="n">
        <f aca="false">VLOOKUP($A108,[1]!CurveTable,MATCH($Z$4,[1]!CurveType,0))</f>
        <v>0.0655979693689788</v>
      </c>
      <c r="AA108" s="137" t="n">
        <f aca="false">1/(1+CHOOSE(F$3,(Z109+($K$3/10000))/2,(Z108+($K$3/10000))/2))^(2*Y108/365.25)</f>
        <v>0.336997136614963</v>
      </c>
      <c r="AB108" s="61" t="n">
        <f aca="false">IF(AND(mthbeg&lt;=A108,mthend&gt;=A108),1,0)</f>
        <v>1</v>
      </c>
      <c r="AC108" s="61" t="n">
        <f aca="false">W108*AB108</f>
        <v>31</v>
      </c>
      <c r="AD108" s="121" t="n">
        <f aca="false">$D108*E108</f>
        <v>11288005.864192</v>
      </c>
      <c r="AE108" s="121" t="n">
        <f aca="false">$D108*F108</f>
        <v>0</v>
      </c>
      <c r="AF108" s="121" t="n">
        <f aca="false">$D108*G108</f>
        <v>11288005.864192</v>
      </c>
      <c r="AG108" s="121" t="n">
        <f aca="false">$D108*H108</f>
        <v>0</v>
      </c>
      <c r="AH108" s="121" t="n">
        <f aca="false">$D108*I108</f>
        <v>0</v>
      </c>
      <c r="AI108" s="121" t="n">
        <f aca="false">$D108*J108</f>
        <v>0</v>
      </c>
      <c r="AJ108" s="121" t="n">
        <f aca="false">$D108*K108</f>
        <v>0</v>
      </c>
      <c r="AK108" s="121" t="n">
        <f aca="false">$D108*L108</f>
        <v>0</v>
      </c>
      <c r="AL108" s="121" t="n">
        <f aca="false">$D108*M108</f>
        <v>0</v>
      </c>
      <c r="AM108" s="139"/>
      <c r="AO108" s="75" t="e">
        <f aca="false">EURO(N108,O108,Z108,Z108,R108,U108,1,0)</f>
        <v>#NAME?</v>
      </c>
      <c r="AP108" s="138" t="e">
        <f aca="false">AO108*C108</f>
        <v>#NAME?</v>
      </c>
      <c r="AQ108" s="61" t="e">
        <f aca="false">EURO(N108,O108,Z108,Z108,R108,U108,1,1)</f>
        <v>#NAME?</v>
      </c>
      <c r="AR108" s="61" t="e">
        <f aca="false">AQ108+Put!AQ108</f>
        <v>#NAME?</v>
      </c>
      <c r="AS108" s="138" t="e">
        <f aca="false">AR108*C108</f>
        <v>#NAME?</v>
      </c>
      <c r="AT108" s="120" t="e">
        <f aca="false">AS108/10000</f>
        <v>#NAME?</v>
      </c>
    </row>
    <row r="109" customFormat="false" ht="12.75" hidden="false" customHeight="false" outlineLevel="0" collapsed="false">
      <c r="A109" s="127" t="n">
        <f aca="false">EDATE(A108,1)</f>
        <v>43191</v>
      </c>
      <c r="B109" s="128" t="n">
        <f aca="false">B108</f>
        <v>205479</v>
      </c>
      <c r="C109" s="116" t="n">
        <f aca="false">IF(AB109=0,0,IF(AND(AB109=1,$H$3=1),B109*W109,IF($H$3=2,B109,"N/A")))</f>
        <v>6164370</v>
      </c>
      <c r="D109" s="116" t="n">
        <f aca="false">C109*AA109</f>
        <v>2064585.97911966</v>
      </c>
      <c r="E109" s="129" t="n">
        <f aca="false">VLOOKUP($A109,[1]!CurveTable,MATCH($E$4,[1]!CurveType,0))</f>
        <v>5.0885</v>
      </c>
      <c r="F109" s="130"/>
      <c r="G109" s="131" t="n">
        <f aca="false">E109</f>
        <v>5.0885</v>
      </c>
      <c r="H109" s="129" t="n">
        <f aca="false">VLOOKUP($A109,[1]!CurveTable,MATCH($H$4,[1]!CurveType,0))</f>
        <v>0</v>
      </c>
      <c r="I109" s="131"/>
      <c r="J109" s="131" t="n">
        <f aca="false">H109</f>
        <v>0</v>
      </c>
      <c r="K109" s="129"/>
      <c r="L109" s="131"/>
      <c r="M109" s="131"/>
      <c r="N109" s="131" t="n">
        <f aca="false">G109+J109+M109+$N$7</f>
        <v>4.7985</v>
      </c>
      <c r="O109" s="131" t="n">
        <f aca="false">Summary!$E$16</f>
        <v>9.81903240236408</v>
      </c>
      <c r="P109" s="131"/>
      <c r="Q109" s="129" t="n">
        <f aca="false">VLOOKUP($A109,[1]!CurveTable,MATCH($Q$4,[1]!CurveType,0))</f>
        <v>0.17</v>
      </c>
      <c r="R109" s="129" t="n">
        <f aca="false">Q109+Summary!$C$26</f>
        <v>0.17</v>
      </c>
      <c r="S109" s="129"/>
      <c r="T109" s="132" t="n">
        <f aca="false">X109</f>
        <v>43191</v>
      </c>
      <c r="U109" s="133" t="n">
        <f aca="false">T109-$C$3</f>
        <v>6186</v>
      </c>
      <c r="W109" s="61" t="n">
        <f aca="false">A110-A109</f>
        <v>30</v>
      </c>
      <c r="X109" s="135" t="n">
        <f aca="false">CHOOSE(F$3,A110+24,A109)</f>
        <v>43191</v>
      </c>
      <c r="Y109" s="61" t="n">
        <f aca="false">X109-C$3</f>
        <v>6186</v>
      </c>
      <c r="Z109" s="136" t="n">
        <f aca="false">VLOOKUP($A109,[1]!CurveTable,MATCH($Z$4,[1]!CurveType,0))</f>
        <v>0.0656404870851728</v>
      </c>
      <c r="AA109" s="137" t="n">
        <f aca="false">1/(1+CHOOSE(F$3,(Z110+($K$3/10000))/2,(Z109+($K$3/10000))/2))^(2*Y109/365.25)</f>
        <v>0.33492246233105</v>
      </c>
      <c r="AB109" s="61" t="n">
        <f aca="false">IF(AND(mthbeg&lt;=A109,mthend&gt;=A109),1,0)</f>
        <v>1</v>
      </c>
      <c r="AC109" s="61" t="n">
        <f aca="false">W109*AB109</f>
        <v>30</v>
      </c>
      <c r="AD109" s="121" t="n">
        <f aca="false">$D109*E109</f>
        <v>10505645.7547504</v>
      </c>
      <c r="AE109" s="121" t="n">
        <f aca="false">$D109*F109</f>
        <v>0</v>
      </c>
      <c r="AF109" s="121" t="n">
        <f aca="false">$D109*G109</f>
        <v>10505645.7547504</v>
      </c>
      <c r="AG109" s="121" t="n">
        <f aca="false">$D109*H109</f>
        <v>0</v>
      </c>
      <c r="AH109" s="121" t="n">
        <f aca="false">$D109*I109</f>
        <v>0</v>
      </c>
      <c r="AI109" s="121" t="n">
        <f aca="false">$D109*J109</f>
        <v>0</v>
      </c>
      <c r="AJ109" s="121" t="n">
        <f aca="false">$D109*K109</f>
        <v>0</v>
      </c>
      <c r="AK109" s="121" t="n">
        <f aca="false">$D109*L109</f>
        <v>0</v>
      </c>
      <c r="AL109" s="121" t="n">
        <f aca="false">$D109*M109</f>
        <v>0</v>
      </c>
      <c r="AM109" s="139"/>
      <c r="AO109" s="75" t="e">
        <f aca="false">EURO(N109,O109,Z109,Z109,R109,U109,1,0)</f>
        <v>#NAME?</v>
      </c>
      <c r="AP109" s="138" t="e">
        <f aca="false">AO109*C109</f>
        <v>#NAME?</v>
      </c>
      <c r="AQ109" s="61" t="e">
        <f aca="false">EURO(N109,O109,Z109,Z109,R109,U109,1,1)</f>
        <v>#NAME?</v>
      </c>
      <c r="AR109" s="61" t="e">
        <f aca="false">AQ109+Put!AQ109</f>
        <v>#NAME?</v>
      </c>
      <c r="AS109" s="138" t="e">
        <f aca="false">AR109*C109</f>
        <v>#NAME?</v>
      </c>
      <c r="AT109" s="120" t="e">
        <f aca="false">AS109/10000</f>
        <v>#NAME?</v>
      </c>
    </row>
    <row r="110" customFormat="false" ht="12.75" hidden="false" customHeight="false" outlineLevel="0" collapsed="false">
      <c r="A110" s="127" t="n">
        <f aca="false">EDATE(A109,1)</f>
        <v>43221</v>
      </c>
      <c r="B110" s="128" t="n">
        <f aca="false">B109</f>
        <v>205479</v>
      </c>
      <c r="C110" s="116" t="n">
        <f aca="false">IF(AB110=0,0,IF(AND(AB110=1,$H$3=1),B110*W110,IF($H$3=2,B110,"N/A")))</f>
        <v>6369849</v>
      </c>
      <c r="D110" s="116" t="n">
        <f aca="false">C110*AA110</f>
        <v>2120679.84022859</v>
      </c>
      <c r="E110" s="129" t="n">
        <f aca="false">VLOOKUP($A110,[1]!CurveTable,MATCH($E$4,[1]!CurveType,0))</f>
        <v>5.1475</v>
      </c>
      <c r="F110" s="130"/>
      <c r="G110" s="131" t="n">
        <f aca="false">E110</f>
        <v>5.1475</v>
      </c>
      <c r="H110" s="129" t="n">
        <f aca="false">VLOOKUP($A110,[1]!CurveTable,MATCH($H$4,[1]!CurveType,0))</f>
        <v>0</v>
      </c>
      <c r="I110" s="131"/>
      <c r="J110" s="131" t="n">
        <f aca="false">H110</f>
        <v>0</v>
      </c>
      <c r="K110" s="129"/>
      <c r="L110" s="131"/>
      <c r="M110" s="131"/>
      <c r="N110" s="131" t="n">
        <f aca="false">G110+J110+M110+$N$7</f>
        <v>4.8575</v>
      </c>
      <c r="O110" s="131" t="n">
        <f aca="false">Summary!$E$16</f>
        <v>9.81903240236408</v>
      </c>
      <c r="P110" s="131"/>
      <c r="Q110" s="129" t="n">
        <f aca="false">VLOOKUP($A110,[1]!CurveTable,MATCH($Q$4,[1]!CurveType,0))</f>
        <v>0.17</v>
      </c>
      <c r="R110" s="129" t="n">
        <f aca="false">Q110+Summary!$C$26</f>
        <v>0.17</v>
      </c>
      <c r="S110" s="129"/>
      <c r="T110" s="132" t="n">
        <f aca="false">X110</f>
        <v>43221</v>
      </c>
      <c r="U110" s="133" t="n">
        <f aca="false">T110-$C$3</f>
        <v>6216</v>
      </c>
      <c r="W110" s="61" t="n">
        <f aca="false">A111-A110</f>
        <v>31</v>
      </c>
      <c r="X110" s="135" t="n">
        <f aca="false">CHOOSE(F$3,A111+24,A110)</f>
        <v>43221</v>
      </c>
      <c r="Y110" s="61" t="n">
        <f aca="false">X110-C$3</f>
        <v>6216</v>
      </c>
      <c r="Z110" s="136" t="n">
        <f aca="false">VLOOKUP($A110,[1]!CurveTable,MATCH($Z$4,[1]!CurveType,0))</f>
        <v>0.0656816332627042</v>
      </c>
      <c r="AA110" s="137" t="n">
        <f aca="false">1/(1+CHOOSE(F$3,(Z111+($K$3/10000))/2,(Z110+($K$3/10000))/2))^(2*Y110/365.25)</f>
        <v>0.332924664341115</v>
      </c>
      <c r="AB110" s="61" t="n">
        <f aca="false">IF(AND(mthbeg&lt;=A110,mthend&gt;=A110),1,0)</f>
        <v>1</v>
      </c>
      <c r="AC110" s="61" t="n">
        <f aca="false">W110*AB110</f>
        <v>31</v>
      </c>
      <c r="AD110" s="121" t="n">
        <f aca="false">$D110*E110</f>
        <v>10916199.4775767</v>
      </c>
      <c r="AE110" s="121" t="n">
        <f aca="false">$D110*F110</f>
        <v>0</v>
      </c>
      <c r="AF110" s="121" t="n">
        <f aca="false">$D110*G110</f>
        <v>10916199.4775767</v>
      </c>
      <c r="AG110" s="121" t="n">
        <f aca="false">$D110*H110</f>
        <v>0</v>
      </c>
      <c r="AH110" s="121" t="n">
        <f aca="false">$D110*I110</f>
        <v>0</v>
      </c>
      <c r="AI110" s="121" t="n">
        <f aca="false">$D110*J110</f>
        <v>0</v>
      </c>
      <c r="AJ110" s="121" t="n">
        <f aca="false">$D110*K110</f>
        <v>0</v>
      </c>
      <c r="AK110" s="121" t="n">
        <f aca="false">$D110*L110</f>
        <v>0</v>
      </c>
      <c r="AL110" s="121" t="n">
        <f aca="false">$D110*M110</f>
        <v>0</v>
      </c>
      <c r="AM110" s="139"/>
      <c r="AO110" s="75" t="e">
        <f aca="false">EURO(N110,O110,Z110,Z110,R110,U110,1,0)</f>
        <v>#NAME?</v>
      </c>
      <c r="AP110" s="138" t="e">
        <f aca="false">AO110*C110</f>
        <v>#NAME?</v>
      </c>
      <c r="AQ110" s="61" t="e">
        <f aca="false">EURO(N110,O110,Z110,Z110,R110,U110,1,1)</f>
        <v>#NAME?</v>
      </c>
      <c r="AR110" s="61" t="e">
        <f aca="false">AQ110+Put!AQ110</f>
        <v>#NAME?</v>
      </c>
      <c r="AS110" s="138" t="e">
        <f aca="false">AR110*C110</f>
        <v>#NAME?</v>
      </c>
      <c r="AT110" s="120" t="e">
        <f aca="false">AS110/10000</f>
        <v>#NAME?</v>
      </c>
    </row>
    <row r="111" customFormat="false" ht="13.5" hidden="false" customHeight="false" outlineLevel="0" collapsed="false">
      <c r="A111" s="127" t="n">
        <f aca="false">EDATE(A110,1)</f>
        <v>43252</v>
      </c>
      <c r="B111" s="128" t="n">
        <f aca="false">B110</f>
        <v>205479</v>
      </c>
      <c r="C111" s="116" t="n">
        <f aca="false">IF(AB111=0,0,IF(AND(AB111=1,$H$3=1),B111*W111,IF($H$3=2,B111,"N/A")))</f>
        <v>6164370</v>
      </c>
      <c r="D111" s="116" t="n">
        <f aca="false">C111*AA111</f>
        <v>2039608.31614313</v>
      </c>
      <c r="E111" s="129" t="n">
        <f aca="false">VLOOKUP($A111,[1]!CurveTable,MATCH($E$4,[1]!CurveType,0))</f>
        <v>5.1875</v>
      </c>
      <c r="F111" s="130"/>
      <c r="G111" s="131" t="n">
        <f aca="false">E111</f>
        <v>5.1875</v>
      </c>
      <c r="H111" s="129" t="n">
        <f aca="false">VLOOKUP($A111,[1]!CurveTable,MATCH($H$4,[1]!CurveType,0))</f>
        <v>0</v>
      </c>
      <c r="I111" s="131"/>
      <c r="J111" s="131" t="n">
        <f aca="false">H111</f>
        <v>0</v>
      </c>
      <c r="K111" s="129"/>
      <c r="L111" s="131"/>
      <c r="M111" s="131"/>
      <c r="N111" s="131" t="n">
        <f aca="false">G111+J111+M111+$N$7</f>
        <v>4.8975</v>
      </c>
      <c r="O111" s="131" t="n">
        <f aca="false">Summary!$E$16</f>
        <v>9.81903240236408</v>
      </c>
      <c r="P111" s="131"/>
      <c r="Q111" s="129" t="n">
        <f aca="false">VLOOKUP($A111,[1]!CurveTable,MATCH($Q$4,[1]!CurveType,0))</f>
        <v>0.17</v>
      </c>
      <c r="R111" s="129" t="n">
        <f aca="false">Q111+Summary!$C$26</f>
        <v>0.17</v>
      </c>
      <c r="S111" s="129"/>
      <c r="T111" s="132" t="n">
        <f aca="false">X111</f>
        <v>43252</v>
      </c>
      <c r="U111" s="133" t="n">
        <f aca="false">T111-$C$3</f>
        <v>6247</v>
      </c>
      <c r="W111" s="61" t="n">
        <f aca="false">A112-A111</f>
        <v>30</v>
      </c>
      <c r="X111" s="135" t="n">
        <f aca="false">CHOOSE(F$3,A112+24,A111)</f>
        <v>43252</v>
      </c>
      <c r="Y111" s="61" t="n">
        <f aca="false">X111-C$3</f>
        <v>6247</v>
      </c>
      <c r="Z111" s="136" t="n">
        <f aca="false">VLOOKUP($A111,[1]!CurveTable,MATCH($Z$4,[1]!CurveType,0))</f>
        <v>0.0657241509800763</v>
      </c>
      <c r="AA111" s="137" t="n">
        <f aca="false">1/(1+CHOOSE(F$3,(Z112+($K$3/10000))/2,(Z111+($K$3/10000))/2))^(2*Y111/365.25)</f>
        <v>0.330870521422811</v>
      </c>
      <c r="AB111" s="61" t="n">
        <f aca="false">IF(AND(mthbeg&lt;=A111,mthend&gt;=A111),1,0)</f>
        <v>1</v>
      </c>
      <c r="AC111" s="61" t="n">
        <f aca="false">W111*AB111</f>
        <v>30</v>
      </c>
      <c r="AD111" s="121" t="n">
        <f aca="false">$D111*E111</f>
        <v>10580468.1399925</v>
      </c>
      <c r="AE111" s="121" t="n">
        <f aca="false">$D111*F111</f>
        <v>0</v>
      </c>
      <c r="AF111" s="121" t="n">
        <f aca="false">$D111*G111</f>
        <v>10580468.1399925</v>
      </c>
      <c r="AG111" s="121" t="n">
        <f aca="false">$D111*H111</f>
        <v>0</v>
      </c>
      <c r="AH111" s="121" t="n">
        <f aca="false">$D111*I111</f>
        <v>0</v>
      </c>
      <c r="AI111" s="121" t="n">
        <f aca="false">$D111*J111</f>
        <v>0</v>
      </c>
      <c r="AJ111" s="121" t="n">
        <f aca="false">$D111*K111</f>
        <v>0</v>
      </c>
      <c r="AK111" s="121" t="n">
        <f aca="false">$D111*L111</f>
        <v>0</v>
      </c>
      <c r="AL111" s="121" t="n">
        <f aca="false">$D111*M111</f>
        <v>0</v>
      </c>
      <c r="AM111" s="139"/>
      <c r="AO111" s="75" t="e">
        <f aca="false">EURO(N111,O111,Z111,Z111,R111,U111,1,0)</f>
        <v>#NAME?</v>
      </c>
      <c r="AP111" s="138" t="e">
        <f aca="false">AO111*C111</f>
        <v>#NAME?</v>
      </c>
      <c r="AQ111" s="61" t="e">
        <f aca="false">EURO(N111,O111,Z111,Z111,R111,U111,1,1)</f>
        <v>#NAME?</v>
      </c>
      <c r="AR111" s="61" t="e">
        <f aca="false">AQ111+Put!AQ111</f>
        <v>#NAME?</v>
      </c>
      <c r="AS111" s="138" t="e">
        <f aca="false">AR111*C111</f>
        <v>#NAME?</v>
      </c>
      <c r="AT111" s="120" t="e">
        <f aca="false">AS111/10000</f>
        <v>#NAME?</v>
      </c>
    </row>
    <row r="112" customFormat="false" ht="12.75" hidden="false" customHeight="false" outlineLevel="0" collapsed="false">
      <c r="A112" s="127" t="n">
        <f aca="false">EDATE(A111,1)</f>
        <v>43282</v>
      </c>
      <c r="B112" s="128" t="n">
        <f aca="false">B111</f>
        <v>205479</v>
      </c>
      <c r="C112" s="116" t="n">
        <f aca="false">IF(AB112=0,0,IF(AND(AB112=1,$H$3=1),B112*W112,IF($H$3=2,B112,"N/A")))</f>
        <v>6369849</v>
      </c>
      <c r="D112" s="116" t="n">
        <f aca="false">C112*AA112</f>
        <v>2094995.72607181</v>
      </c>
      <c r="E112" s="129" t="n">
        <f aca="false">VLOOKUP($A112,[1]!CurveTable,MATCH($E$4,[1]!CurveType,0))</f>
        <v>5.2325</v>
      </c>
      <c r="F112" s="130"/>
      <c r="G112" s="131" t="n">
        <f aca="false">E112</f>
        <v>5.2325</v>
      </c>
      <c r="H112" s="129" t="n">
        <f aca="false">VLOOKUP($A112,[1]!CurveTable,MATCH($H$4,[1]!CurveType,0))</f>
        <v>0</v>
      </c>
      <c r="I112" s="131"/>
      <c r="J112" s="131" t="n">
        <f aca="false">H112</f>
        <v>0</v>
      </c>
      <c r="K112" s="129"/>
      <c r="L112" s="131"/>
      <c r="M112" s="131"/>
      <c r="N112" s="131" t="n">
        <f aca="false">G112+J112+M112+$N$7</f>
        <v>4.9425</v>
      </c>
      <c r="O112" s="131" t="n">
        <f aca="false">Summary!$E$16</f>
        <v>9.81903240236408</v>
      </c>
      <c r="P112" s="131"/>
      <c r="Q112" s="140" t="n">
        <f aca="false">Q111</f>
        <v>0.17</v>
      </c>
      <c r="R112" s="129" t="n">
        <f aca="false">Q112+Summary!$C$26</f>
        <v>0.17</v>
      </c>
      <c r="S112" s="129"/>
      <c r="T112" s="132" t="n">
        <f aca="false">X112</f>
        <v>43282</v>
      </c>
      <c r="U112" s="133" t="n">
        <f aca="false">T112-$C$3</f>
        <v>6277</v>
      </c>
      <c r="W112" s="61" t="n">
        <f aca="false">A113-A112</f>
        <v>31</v>
      </c>
      <c r="X112" s="135" t="n">
        <f aca="false">CHOOSE(F$3,A113+24,A112)</f>
        <v>43282</v>
      </c>
      <c r="Y112" s="61" t="n">
        <f aca="false">X112-C$3</f>
        <v>6277</v>
      </c>
      <c r="Z112" s="136" t="n">
        <f aca="false">VLOOKUP($A112,[1]!CurveTable,MATCH($Z$4,[1]!CurveType,0))</f>
        <v>0.0657652971587486</v>
      </c>
      <c r="AA112" s="137" t="n">
        <f aca="false">1/(1+CHOOSE(F$3,(Z113+($K$3/10000))/2,(Z112+($K$3/10000))/2))^(2*Y112/365.25)</f>
        <v>0.328892525721067</v>
      </c>
      <c r="AB112" s="61" t="n">
        <f aca="false">IF(AND(mthbeg&lt;=A112,mthend&gt;=A112),1,0)</f>
        <v>1</v>
      </c>
      <c r="AC112" s="61" t="n">
        <f aca="false">W112*AB112</f>
        <v>31</v>
      </c>
      <c r="AD112" s="121" t="n">
        <f aca="false">$D112*E112</f>
        <v>10962065.1366708</v>
      </c>
      <c r="AE112" s="121" t="n">
        <f aca="false">$D112*F112</f>
        <v>0</v>
      </c>
      <c r="AF112" s="121" t="n">
        <f aca="false">$D112*G112</f>
        <v>10962065.1366708</v>
      </c>
      <c r="AG112" s="121" t="n">
        <f aca="false">$D112*H112</f>
        <v>0</v>
      </c>
      <c r="AH112" s="121" t="n">
        <f aca="false">$D112*I112</f>
        <v>0</v>
      </c>
      <c r="AI112" s="121" t="n">
        <f aca="false">$D112*J112</f>
        <v>0</v>
      </c>
      <c r="AJ112" s="121" t="n">
        <f aca="false">$D112*K112</f>
        <v>0</v>
      </c>
      <c r="AK112" s="121" t="n">
        <f aca="false">$D112*L112</f>
        <v>0</v>
      </c>
      <c r="AL112" s="121" t="n">
        <f aca="false">$D112*M112</f>
        <v>0</v>
      </c>
      <c r="AM112" s="139"/>
      <c r="AO112" s="75" t="e">
        <f aca="false">EURO(N112,O112,Z112,Z112,R112,U112,1,0)</f>
        <v>#NAME?</v>
      </c>
      <c r="AP112" s="138" t="e">
        <f aca="false">AO112*C112</f>
        <v>#NAME?</v>
      </c>
      <c r="AQ112" s="61" t="e">
        <f aca="false">EURO(N112,O112,Z112,Z112,R112,U112,1,1)</f>
        <v>#NAME?</v>
      </c>
      <c r="AR112" s="61" t="e">
        <f aca="false">AQ112+Put!AQ112</f>
        <v>#NAME?</v>
      </c>
      <c r="AS112" s="138" t="e">
        <f aca="false">AR112*C112</f>
        <v>#NAME?</v>
      </c>
      <c r="AT112" s="120" t="e">
        <f aca="false">AS112/10000</f>
        <v>#NAME?</v>
      </c>
    </row>
    <row r="113" customFormat="false" ht="12.75" hidden="false" customHeight="false" outlineLevel="0" collapsed="false">
      <c r="A113" s="127" t="n">
        <f aca="false">EDATE(A112,1)</f>
        <v>43313</v>
      </c>
      <c r="B113" s="128" t="n">
        <f aca="false">B112</f>
        <v>205479</v>
      </c>
      <c r="C113" s="116" t="n">
        <f aca="false">IF(AB113=0,0,IF(AND(AB113=1,$H$3=1),B113*W113,IF($H$3=2,B113,"N/A")))</f>
        <v>6369849</v>
      </c>
      <c r="D113" s="116" t="n">
        <f aca="false">C113*AA113</f>
        <v>2082041.04852364</v>
      </c>
      <c r="E113" s="129" t="n">
        <f aca="false">VLOOKUP($A113,[1]!CurveTable,MATCH($E$4,[1]!CurveType,0))</f>
        <v>5.2675</v>
      </c>
      <c r="F113" s="130"/>
      <c r="G113" s="131" t="n">
        <f aca="false">E113</f>
        <v>5.2675</v>
      </c>
      <c r="H113" s="129" t="n">
        <f aca="false">VLOOKUP($A113,[1]!CurveTable,MATCH($H$4,[1]!CurveType,0))</f>
        <v>0</v>
      </c>
      <c r="I113" s="131"/>
      <c r="J113" s="131" t="n">
        <f aca="false">H113</f>
        <v>0</v>
      </c>
      <c r="K113" s="129"/>
      <c r="L113" s="131"/>
      <c r="M113" s="131"/>
      <c r="N113" s="131" t="n">
        <f aca="false">G113+J113+M113+$N$7</f>
        <v>4.9775</v>
      </c>
      <c r="O113" s="131" t="n">
        <f aca="false">Summary!$E$16</f>
        <v>9.81903240236408</v>
      </c>
      <c r="P113" s="131"/>
      <c r="Q113" s="141" t="n">
        <f aca="false">Q112</f>
        <v>0.17</v>
      </c>
      <c r="R113" s="129" t="n">
        <f aca="false">Q113+Summary!$C$26</f>
        <v>0.17</v>
      </c>
      <c r="S113" s="129"/>
      <c r="T113" s="132" t="n">
        <f aca="false">X113</f>
        <v>43313</v>
      </c>
      <c r="U113" s="133" t="n">
        <f aca="false">T113-$C$3</f>
        <v>6308</v>
      </c>
      <c r="W113" s="61" t="n">
        <f aca="false">A114-A113</f>
        <v>31</v>
      </c>
      <c r="X113" s="135" t="n">
        <f aca="false">CHOOSE(F$3,A114+24,A113)</f>
        <v>43313</v>
      </c>
      <c r="Y113" s="61" t="n">
        <f aca="false">X113-C$3</f>
        <v>6308</v>
      </c>
      <c r="Z113" s="136" t="n">
        <f aca="false">VLOOKUP($A113,[1]!CurveTable,MATCH($Z$4,[1]!CurveType,0))</f>
        <v>0.0658078148772998</v>
      </c>
      <c r="AA113" s="137" t="n">
        <f aca="false">1/(1+CHOOSE(F$3,(Z114+($K$3/10000))/2,(Z113+($K$3/10000))/2))^(2*Y113/365.25)</f>
        <v>0.326858776169362</v>
      </c>
      <c r="AB113" s="61" t="n">
        <f aca="false">IF(AND(mthbeg&lt;=A113,mthend&gt;=A113),1,0)</f>
        <v>1</v>
      </c>
      <c r="AC113" s="61" t="n">
        <f aca="false">W113*AB113</f>
        <v>31</v>
      </c>
      <c r="AD113" s="121" t="n">
        <f aca="false">$D113*E113</f>
        <v>10967151.2230983</v>
      </c>
      <c r="AE113" s="121" t="n">
        <f aca="false">$D113*F113</f>
        <v>0</v>
      </c>
      <c r="AF113" s="121" t="n">
        <f aca="false">$D113*G113</f>
        <v>10967151.2230983</v>
      </c>
      <c r="AG113" s="121" t="n">
        <f aca="false">$D113*H113</f>
        <v>0</v>
      </c>
      <c r="AH113" s="121" t="n">
        <f aca="false">$D113*I113</f>
        <v>0</v>
      </c>
      <c r="AI113" s="121" t="n">
        <f aca="false">$D113*J113</f>
        <v>0</v>
      </c>
      <c r="AJ113" s="121" t="n">
        <f aca="false">$D113*K113</f>
        <v>0</v>
      </c>
      <c r="AK113" s="121" t="n">
        <f aca="false">$D113*L113</f>
        <v>0</v>
      </c>
      <c r="AL113" s="121" t="n">
        <f aca="false">$D113*M113</f>
        <v>0</v>
      </c>
      <c r="AM113" s="139"/>
      <c r="AO113" s="75" t="e">
        <f aca="false">EURO(N113,O113,Z113,Z113,R113,U113,1,0)</f>
        <v>#NAME?</v>
      </c>
      <c r="AP113" s="138" t="e">
        <f aca="false">AO113*C113</f>
        <v>#NAME?</v>
      </c>
      <c r="AQ113" s="61" t="e">
        <f aca="false">EURO(N113,O113,Z113,Z113,R113,U113,1,1)</f>
        <v>#NAME?</v>
      </c>
      <c r="AR113" s="61" t="e">
        <f aca="false">AQ113+Put!AQ113</f>
        <v>#NAME?</v>
      </c>
      <c r="AS113" s="138" t="e">
        <f aca="false">AR113*C113</f>
        <v>#NAME?</v>
      </c>
      <c r="AT113" s="120" t="e">
        <f aca="false">AS113/10000</f>
        <v>#NAME?</v>
      </c>
    </row>
    <row r="114" customFormat="false" ht="12.75" hidden="false" customHeight="false" outlineLevel="0" collapsed="false">
      <c r="A114" s="127" t="n">
        <f aca="false">EDATE(A113,1)</f>
        <v>43344</v>
      </c>
      <c r="B114" s="128" t="n">
        <f aca="false">B113</f>
        <v>205479</v>
      </c>
      <c r="C114" s="116" t="n">
        <f aca="false">IF(AB114=0,0,IF(AND(AB114=1,$H$3=1),B114*W114,IF($H$3=2,B114,"N/A")))</f>
        <v>6164370</v>
      </c>
      <c r="D114" s="116" t="n">
        <f aca="false">C114*AA114</f>
        <v>2002405.20991974</v>
      </c>
      <c r="E114" s="129" t="n">
        <f aca="false">VLOOKUP($A114,[1]!CurveTable,MATCH($E$4,[1]!CurveType,0))</f>
        <v>5.2725</v>
      </c>
      <c r="F114" s="130"/>
      <c r="G114" s="131" t="n">
        <f aca="false">E114</f>
        <v>5.2725</v>
      </c>
      <c r="H114" s="129" t="n">
        <f aca="false">VLOOKUP($A114,[1]!CurveTable,MATCH($H$4,[1]!CurveType,0))</f>
        <v>0</v>
      </c>
      <c r="I114" s="131"/>
      <c r="J114" s="131" t="n">
        <f aca="false">H114</f>
        <v>0</v>
      </c>
      <c r="K114" s="129"/>
      <c r="L114" s="131"/>
      <c r="M114" s="131"/>
      <c r="N114" s="131" t="n">
        <f aca="false">G114+J114+M114+$N$7</f>
        <v>4.9825</v>
      </c>
      <c r="O114" s="131" t="n">
        <f aca="false">Summary!$E$16</f>
        <v>9.81903240236408</v>
      </c>
      <c r="P114" s="131"/>
      <c r="Q114" s="141" t="n">
        <f aca="false">Q113</f>
        <v>0.17</v>
      </c>
      <c r="R114" s="129" t="n">
        <f aca="false">Q114+Summary!$C$26</f>
        <v>0.17</v>
      </c>
      <c r="S114" s="129"/>
      <c r="T114" s="132" t="n">
        <f aca="false">X114</f>
        <v>43344</v>
      </c>
      <c r="U114" s="133" t="n">
        <f aca="false">T114-$C$3</f>
        <v>6339</v>
      </c>
      <c r="W114" s="61" t="n">
        <f aca="false">A115-A114</f>
        <v>30</v>
      </c>
      <c r="X114" s="135" t="n">
        <f aca="false">CHOOSE(F$3,A115+24,A114)</f>
        <v>43344</v>
      </c>
      <c r="Y114" s="61" t="n">
        <f aca="false">X114-C$3</f>
        <v>6339</v>
      </c>
      <c r="Z114" s="136" t="n">
        <f aca="false">VLOOKUP($A114,[1]!CurveTable,MATCH($Z$4,[1]!CurveType,0))</f>
        <v>0.0658503325964492</v>
      </c>
      <c r="AA114" s="137" t="n">
        <f aca="false">1/(1+CHOOSE(F$3,(Z115+($K$3/10000))/2,(Z114+($K$3/10000))/2))^(2*Y114/365.25)</f>
        <v>0.324835337580279</v>
      </c>
      <c r="AB114" s="61" t="n">
        <f aca="false">IF(AND(mthbeg&lt;=A114,mthend&gt;=A114),1,0)</f>
        <v>1</v>
      </c>
      <c r="AC114" s="61" t="n">
        <f aca="false">W114*AB114</f>
        <v>30</v>
      </c>
      <c r="AD114" s="121" t="n">
        <f aca="false">$D114*E114</f>
        <v>10557681.4693018</v>
      </c>
      <c r="AE114" s="121" t="n">
        <f aca="false">$D114*F114</f>
        <v>0</v>
      </c>
      <c r="AF114" s="121" t="n">
        <f aca="false">$D114*G114</f>
        <v>10557681.4693018</v>
      </c>
      <c r="AG114" s="121" t="n">
        <f aca="false">$D114*H114</f>
        <v>0</v>
      </c>
      <c r="AH114" s="121" t="n">
        <f aca="false">$D114*I114</f>
        <v>0</v>
      </c>
      <c r="AI114" s="121" t="n">
        <f aca="false">$D114*J114</f>
        <v>0</v>
      </c>
      <c r="AJ114" s="121" t="n">
        <f aca="false">$D114*K114</f>
        <v>0</v>
      </c>
      <c r="AK114" s="121" t="n">
        <f aca="false">$D114*L114</f>
        <v>0</v>
      </c>
      <c r="AL114" s="121" t="n">
        <f aca="false">$D114*M114</f>
        <v>0</v>
      </c>
      <c r="AM114" s="139"/>
      <c r="AO114" s="75" t="e">
        <f aca="false">EURO(N114,O114,Z114,Z114,R114,U114,1,0)</f>
        <v>#NAME?</v>
      </c>
      <c r="AP114" s="138" t="e">
        <f aca="false">AO114*C114</f>
        <v>#NAME?</v>
      </c>
      <c r="AQ114" s="61" t="e">
        <f aca="false">EURO(N114,O114,Z114,Z114,R114,U114,1,1)</f>
        <v>#NAME?</v>
      </c>
      <c r="AR114" s="61" t="e">
        <f aca="false">AQ114+Put!AQ114</f>
        <v>#NAME?</v>
      </c>
      <c r="AS114" s="138" t="e">
        <f aca="false">AR114*C114</f>
        <v>#NAME?</v>
      </c>
      <c r="AT114" s="120" t="e">
        <f aca="false">AS114/10000</f>
        <v>#NAME?</v>
      </c>
    </row>
    <row r="115" customFormat="false" ht="12.75" hidden="false" customHeight="false" outlineLevel="0" collapsed="false">
      <c r="A115" s="127" t="n">
        <f aca="false">EDATE(A114,1)</f>
        <v>43374</v>
      </c>
      <c r="B115" s="128" t="n">
        <f aca="false">B114</f>
        <v>205479</v>
      </c>
      <c r="C115" s="116" t="n">
        <f aca="false">IF(AB115=0,0,IF(AND(AB115=1,$H$3=1),B115*W115,IF($H$3=2,B115,"N/A")))</f>
        <v>6369849</v>
      </c>
      <c r="D115" s="116" t="n">
        <f aca="false">C115*AA115</f>
        <v>2056741.14775645</v>
      </c>
      <c r="E115" s="129" t="n">
        <f aca="false">VLOOKUP($A115,[1]!CurveTable,MATCH($E$4,[1]!CurveType,0))</f>
        <v>5.3025</v>
      </c>
      <c r="F115" s="130"/>
      <c r="G115" s="131" t="n">
        <f aca="false">E115</f>
        <v>5.3025</v>
      </c>
      <c r="H115" s="129" t="n">
        <f aca="false">VLOOKUP($A115,[1]!CurveTable,MATCH($H$4,[1]!CurveType,0))</f>
        <v>0</v>
      </c>
      <c r="I115" s="131"/>
      <c r="J115" s="131" t="n">
        <f aca="false">H115</f>
        <v>0</v>
      </c>
      <c r="K115" s="129"/>
      <c r="L115" s="131"/>
      <c r="M115" s="131"/>
      <c r="N115" s="131" t="n">
        <f aca="false">G115+J115+M115+$N$7</f>
        <v>5.0125</v>
      </c>
      <c r="O115" s="131" t="n">
        <f aca="false">Summary!$E$16</f>
        <v>9.81903240236408</v>
      </c>
      <c r="P115" s="131"/>
      <c r="Q115" s="141" t="n">
        <f aca="false">Q114</f>
        <v>0.17</v>
      </c>
      <c r="R115" s="129" t="n">
        <f aca="false">Q115+Summary!$C$26</f>
        <v>0.17</v>
      </c>
      <c r="S115" s="129"/>
      <c r="T115" s="132" t="n">
        <f aca="false">X115</f>
        <v>43374</v>
      </c>
      <c r="U115" s="133" t="n">
        <f aca="false">T115-$C$3</f>
        <v>6369</v>
      </c>
      <c r="W115" s="61" t="n">
        <f aca="false">A116-A115</f>
        <v>31</v>
      </c>
      <c r="X115" s="135" t="n">
        <f aca="false">CHOOSE(F$3,A116+24,A115)</f>
        <v>43374</v>
      </c>
      <c r="Y115" s="61" t="n">
        <f aca="false">X115-C$3</f>
        <v>6369</v>
      </c>
      <c r="Z115" s="136" t="n">
        <f aca="false">VLOOKUP($A115,[1]!CurveTable,MATCH($Z$4,[1]!CurveType,0))</f>
        <v>0.0658914787768423</v>
      </c>
      <c r="AA115" s="137" t="n">
        <f aca="false">1/(1+CHOOSE(F$3,(Z116+($K$3/10000))/2,(Z115+($K$3/10000))/2))^(2*Y115/365.25)</f>
        <v>0.322886955052851</v>
      </c>
      <c r="AB115" s="61" t="n">
        <f aca="false">IF(AND(mthbeg&lt;=A115,mthend&gt;=A115),1,0)</f>
        <v>1</v>
      </c>
      <c r="AC115" s="61" t="n">
        <f aca="false">W115*AB115</f>
        <v>31</v>
      </c>
      <c r="AD115" s="121" t="n">
        <f aca="false">$D115*E115</f>
        <v>10905869.9359786</v>
      </c>
      <c r="AE115" s="121" t="n">
        <f aca="false">$D115*F115</f>
        <v>0</v>
      </c>
      <c r="AF115" s="121" t="n">
        <f aca="false">$D115*G115</f>
        <v>10905869.9359786</v>
      </c>
      <c r="AG115" s="121" t="n">
        <f aca="false">$D115*H115</f>
        <v>0</v>
      </c>
      <c r="AH115" s="121" t="n">
        <f aca="false">$D115*I115</f>
        <v>0</v>
      </c>
      <c r="AI115" s="121" t="n">
        <f aca="false">$D115*J115</f>
        <v>0</v>
      </c>
      <c r="AJ115" s="121" t="n">
        <f aca="false">$D115*K115</f>
        <v>0</v>
      </c>
      <c r="AK115" s="121" t="n">
        <f aca="false">$D115*L115</f>
        <v>0</v>
      </c>
      <c r="AL115" s="121" t="n">
        <f aca="false">$D115*M115</f>
        <v>0</v>
      </c>
      <c r="AM115" s="139"/>
      <c r="AO115" s="75" t="e">
        <f aca="false">EURO(N115,O115,Z115,Z115,R115,U115,1,0)</f>
        <v>#NAME?</v>
      </c>
      <c r="AP115" s="138" t="e">
        <f aca="false">AO115*C115</f>
        <v>#NAME?</v>
      </c>
      <c r="AQ115" s="61" t="e">
        <f aca="false">EURO(N115,O115,Z115,Z115,R115,U115,1,1)</f>
        <v>#NAME?</v>
      </c>
      <c r="AR115" s="61" t="e">
        <f aca="false">AQ115+Put!AQ115</f>
        <v>#NAME?</v>
      </c>
      <c r="AS115" s="138" t="e">
        <f aca="false">AR115*C115</f>
        <v>#NAME?</v>
      </c>
      <c r="AT115" s="120" t="e">
        <f aca="false">AS115/10000</f>
        <v>#NAME?</v>
      </c>
    </row>
    <row r="116" customFormat="false" ht="12.75" hidden="false" customHeight="false" outlineLevel="0" collapsed="false">
      <c r="A116" s="127" t="n">
        <f aca="false">EDATE(A115,1)</f>
        <v>43405</v>
      </c>
      <c r="B116" s="128" t="n">
        <f aca="false">B115</f>
        <v>205479</v>
      </c>
      <c r="C116" s="116" t="n">
        <f aca="false">IF(AB116=0,0,IF(AND(AB116=1,$H$3=1),B116*W116,IF($H$3=2,B116,"N/A")))</f>
        <v>6164370</v>
      </c>
      <c r="D116" s="116" t="n">
        <f aca="false">C116*AA116</f>
        <v>1978045.86452076</v>
      </c>
      <c r="E116" s="129" t="n">
        <f aca="false">VLOOKUP($A116,[1]!CurveTable,MATCH($E$4,[1]!CurveType,0))</f>
        <v>5.4125</v>
      </c>
      <c r="F116" s="130"/>
      <c r="G116" s="131" t="n">
        <f aca="false">E116</f>
        <v>5.4125</v>
      </c>
      <c r="H116" s="129" t="n">
        <f aca="false">VLOOKUP($A116,[1]!CurveTable,MATCH($H$4,[1]!CurveType,0))</f>
        <v>0</v>
      </c>
      <c r="I116" s="131"/>
      <c r="J116" s="131" t="n">
        <f aca="false">H116</f>
        <v>0</v>
      </c>
      <c r="K116" s="129"/>
      <c r="L116" s="131"/>
      <c r="M116" s="131"/>
      <c r="N116" s="131" t="n">
        <f aca="false">G116+J116+M116+$N$7</f>
        <v>5.1225</v>
      </c>
      <c r="O116" s="131" t="n">
        <f aca="false">Summary!$E$16</f>
        <v>9.81903240236408</v>
      </c>
      <c r="P116" s="131"/>
      <c r="Q116" s="141" t="n">
        <f aca="false">Q115</f>
        <v>0.17</v>
      </c>
      <c r="R116" s="129" t="n">
        <f aca="false">Q116+Summary!$C$26</f>
        <v>0.17</v>
      </c>
      <c r="S116" s="129"/>
      <c r="T116" s="132" t="n">
        <f aca="false">X116</f>
        <v>43405</v>
      </c>
      <c r="U116" s="133" t="n">
        <f aca="false">T116-$C$3</f>
        <v>6400</v>
      </c>
      <c r="W116" s="61" t="n">
        <f aca="false">A117-A116</f>
        <v>30</v>
      </c>
      <c r="X116" s="135" t="n">
        <f aca="false">CHOOSE(F$3,A117+24,A116)</f>
        <v>43405</v>
      </c>
      <c r="Y116" s="61" t="n">
        <f aca="false">X116-C$3</f>
        <v>6400</v>
      </c>
      <c r="Z116" s="136" t="n">
        <f aca="false">VLOOKUP($A116,[1]!CurveTable,MATCH($Z$4,[1]!CurveType,0))</f>
        <v>0.0659339964971704</v>
      </c>
      <c r="AA116" s="137" t="n">
        <f aca="false">1/(1+CHOOSE(F$3,(Z117+($K$3/10000))/2,(Z116+($K$3/10000))/2))^(2*Y116/365.25)</f>
        <v>0.320883701744178</v>
      </c>
      <c r="AB116" s="61" t="n">
        <f aca="false">IF(AND(mthbeg&lt;=A116,mthend&gt;=A116),1,0)</f>
        <v>1</v>
      </c>
      <c r="AC116" s="61" t="n">
        <f aca="false">W116*AB116</f>
        <v>30</v>
      </c>
      <c r="AD116" s="121" t="n">
        <f aca="false">$D116*E116</f>
        <v>10706173.2417186</v>
      </c>
      <c r="AE116" s="121" t="n">
        <f aca="false">$D116*F116</f>
        <v>0</v>
      </c>
      <c r="AF116" s="121" t="n">
        <f aca="false">$D116*G116</f>
        <v>10706173.2417186</v>
      </c>
      <c r="AG116" s="121" t="n">
        <f aca="false">$D116*H116</f>
        <v>0</v>
      </c>
      <c r="AH116" s="121" t="n">
        <f aca="false">$D116*I116</f>
        <v>0</v>
      </c>
      <c r="AI116" s="121" t="n">
        <f aca="false">$D116*J116</f>
        <v>0</v>
      </c>
      <c r="AJ116" s="121" t="n">
        <f aca="false">$D116*K116</f>
        <v>0</v>
      </c>
      <c r="AK116" s="121" t="n">
        <f aca="false">$D116*L116</f>
        <v>0</v>
      </c>
      <c r="AL116" s="121" t="n">
        <f aca="false">$D116*M116</f>
        <v>0</v>
      </c>
      <c r="AM116" s="139"/>
      <c r="AO116" s="75" t="e">
        <f aca="false">EURO(N116,O116,Z116,Z116,R116,U116,1,0)</f>
        <v>#NAME?</v>
      </c>
      <c r="AP116" s="138" t="e">
        <f aca="false">AO116*C116</f>
        <v>#NAME?</v>
      </c>
      <c r="AQ116" s="61" t="e">
        <f aca="false">EURO(N116,O116,Z116,Z116,R116,U116,1,1)</f>
        <v>#NAME?</v>
      </c>
      <c r="AR116" s="61" t="e">
        <f aca="false">AQ116+Put!AQ116</f>
        <v>#NAME?</v>
      </c>
      <c r="AS116" s="138" t="e">
        <f aca="false">AR116*C116</f>
        <v>#NAME?</v>
      </c>
      <c r="AT116" s="120" t="e">
        <f aca="false">AS116/10000</f>
        <v>#NAME?</v>
      </c>
    </row>
    <row r="117" customFormat="false" ht="12.75" hidden="false" customHeight="false" outlineLevel="0" collapsed="false">
      <c r="A117" s="127" t="n">
        <f aca="false">EDATE(A116,1)</f>
        <v>43435</v>
      </c>
      <c r="B117" s="128" t="n">
        <f aca="false">B116</f>
        <v>205479</v>
      </c>
      <c r="C117" s="116" t="n">
        <f aca="false">IF(AB117=0,0,IF(AND(AB117=1,$H$3=1),B117*W117,IF($H$3=2,B117,"N/A")))</f>
        <v>6369849</v>
      </c>
      <c r="D117" s="116" t="n">
        <f aca="false">C117*AA117</f>
        <v>2031693.82858147</v>
      </c>
      <c r="E117" s="129" t="n">
        <f aca="false">VLOOKUP($A117,[1]!CurveTable,MATCH($E$4,[1]!CurveType,0))</f>
        <v>5.5325</v>
      </c>
      <c r="F117" s="130"/>
      <c r="G117" s="131" t="n">
        <f aca="false">E117</f>
        <v>5.5325</v>
      </c>
      <c r="H117" s="129" t="n">
        <f aca="false">VLOOKUP($A117,[1]!CurveTable,MATCH($H$4,[1]!CurveType,0))</f>
        <v>0</v>
      </c>
      <c r="I117" s="131"/>
      <c r="J117" s="131" t="n">
        <f aca="false">H117</f>
        <v>0</v>
      </c>
      <c r="K117" s="129"/>
      <c r="L117" s="131"/>
      <c r="M117" s="131"/>
      <c r="N117" s="131" t="n">
        <f aca="false">G117+J117+M117+$N$7</f>
        <v>5.2425</v>
      </c>
      <c r="O117" s="131" t="n">
        <f aca="false">Summary!$E$16</f>
        <v>9.81903240236408</v>
      </c>
      <c r="P117" s="131"/>
      <c r="Q117" s="141" t="n">
        <f aca="false">Q116</f>
        <v>0.17</v>
      </c>
      <c r="R117" s="129" t="n">
        <f aca="false">Q117+Summary!$C$26</f>
        <v>0.17</v>
      </c>
      <c r="S117" s="129"/>
      <c r="T117" s="132" t="n">
        <f aca="false">X117</f>
        <v>43435</v>
      </c>
      <c r="U117" s="133" t="n">
        <f aca="false">T117-$C$3</f>
        <v>6430</v>
      </c>
      <c r="W117" s="61" t="n">
        <f aca="false">A118-A117</f>
        <v>31</v>
      </c>
      <c r="X117" s="135" t="n">
        <f aca="false">CHOOSE(F$3,A118+24,A117)</f>
        <v>43435</v>
      </c>
      <c r="Y117" s="61" t="n">
        <f aca="false">X117-C$3</f>
        <v>6430</v>
      </c>
      <c r="Z117" s="136" t="n">
        <f aca="false">VLOOKUP($A117,[1]!CurveTable,MATCH($Z$4,[1]!CurveType,0))</f>
        <v>0.0659751426787039</v>
      </c>
      <c r="AA117" s="137" t="n">
        <f aca="false">1/(1+CHOOSE(F$3,(Z118+($K$3/10000))/2,(Z117+($K$3/10000))/2))^(2*Y117/365.25)</f>
        <v>0.318954786617622</v>
      </c>
      <c r="AB117" s="61" t="n">
        <f aca="false">IF(AND(mthbeg&lt;=A117,mthend&gt;=A117),1,0)</f>
        <v>1</v>
      </c>
      <c r="AC117" s="61" t="n">
        <f aca="false">W117*AB117</f>
        <v>31</v>
      </c>
      <c r="AD117" s="121" t="n">
        <f aca="false">$D117*E117</f>
        <v>11240346.106627</v>
      </c>
      <c r="AE117" s="121" t="n">
        <f aca="false">$D117*F117</f>
        <v>0</v>
      </c>
      <c r="AF117" s="121" t="n">
        <f aca="false">$D117*G117</f>
        <v>11240346.106627</v>
      </c>
      <c r="AG117" s="121" t="n">
        <f aca="false">$D117*H117</f>
        <v>0</v>
      </c>
      <c r="AH117" s="121" t="n">
        <f aca="false">$D117*I117</f>
        <v>0</v>
      </c>
      <c r="AI117" s="121" t="n">
        <f aca="false">$D117*J117</f>
        <v>0</v>
      </c>
      <c r="AJ117" s="121" t="n">
        <f aca="false">$D117*K117</f>
        <v>0</v>
      </c>
      <c r="AK117" s="121" t="n">
        <f aca="false">$D117*L117</f>
        <v>0</v>
      </c>
      <c r="AL117" s="121" t="n">
        <f aca="false">$D117*M117</f>
        <v>0</v>
      </c>
      <c r="AM117" s="139"/>
      <c r="AO117" s="75" t="e">
        <f aca="false">EURO(N117,O117,Z117,Z117,R117,U117,1,0)</f>
        <v>#NAME?</v>
      </c>
      <c r="AP117" s="138" t="e">
        <f aca="false">AO117*C117</f>
        <v>#NAME?</v>
      </c>
      <c r="AQ117" s="61" t="e">
        <f aca="false">EURO(N117,O117,Z117,Z117,R117,U117,1,1)</f>
        <v>#NAME?</v>
      </c>
      <c r="AR117" s="61" t="e">
        <f aca="false">AQ117+Put!AQ117</f>
        <v>#NAME?</v>
      </c>
      <c r="AS117" s="138" t="e">
        <f aca="false">AR117*C117</f>
        <v>#NAME?</v>
      </c>
      <c r="AT117" s="120" t="e">
        <f aca="false">AS117/10000</f>
        <v>#NAME?</v>
      </c>
    </row>
    <row r="118" customFormat="false" ht="12.75" hidden="false" customHeight="false" outlineLevel="0" collapsed="false">
      <c r="A118" s="127" t="n">
        <f aca="false">EDATE(A117,1)</f>
        <v>43466</v>
      </c>
      <c r="B118" s="128" t="n">
        <f aca="false">B117</f>
        <v>205479</v>
      </c>
      <c r="C118" s="116" t="n">
        <f aca="false">IF(AB118=0,0,IF(AND(AB118=1,$H$3=1),B118*W118,IF($H$3=2,B118,"N/A")))</f>
        <v>6369849</v>
      </c>
      <c r="D118" s="116" t="n">
        <f aca="false">C118*AA118</f>
        <v>2019061.1061564</v>
      </c>
      <c r="E118" s="129" t="n">
        <f aca="false">VLOOKUP($A118,[1]!CurveTable,MATCH($E$4,[1]!CurveType,0))</f>
        <v>5.6225</v>
      </c>
      <c r="F118" s="130"/>
      <c r="G118" s="131" t="n">
        <f aca="false">E118</f>
        <v>5.6225</v>
      </c>
      <c r="H118" s="129" t="n">
        <f aca="false">VLOOKUP($A118,[1]!CurveTable,MATCH($H$4,[1]!CurveType,0))</f>
        <v>0</v>
      </c>
      <c r="I118" s="131"/>
      <c r="J118" s="131" t="n">
        <f aca="false">H118</f>
        <v>0</v>
      </c>
      <c r="K118" s="129"/>
      <c r="L118" s="131"/>
      <c r="M118" s="131"/>
      <c r="N118" s="131" t="n">
        <f aca="false">G118+J118+M118+$N$7</f>
        <v>5.3325</v>
      </c>
      <c r="O118" s="131" t="n">
        <f aca="false">Summary!$E$16</f>
        <v>9.81903240236408</v>
      </c>
      <c r="P118" s="131"/>
      <c r="Q118" s="141" t="n">
        <f aca="false">Q117</f>
        <v>0.17</v>
      </c>
      <c r="R118" s="129" t="n">
        <f aca="false">Q118+Summary!$C$26</f>
        <v>0.17</v>
      </c>
      <c r="S118" s="129"/>
      <c r="T118" s="132" t="n">
        <f aca="false">X118</f>
        <v>43466</v>
      </c>
      <c r="U118" s="133" t="n">
        <f aca="false">T118-$C$3</f>
        <v>6461</v>
      </c>
      <c r="W118" s="61" t="n">
        <f aca="false">A119-A118</f>
        <v>31</v>
      </c>
      <c r="X118" s="135" t="n">
        <f aca="false">CHOOSE(F$3,A119+24,A118)</f>
        <v>43466</v>
      </c>
      <c r="Y118" s="61" t="n">
        <f aca="false">X118-C$3</f>
        <v>6461</v>
      </c>
      <c r="Z118" s="136" t="n">
        <f aca="false">VLOOKUP($A118,[1]!CurveTable,MATCH($Z$4,[1]!CurveType,0))</f>
        <v>0.0660176604002105</v>
      </c>
      <c r="AA118" s="137" t="n">
        <f aca="false">1/(1+CHOOSE(F$3,(Z119+($K$3/10000))/2,(Z118+($K$3/10000))/2))^(2*Y118/365.25)</f>
        <v>0.316971580669557</v>
      </c>
      <c r="AB118" s="61" t="n">
        <f aca="false">IF(AND(mthbeg&lt;=A118,mthend&gt;=A118),1,0)</f>
        <v>1</v>
      </c>
      <c r="AC118" s="61" t="n">
        <f aca="false">W118*AB118</f>
        <v>31</v>
      </c>
      <c r="AD118" s="121" t="n">
        <f aca="false">$D118*E118</f>
        <v>11352171.0693643</v>
      </c>
      <c r="AE118" s="121" t="n">
        <f aca="false">$D118*F118</f>
        <v>0</v>
      </c>
      <c r="AF118" s="121" t="n">
        <f aca="false">$D118*G118</f>
        <v>11352171.0693643</v>
      </c>
      <c r="AG118" s="121" t="n">
        <f aca="false">$D118*H118</f>
        <v>0</v>
      </c>
      <c r="AH118" s="121" t="n">
        <f aca="false">$D118*I118</f>
        <v>0</v>
      </c>
      <c r="AI118" s="121" t="n">
        <f aca="false">$D118*J118</f>
        <v>0</v>
      </c>
      <c r="AJ118" s="121" t="n">
        <f aca="false">$D118*K118</f>
        <v>0</v>
      </c>
      <c r="AK118" s="121" t="n">
        <f aca="false">$D118*L118</f>
        <v>0</v>
      </c>
      <c r="AL118" s="121" t="n">
        <f aca="false">$D118*M118</f>
        <v>0</v>
      </c>
      <c r="AM118" s="139"/>
      <c r="AO118" s="75" t="e">
        <f aca="false">EURO(N118,O118,Z118,Z118,R118,U118,1,0)</f>
        <v>#NAME?</v>
      </c>
      <c r="AP118" s="138" t="e">
        <f aca="false">AO118*C118</f>
        <v>#NAME?</v>
      </c>
      <c r="AQ118" s="61" t="e">
        <f aca="false">EURO(N118,O118,Z118,Z118,R118,U118,1,1)</f>
        <v>#NAME?</v>
      </c>
      <c r="AR118" s="61" t="e">
        <f aca="false">AQ118+Put!AQ118</f>
        <v>#NAME?</v>
      </c>
      <c r="AS118" s="138" t="e">
        <f aca="false">AR118*C118</f>
        <v>#NAME?</v>
      </c>
      <c r="AT118" s="120" t="e">
        <f aca="false">AS118/10000</f>
        <v>#NAME?</v>
      </c>
    </row>
    <row r="119" customFormat="false" ht="12.75" hidden="false" customHeight="false" outlineLevel="0" collapsed="false">
      <c r="A119" s="127" t="n">
        <f aca="false">EDATE(A118,1)</f>
        <v>43497</v>
      </c>
      <c r="B119" s="128" t="n">
        <f aca="false">B118</f>
        <v>205479</v>
      </c>
      <c r="C119" s="116" t="n">
        <f aca="false">IF(AB119=0,0,IF(AND(AB119=1,$H$3=1),B119*W119,IF($H$3=2,B119,"N/A")))</f>
        <v>5753412</v>
      </c>
      <c r="D119" s="116" t="n">
        <f aca="false">C119*AA119</f>
        <v>1812316.20676666</v>
      </c>
      <c r="E119" s="129" t="n">
        <f aca="false">VLOOKUP($A119,[1]!CurveTable,MATCH($E$4,[1]!CurveType,0))</f>
        <v>5.5025</v>
      </c>
      <c r="F119" s="130"/>
      <c r="G119" s="131" t="n">
        <f aca="false">E119</f>
        <v>5.5025</v>
      </c>
      <c r="H119" s="129" t="n">
        <f aca="false">VLOOKUP($A119,[1]!CurveTable,MATCH($H$4,[1]!CurveType,0))</f>
        <v>0</v>
      </c>
      <c r="I119" s="131"/>
      <c r="J119" s="131" t="n">
        <f aca="false">H119</f>
        <v>0</v>
      </c>
      <c r="K119" s="129"/>
      <c r="L119" s="131"/>
      <c r="M119" s="131"/>
      <c r="N119" s="131" t="n">
        <f aca="false">G119+J119+M119+$N$7</f>
        <v>5.2125</v>
      </c>
      <c r="O119" s="131" t="n">
        <f aca="false">Summary!$E$16</f>
        <v>9.81903240236408</v>
      </c>
      <c r="P119" s="131"/>
      <c r="Q119" s="141" t="n">
        <f aca="false">Q118</f>
        <v>0.17</v>
      </c>
      <c r="R119" s="129" t="n">
        <f aca="false">Q119+Summary!$C$26</f>
        <v>0.17</v>
      </c>
      <c r="S119" s="129"/>
      <c r="T119" s="132" t="n">
        <f aca="false">X119</f>
        <v>43497</v>
      </c>
      <c r="U119" s="133" t="n">
        <f aca="false">T119-$C$3</f>
        <v>6492</v>
      </c>
      <c r="W119" s="61" t="n">
        <f aca="false">A120-A119</f>
        <v>28</v>
      </c>
      <c r="X119" s="135" t="n">
        <f aca="false">CHOOSE(F$3,A120+24,A119)</f>
        <v>43497</v>
      </c>
      <c r="Y119" s="61" t="n">
        <f aca="false">X119-C$3</f>
        <v>6492</v>
      </c>
      <c r="Z119" s="136" t="n">
        <f aca="false">VLOOKUP($A119,[1]!CurveTable,MATCH($Z$4,[1]!CurveType,0))</f>
        <v>0.0660601781223162</v>
      </c>
      <c r="AA119" s="137" t="n">
        <f aca="false">1/(1+CHOOSE(F$3,(Z120+($K$3/10000))/2,(Z119+($K$3/10000))/2))^(2*Y119/365.25)</f>
        <v>0.314998509887117</v>
      </c>
      <c r="AB119" s="61" t="n">
        <f aca="false">IF(AND(mthbeg&lt;=A119,mthend&gt;=A119),1,0)</f>
        <v>1</v>
      </c>
      <c r="AC119" s="61" t="n">
        <f aca="false">W119*AB119</f>
        <v>28</v>
      </c>
      <c r="AD119" s="121" t="n">
        <f aca="false">$D119*E119</f>
        <v>9972269.92773354</v>
      </c>
      <c r="AE119" s="121" t="n">
        <f aca="false">$D119*F119</f>
        <v>0</v>
      </c>
      <c r="AF119" s="121" t="n">
        <f aca="false">$D119*G119</f>
        <v>9972269.92773354</v>
      </c>
      <c r="AG119" s="121" t="n">
        <f aca="false">$D119*H119</f>
        <v>0</v>
      </c>
      <c r="AH119" s="121" t="n">
        <f aca="false">$D119*I119</f>
        <v>0</v>
      </c>
      <c r="AI119" s="121" t="n">
        <f aca="false">$D119*J119</f>
        <v>0</v>
      </c>
      <c r="AJ119" s="121" t="n">
        <f aca="false">$D119*K119</f>
        <v>0</v>
      </c>
      <c r="AK119" s="121" t="n">
        <f aca="false">$D119*L119</f>
        <v>0</v>
      </c>
      <c r="AL119" s="121" t="n">
        <f aca="false">$D119*M119</f>
        <v>0</v>
      </c>
      <c r="AM119" s="139"/>
      <c r="AO119" s="75" t="e">
        <f aca="false">EURO(N119,O119,Z119,Z119,R119,U119,1,0)</f>
        <v>#NAME?</v>
      </c>
      <c r="AP119" s="138" t="e">
        <f aca="false">AO119*C119</f>
        <v>#NAME?</v>
      </c>
      <c r="AQ119" s="61" t="e">
        <f aca="false">EURO(N119,O119,Z119,Z119,R119,U119,1,1)</f>
        <v>#NAME?</v>
      </c>
      <c r="AR119" s="61" t="e">
        <f aca="false">AQ119+Put!AQ119</f>
        <v>#NAME?</v>
      </c>
      <c r="AS119" s="138" t="e">
        <f aca="false">AR119*C119</f>
        <v>#NAME?</v>
      </c>
      <c r="AT119" s="120" t="e">
        <f aca="false">AS119/10000</f>
        <v>#NAME?</v>
      </c>
    </row>
    <row r="120" customFormat="false" ht="12.75" hidden="false" customHeight="false" outlineLevel="0" collapsed="false">
      <c r="A120" s="127" t="n">
        <f aca="false">EDATE(A119,1)</f>
        <v>43525</v>
      </c>
      <c r="B120" s="128" t="n">
        <f aca="false">B119</f>
        <v>205479</v>
      </c>
      <c r="C120" s="116" t="n">
        <f aca="false">IF(AB120=0,0,IF(AND(AB120=1,$H$3=1),B120*W120,IF($H$3=2,B120,"N/A")))</f>
        <v>6369849</v>
      </c>
      <c r="D120" s="116" t="n">
        <f aca="false">C120*AA120</f>
        <v>1995196.35573031</v>
      </c>
      <c r="E120" s="129" t="n">
        <f aca="false">VLOOKUP($A120,[1]!CurveTable,MATCH($E$4,[1]!CurveType,0))</f>
        <v>5.3635</v>
      </c>
      <c r="F120" s="130"/>
      <c r="G120" s="131" t="n">
        <f aca="false">E120</f>
        <v>5.3635</v>
      </c>
      <c r="H120" s="129" t="n">
        <f aca="false">VLOOKUP($A120,[1]!CurveTable,MATCH($H$4,[1]!CurveType,0))</f>
        <v>0</v>
      </c>
      <c r="I120" s="131"/>
      <c r="J120" s="131" t="n">
        <f aca="false">H120</f>
        <v>0</v>
      </c>
      <c r="K120" s="129"/>
      <c r="L120" s="131"/>
      <c r="M120" s="131"/>
      <c r="N120" s="131" t="n">
        <f aca="false">G120+J120+M120+$N$7</f>
        <v>5.0735</v>
      </c>
      <c r="O120" s="131" t="n">
        <f aca="false">Summary!$E$16</f>
        <v>9.81903240236408</v>
      </c>
      <c r="P120" s="131"/>
      <c r="Q120" s="141" t="n">
        <f aca="false">Q119</f>
        <v>0.17</v>
      </c>
      <c r="R120" s="129" t="n">
        <f aca="false">Q120+Summary!$C$26</f>
        <v>0.17</v>
      </c>
      <c r="S120" s="129"/>
      <c r="T120" s="132" t="n">
        <f aca="false">X120</f>
        <v>43525</v>
      </c>
      <c r="U120" s="133" t="n">
        <f aca="false">T120-$C$3</f>
        <v>6520</v>
      </c>
      <c r="W120" s="61" t="n">
        <f aca="false">A121-A120</f>
        <v>31</v>
      </c>
      <c r="X120" s="135" t="n">
        <f aca="false">CHOOSE(F$3,A121+24,A120)</f>
        <v>43525</v>
      </c>
      <c r="Y120" s="61" t="n">
        <f aca="false">X120-C$3</f>
        <v>6520</v>
      </c>
      <c r="Z120" s="136" t="n">
        <f aca="false">VLOOKUP($A120,[1]!CurveTable,MATCH($Z$4,[1]!CurveType,0))</f>
        <v>0.0660985812266683</v>
      </c>
      <c r="AA120" s="137" t="n">
        <f aca="false">1/(1+CHOOSE(F$3,(Z121+($K$3/10000))/2,(Z120+($K$3/10000))/2))^(2*Y120/365.25)</f>
        <v>0.313225063220543</v>
      </c>
      <c r="AB120" s="61" t="n">
        <f aca="false">IF(AND(mthbeg&lt;=A120,mthend&gt;=A120),1,0)</f>
        <v>1</v>
      </c>
      <c r="AC120" s="61" t="n">
        <f aca="false">W120*AB120</f>
        <v>31</v>
      </c>
      <c r="AD120" s="121" t="n">
        <f aca="false">$D120*E120</f>
        <v>10701235.6539595</v>
      </c>
      <c r="AE120" s="121" t="n">
        <f aca="false">$D120*F120</f>
        <v>0</v>
      </c>
      <c r="AF120" s="121" t="n">
        <f aca="false">$D120*G120</f>
        <v>10701235.6539595</v>
      </c>
      <c r="AG120" s="121" t="n">
        <f aca="false">$D120*H120</f>
        <v>0</v>
      </c>
      <c r="AH120" s="121" t="n">
        <f aca="false">$D120*I120</f>
        <v>0</v>
      </c>
      <c r="AI120" s="121" t="n">
        <f aca="false">$D120*J120</f>
        <v>0</v>
      </c>
      <c r="AJ120" s="121" t="n">
        <f aca="false">$D120*K120</f>
        <v>0</v>
      </c>
      <c r="AK120" s="121" t="n">
        <f aca="false">$D120*L120</f>
        <v>0</v>
      </c>
      <c r="AL120" s="121" t="n">
        <f aca="false">$D120*M120</f>
        <v>0</v>
      </c>
      <c r="AM120" s="139"/>
      <c r="AO120" s="75" t="e">
        <f aca="false">EURO(N120,O120,Z120,Z120,R120,U120,1,0)</f>
        <v>#NAME?</v>
      </c>
      <c r="AP120" s="138" t="e">
        <f aca="false">AO120*C120</f>
        <v>#NAME?</v>
      </c>
      <c r="AQ120" s="61" t="e">
        <f aca="false">EURO(N120,O120,Z120,Z120,R120,U120,1,1)</f>
        <v>#NAME?</v>
      </c>
      <c r="AR120" s="61" t="e">
        <f aca="false">AQ120+Put!AQ120</f>
        <v>#NAME?</v>
      </c>
      <c r="AS120" s="138" t="e">
        <f aca="false">AR120*C120</f>
        <v>#NAME?</v>
      </c>
      <c r="AT120" s="120" t="e">
        <f aca="false">AS120/10000</f>
        <v>#NAME?</v>
      </c>
    </row>
    <row r="121" customFormat="false" ht="12.75" hidden="false" customHeight="false" outlineLevel="0" collapsed="false">
      <c r="A121" s="127" t="n">
        <f aca="false">EDATE(A120,1)</f>
        <v>43556</v>
      </c>
      <c r="B121" s="128" t="n">
        <f aca="false">B120</f>
        <v>205479</v>
      </c>
      <c r="C121" s="116" t="n">
        <f aca="false">IF(AB121=0,0,IF(AND(AB121=1,$H$3=1),B121*W121,IF($H$3=2,B121,"N/A")))</f>
        <v>6164370</v>
      </c>
      <c r="D121" s="116" t="n">
        <f aca="false">C121*AA121</f>
        <v>1918790.74611986</v>
      </c>
      <c r="E121" s="129" t="n">
        <f aca="false">VLOOKUP($A121,[1]!CurveTable,MATCH($E$4,[1]!CurveType,0))</f>
        <v>5.1935</v>
      </c>
      <c r="F121" s="130"/>
      <c r="G121" s="131" t="n">
        <f aca="false">E121</f>
        <v>5.1935</v>
      </c>
      <c r="H121" s="129" t="n">
        <f aca="false">VLOOKUP($A121,[1]!CurveTable,MATCH($H$4,[1]!CurveType,0))</f>
        <v>0</v>
      </c>
      <c r="I121" s="131"/>
      <c r="J121" s="131" t="n">
        <f aca="false">H121</f>
        <v>0</v>
      </c>
      <c r="K121" s="129"/>
      <c r="L121" s="131"/>
      <c r="M121" s="131"/>
      <c r="N121" s="131" t="n">
        <f aca="false">G121+J121+M121+$N$7</f>
        <v>4.9035</v>
      </c>
      <c r="O121" s="131" t="n">
        <f aca="false">Summary!$E$16</f>
        <v>9.81903240236408</v>
      </c>
      <c r="P121" s="131"/>
      <c r="Q121" s="141" t="n">
        <f aca="false">Q120</f>
        <v>0.17</v>
      </c>
      <c r="R121" s="129" t="n">
        <f aca="false">Q121+Summary!$C$26</f>
        <v>0.17</v>
      </c>
      <c r="S121" s="129"/>
      <c r="T121" s="132" t="n">
        <f aca="false">X121</f>
        <v>43556</v>
      </c>
      <c r="U121" s="133" t="n">
        <f aca="false">T121-$C$3</f>
        <v>6551</v>
      </c>
      <c r="W121" s="61" t="n">
        <f aca="false">A122-A121</f>
        <v>30</v>
      </c>
      <c r="X121" s="135" t="n">
        <f aca="false">CHOOSE(F$3,A122+24,A121)</f>
        <v>43556</v>
      </c>
      <c r="Y121" s="61" t="n">
        <f aca="false">X121-C$3</f>
        <v>6551</v>
      </c>
      <c r="Z121" s="136" t="n">
        <f aca="false">VLOOKUP($A121,[1]!CurveTable,MATCH($Z$4,[1]!CurveType,0))</f>
        <v>0.0661410989499136</v>
      </c>
      <c r="AA121" s="137" t="n">
        <f aca="false">1/(1+CHOOSE(F$3,(Z122+($K$3/10000))/2,(Z121+($K$3/10000))/2))^(2*Y121/365.25)</f>
        <v>0.311271183611604</v>
      </c>
      <c r="AB121" s="61" t="n">
        <f aca="false">IF(AND(mthbeg&lt;=A121,mthend&gt;=A121),1,0)</f>
        <v>1</v>
      </c>
      <c r="AC121" s="61" t="n">
        <f aca="false">W121*AB121</f>
        <v>30</v>
      </c>
      <c r="AD121" s="121" t="n">
        <f aca="false">$D121*E121</f>
        <v>9965239.7399735</v>
      </c>
      <c r="AE121" s="121" t="n">
        <f aca="false">$D121*F121</f>
        <v>0</v>
      </c>
      <c r="AF121" s="121" t="n">
        <f aca="false">$D121*G121</f>
        <v>9965239.7399735</v>
      </c>
      <c r="AG121" s="121" t="n">
        <f aca="false">$D121*H121</f>
        <v>0</v>
      </c>
      <c r="AH121" s="121" t="n">
        <f aca="false">$D121*I121</f>
        <v>0</v>
      </c>
      <c r="AI121" s="121" t="n">
        <f aca="false">$D121*J121</f>
        <v>0</v>
      </c>
      <c r="AJ121" s="121" t="n">
        <f aca="false">$D121*K121</f>
        <v>0</v>
      </c>
      <c r="AK121" s="121" t="n">
        <f aca="false">$D121*L121</f>
        <v>0</v>
      </c>
      <c r="AL121" s="121" t="n">
        <f aca="false">$D121*M121</f>
        <v>0</v>
      </c>
      <c r="AM121" s="139"/>
      <c r="AO121" s="75" t="e">
        <f aca="false">EURO(N121,O121,Z121,Z121,R121,U121,1,0)</f>
        <v>#NAME?</v>
      </c>
      <c r="AP121" s="138" t="e">
        <f aca="false">AO121*C121</f>
        <v>#NAME?</v>
      </c>
      <c r="AQ121" s="61" t="e">
        <f aca="false">EURO(N121,O121,Z121,Z121,R121,U121,1,1)</f>
        <v>#NAME?</v>
      </c>
      <c r="AR121" s="61" t="e">
        <f aca="false">AQ121+Put!AQ121</f>
        <v>#NAME?</v>
      </c>
      <c r="AS121" s="138" t="e">
        <f aca="false">AR121*C121</f>
        <v>#NAME?</v>
      </c>
      <c r="AT121" s="120" t="e">
        <f aca="false">AS121/10000</f>
        <v>#NAME?</v>
      </c>
    </row>
    <row r="122" customFormat="false" ht="12.75" hidden="false" customHeight="false" outlineLevel="0" collapsed="false">
      <c r="A122" s="127" t="n">
        <f aca="false">EDATE(A121,1)</f>
        <v>43586</v>
      </c>
      <c r="B122" s="128" t="n">
        <f aca="false">B121</f>
        <v>205479</v>
      </c>
      <c r="C122" s="116" t="n">
        <f aca="false">IF(AB122=0,0,IF(AND(AB122=1,$H$3=1),B122*W122,IF($H$3=2,B122,"N/A")))</f>
        <v>6369849</v>
      </c>
      <c r="D122" s="116" t="n">
        <f aca="false">C122*AA122</f>
        <v>1970766.84574516</v>
      </c>
      <c r="E122" s="129" t="n">
        <f aca="false">VLOOKUP($A122,[1]!CurveTable,MATCH($E$4,[1]!CurveType,0))</f>
        <v>5.2525</v>
      </c>
      <c r="F122" s="130"/>
      <c r="G122" s="131" t="n">
        <f aca="false">E122</f>
        <v>5.2525</v>
      </c>
      <c r="H122" s="129" t="n">
        <f aca="false">VLOOKUP($A122,[1]!CurveTable,MATCH($H$4,[1]!CurveType,0))</f>
        <v>0</v>
      </c>
      <c r="I122" s="131"/>
      <c r="J122" s="131" t="n">
        <f aca="false">H122</f>
        <v>0</v>
      </c>
      <c r="K122" s="129"/>
      <c r="L122" s="131"/>
      <c r="M122" s="131"/>
      <c r="N122" s="131" t="n">
        <f aca="false">G122+J122+M122+$N$7</f>
        <v>4.9625</v>
      </c>
      <c r="O122" s="131" t="n">
        <f aca="false">Summary!$E$16</f>
        <v>9.81903240236408</v>
      </c>
      <c r="P122" s="131"/>
      <c r="Q122" s="141" t="n">
        <f aca="false">Q121</f>
        <v>0.17</v>
      </c>
      <c r="R122" s="129" t="n">
        <f aca="false">Q122+Summary!$C$26</f>
        <v>0.17</v>
      </c>
      <c r="S122" s="129"/>
      <c r="T122" s="132" t="n">
        <f aca="false">X122</f>
        <v>43586</v>
      </c>
      <c r="U122" s="133" t="n">
        <f aca="false">T122-$C$3</f>
        <v>6581</v>
      </c>
      <c r="W122" s="61" t="n">
        <f aca="false">A123-A122</f>
        <v>31</v>
      </c>
      <c r="X122" s="135" t="n">
        <f aca="false">CHOOSE(F$3,A123+24,A122)</f>
        <v>43586</v>
      </c>
      <c r="Y122" s="61" t="n">
        <f aca="false">X122-C$3</f>
        <v>6581</v>
      </c>
      <c r="Z122" s="136" t="n">
        <f aca="false">VLOOKUP($A122,[1]!CurveTable,MATCH($Z$4,[1]!CurveType,0))</f>
        <v>0.0661822451342702</v>
      </c>
      <c r="AA122" s="137" t="n">
        <f aca="false">1/(1+CHOOSE(F$3,(Z123+($K$3/10000))/2,(Z122+($K$3/10000))/2))^(2*Y122/365.25)</f>
        <v>0.309389884398383</v>
      </c>
      <c r="AB122" s="61" t="n">
        <f aca="false">IF(AND(mthbeg&lt;=A122,mthend&gt;=A122),1,0)</f>
        <v>1</v>
      </c>
      <c r="AC122" s="61" t="n">
        <f aca="false">W122*AB122</f>
        <v>31</v>
      </c>
      <c r="AD122" s="121" t="n">
        <f aca="false">$D122*E122</f>
        <v>10351452.8572764</v>
      </c>
      <c r="AE122" s="121" t="n">
        <f aca="false">$D122*F122</f>
        <v>0</v>
      </c>
      <c r="AF122" s="121" t="n">
        <f aca="false">$D122*G122</f>
        <v>10351452.8572764</v>
      </c>
      <c r="AG122" s="121" t="n">
        <f aca="false">$D122*H122</f>
        <v>0</v>
      </c>
      <c r="AH122" s="121" t="n">
        <f aca="false">$D122*I122</f>
        <v>0</v>
      </c>
      <c r="AI122" s="121" t="n">
        <f aca="false">$D122*J122</f>
        <v>0</v>
      </c>
      <c r="AJ122" s="121" t="n">
        <f aca="false">$D122*K122</f>
        <v>0</v>
      </c>
      <c r="AK122" s="121" t="n">
        <f aca="false">$D122*L122</f>
        <v>0</v>
      </c>
      <c r="AL122" s="121" t="n">
        <f aca="false">$D122*M122</f>
        <v>0</v>
      </c>
      <c r="AM122" s="139"/>
      <c r="AO122" s="75" t="e">
        <f aca="false">EURO(N122,O122,Z122,Z122,R122,U122,1,0)</f>
        <v>#NAME?</v>
      </c>
      <c r="AP122" s="138" t="e">
        <f aca="false">AO122*C122</f>
        <v>#NAME?</v>
      </c>
      <c r="AQ122" s="61" t="e">
        <f aca="false">EURO(N122,O122,Z122,Z122,R122,U122,1,1)</f>
        <v>#NAME?</v>
      </c>
      <c r="AR122" s="61" t="e">
        <f aca="false">AQ122+Put!AQ122</f>
        <v>#NAME?</v>
      </c>
      <c r="AS122" s="138" t="e">
        <f aca="false">AR122*C122</f>
        <v>#NAME?</v>
      </c>
      <c r="AT122" s="120" t="e">
        <f aca="false">AS122/10000</f>
        <v>#NAME?</v>
      </c>
    </row>
    <row r="123" customFormat="false" ht="12.75" hidden="false" customHeight="false" outlineLevel="0" collapsed="false">
      <c r="A123" s="127" t="n">
        <f aca="false">EDATE(A122,1)</f>
        <v>43617</v>
      </c>
      <c r="B123" s="128" t="n">
        <f aca="false">B122</f>
        <v>205479</v>
      </c>
      <c r="C123" s="116" t="n">
        <f aca="false">IF(AB123=0,0,IF(AND(AB123=1,$H$3=1),B123*W123,IF($H$3=2,B123,"N/A")))</f>
        <v>6164370</v>
      </c>
      <c r="D123" s="116" t="n">
        <f aca="false">C123*AA123</f>
        <v>1895270.76132807</v>
      </c>
      <c r="E123" s="129" t="n">
        <f aca="false">VLOOKUP($A123,[1]!CurveTable,MATCH($E$4,[1]!CurveType,0))</f>
        <v>5.2925</v>
      </c>
      <c r="F123" s="130"/>
      <c r="G123" s="131" t="n">
        <f aca="false">E123</f>
        <v>5.2925</v>
      </c>
      <c r="H123" s="129" t="n">
        <f aca="false">VLOOKUP($A123,[1]!CurveTable,MATCH($H$4,[1]!CurveType,0))</f>
        <v>0</v>
      </c>
      <c r="I123" s="131"/>
      <c r="J123" s="131" t="n">
        <f aca="false">H123</f>
        <v>0</v>
      </c>
      <c r="K123" s="129"/>
      <c r="L123" s="131"/>
      <c r="M123" s="131"/>
      <c r="N123" s="131" t="n">
        <f aca="false">G123+J123+M123+$N$7</f>
        <v>5.0025</v>
      </c>
      <c r="O123" s="131" t="n">
        <f aca="false">Summary!$E$16</f>
        <v>9.81903240236408</v>
      </c>
      <c r="P123" s="131"/>
      <c r="Q123" s="141" t="n">
        <f aca="false">Q122</f>
        <v>0.17</v>
      </c>
      <c r="R123" s="129" t="n">
        <f aca="false">Q123+Summary!$C$26</f>
        <v>0.17</v>
      </c>
      <c r="S123" s="129"/>
      <c r="T123" s="132" t="n">
        <f aca="false">X123</f>
        <v>43617</v>
      </c>
      <c r="U123" s="133" t="n">
        <f aca="false">T123-$C$3</f>
        <v>6612</v>
      </c>
      <c r="W123" s="61" t="n">
        <f aca="false">A124-A123</f>
        <v>30</v>
      </c>
      <c r="X123" s="135" t="n">
        <f aca="false">CHOOSE(F$3,A124+24,A123)</f>
        <v>43617</v>
      </c>
      <c r="Y123" s="61" t="n">
        <f aca="false">X123-C$3</f>
        <v>6612</v>
      </c>
      <c r="Z123" s="136" t="n">
        <f aca="false">VLOOKUP($A123,[1]!CurveTable,MATCH($Z$4,[1]!CurveType,0))</f>
        <v>0.066224762858694</v>
      </c>
      <c r="AA123" s="137" t="n">
        <f aca="false">1/(1+CHOOSE(F$3,(Z124+($K$3/10000))/2,(Z123+($K$3/10000))/2))^(2*Y123/365.25)</f>
        <v>0.307455711018006</v>
      </c>
      <c r="AB123" s="61" t="n">
        <f aca="false">IF(AND(mthbeg&lt;=A123,mthend&gt;=A123),1,0)</f>
        <v>1</v>
      </c>
      <c r="AC123" s="61" t="n">
        <f aca="false">W123*AB123</f>
        <v>30</v>
      </c>
      <c r="AD123" s="121" t="n">
        <f aca="false">$D123*E123</f>
        <v>10030720.5043288</v>
      </c>
      <c r="AE123" s="121" t="n">
        <f aca="false">$D123*F123</f>
        <v>0</v>
      </c>
      <c r="AF123" s="121" t="n">
        <f aca="false">$D123*G123</f>
        <v>10030720.5043288</v>
      </c>
      <c r="AG123" s="121" t="n">
        <f aca="false">$D123*H123</f>
        <v>0</v>
      </c>
      <c r="AH123" s="121" t="n">
        <f aca="false">$D123*I123</f>
        <v>0</v>
      </c>
      <c r="AI123" s="121" t="n">
        <f aca="false">$D123*J123</f>
        <v>0</v>
      </c>
      <c r="AJ123" s="121" t="n">
        <f aca="false">$D123*K123</f>
        <v>0</v>
      </c>
      <c r="AK123" s="121" t="n">
        <f aca="false">$D123*L123</f>
        <v>0</v>
      </c>
      <c r="AL123" s="121" t="n">
        <f aca="false">$D123*M123</f>
        <v>0</v>
      </c>
      <c r="AM123" s="139"/>
      <c r="AO123" s="75" t="e">
        <f aca="false">EURO(N123,O123,Z123,Z123,R123,U123,1,0)</f>
        <v>#NAME?</v>
      </c>
      <c r="AP123" s="138" t="e">
        <f aca="false">AO123*C123</f>
        <v>#NAME?</v>
      </c>
      <c r="AQ123" s="61" t="e">
        <f aca="false">EURO(N123,O123,Z123,Z123,R123,U123,1,1)</f>
        <v>#NAME?</v>
      </c>
      <c r="AR123" s="61" t="e">
        <f aca="false">AQ123+Put!AQ123</f>
        <v>#NAME?</v>
      </c>
      <c r="AS123" s="138" t="e">
        <f aca="false">AR123*C123</f>
        <v>#NAME?</v>
      </c>
      <c r="AT123" s="120" t="e">
        <f aca="false">AS123/10000</f>
        <v>#NAME?</v>
      </c>
    </row>
    <row r="124" customFormat="false" ht="12.75" hidden="false" customHeight="false" outlineLevel="0" collapsed="false">
      <c r="A124" s="127" t="n">
        <f aca="false">EDATE(A123,1)</f>
        <v>43647</v>
      </c>
      <c r="B124" s="128" t="n">
        <f aca="false">B123</f>
        <v>205479</v>
      </c>
      <c r="C124" s="116" t="n">
        <f aca="false">IF(AB124=0,0,IF(AND(AB124=1,$H$3=1),B124*W124,IF($H$3=2,B124,"N/A")))</f>
        <v>6369849</v>
      </c>
      <c r="D124" s="116" t="n">
        <f aca="false">C124*AA124</f>
        <v>1946583.91357372</v>
      </c>
      <c r="E124" s="129" t="n">
        <f aca="false">VLOOKUP($A124,[1]!CurveTable,MATCH($E$4,[1]!CurveType,0))</f>
        <v>5.3375</v>
      </c>
      <c r="F124" s="130"/>
      <c r="G124" s="131" t="n">
        <f aca="false">E124</f>
        <v>5.3375</v>
      </c>
      <c r="H124" s="129" t="n">
        <f aca="false">VLOOKUP($A124,[1]!CurveTable,MATCH($H$4,[1]!CurveType,0))</f>
        <v>0</v>
      </c>
      <c r="I124" s="131"/>
      <c r="J124" s="131" t="n">
        <f aca="false">H124</f>
        <v>0</v>
      </c>
      <c r="K124" s="129"/>
      <c r="L124" s="131"/>
      <c r="M124" s="131"/>
      <c r="N124" s="131" t="n">
        <f aca="false">G124+J124+M124+$N$7</f>
        <v>5.0475</v>
      </c>
      <c r="O124" s="131" t="n">
        <f aca="false">Summary!$E$16</f>
        <v>9.81903240236408</v>
      </c>
      <c r="P124" s="131"/>
      <c r="Q124" s="141" t="n">
        <f aca="false">Q123</f>
        <v>0.17</v>
      </c>
      <c r="R124" s="129" t="n">
        <f aca="false">Q124+Summary!$C$26</f>
        <v>0.17</v>
      </c>
      <c r="S124" s="129"/>
      <c r="T124" s="132" t="n">
        <f aca="false">X124</f>
        <v>43647</v>
      </c>
      <c r="U124" s="133" t="n">
        <f aca="false">T124-$C$3</f>
        <v>6642</v>
      </c>
      <c r="W124" s="61" t="n">
        <f aca="false">A125-A124</f>
        <v>31</v>
      </c>
      <c r="X124" s="135" t="n">
        <f aca="false">CHOOSE(F$3,A125+24,A124)</f>
        <v>43647</v>
      </c>
      <c r="Y124" s="61" t="n">
        <f aca="false">X124-C$3</f>
        <v>6642</v>
      </c>
      <c r="Z124" s="136" t="n">
        <f aca="false">VLOOKUP($A124,[1]!CurveTable,MATCH($Z$4,[1]!CurveType,0))</f>
        <v>0.066265909044191</v>
      </c>
      <c r="AA124" s="137" t="n">
        <f aca="false">1/(1+CHOOSE(F$3,(Z125+($K$3/10000))/2,(Z124+($K$3/10000))/2))^(2*Y124/365.25)</f>
        <v>0.305593415726765</v>
      </c>
      <c r="AB124" s="61" t="n">
        <f aca="false">IF(AND(mthbeg&lt;=A124,mthend&gt;=A124),1,0)</f>
        <v>1</v>
      </c>
      <c r="AC124" s="61" t="n">
        <f aca="false">W124*AB124</f>
        <v>31</v>
      </c>
      <c r="AD124" s="121" t="n">
        <f aca="false">$D124*E124</f>
        <v>10389891.6386997</v>
      </c>
      <c r="AE124" s="121" t="n">
        <f aca="false">$D124*F124</f>
        <v>0</v>
      </c>
      <c r="AF124" s="121" t="n">
        <f aca="false">$D124*G124</f>
        <v>10389891.6386997</v>
      </c>
      <c r="AG124" s="121" t="n">
        <f aca="false">$D124*H124</f>
        <v>0</v>
      </c>
      <c r="AH124" s="121" t="n">
        <f aca="false">$D124*I124</f>
        <v>0</v>
      </c>
      <c r="AI124" s="121" t="n">
        <f aca="false">$D124*J124</f>
        <v>0</v>
      </c>
      <c r="AJ124" s="121" t="n">
        <f aca="false">$D124*K124</f>
        <v>0</v>
      </c>
      <c r="AK124" s="121" t="n">
        <f aca="false">$D124*L124</f>
        <v>0</v>
      </c>
      <c r="AL124" s="121" t="n">
        <f aca="false">$D124*M124</f>
        <v>0</v>
      </c>
      <c r="AM124" s="139"/>
      <c r="AO124" s="75" t="e">
        <f aca="false">EURO(N124,O124,Z124,Z124,R124,U124,1,0)</f>
        <v>#NAME?</v>
      </c>
      <c r="AP124" s="138" t="e">
        <f aca="false">AO124*C124</f>
        <v>#NAME?</v>
      </c>
      <c r="AQ124" s="61" t="e">
        <f aca="false">EURO(N124,O124,Z124,Z124,R124,U124,1,1)</f>
        <v>#NAME?</v>
      </c>
      <c r="AR124" s="61" t="e">
        <f aca="false">AQ124+Put!AQ124</f>
        <v>#NAME?</v>
      </c>
      <c r="AS124" s="138" t="e">
        <f aca="false">AR124*C124</f>
        <v>#NAME?</v>
      </c>
      <c r="AT124" s="120" t="e">
        <f aca="false">AS124/10000</f>
        <v>#NAME?</v>
      </c>
    </row>
    <row r="125" customFormat="false" ht="12.75" hidden="false" customHeight="false" outlineLevel="0" collapsed="false">
      <c r="A125" s="127" t="n">
        <f aca="false">EDATE(A124,1)</f>
        <v>43678</v>
      </c>
      <c r="B125" s="128" t="n">
        <f aca="false">B124</f>
        <v>205479</v>
      </c>
      <c r="C125" s="116" t="n">
        <f aca="false">IF(AB125=0,0,IF(AND(AB125=1,$H$3=1),B125*W125,IF($H$3=2,B125,"N/A")))</f>
        <v>6369849</v>
      </c>
      <c r="D125" s="116" t="n">
        <f aca="false">C125*AA125</f>
        <v>1934388.17002705</v>
      </c>
      <c r="E125" s="129" t="n">
        <f aca="false">VLOOKUP($A125,[1]!CurveTable,MATCH($E$4,[1]!CurveType,0))</f>
        <v>5.3725</v>
      </c>
      <c r="F125" s="130"/>
      <c r="G125" s="131" t="n">
        <f aca="false">E125</f>
        <v>5.3725</v>
      </c>
      <c r="H125" s="129" t="n">
        <f aca="false">VLOOKUP($A125,[1]!CurveTable,MATCH($H$4,[1]!CurveType,0))</f>
        <v>0</v>
      </c>
      <c r="I125" s="131"/>
      <c r="J125" s="131" t="n">
        <f aca="false">H125</f>
        <v>0</v>
      </c>
      <c r="K125" s="129"/>
      <c r="L125" s="131"/>
      <c r="M125" s="131"/>
      <c r="N125" s="131" t="n">
        <f aca="false">G125+J125+M125+$N$7</f>
        <v>5.0825</v>
      </c>
      <c r="O125" s="131" t="n">
        <f aca="false">Summary!$E$16</f>
        <v>9.81903240236408</v>
      </c>
      <c r="P125" s="131"/>
      <c r="Q125" s="141" t="n">
        <f aca="false">Q124</f>
        <v>0.17</v>
      </c>
      <c r="R125" s="129" t="n">
        <f aca="false">Q125+Summary!$C$26</f>
        <v>0.17</v>
      </c>
      <c r="S125" s="129"/>
      <c r="T125" s="132" t="n">
        <f aca="false">X125</f>
        <v>43678</v>
      </c>
      <c r="U125" s="133" t="n">
        <f aca="false">T125-$C$3</f>
        <v>6673</v>
      </c>
      <c r="W125" s="61" t="n">
        <f aca="false">A126-A125</f>
        <v>31</v>
      </c>
      <c r="X125" s="135" t="n">
        <f aca="false">CHOOSE(F$3,A126+24,A125)</f>
        <v>43678</v>
      </c>
      <c r="Y125" s="61" t="n">
        <f aca="false">X125-C$3</f>
        <v>6673</v>
      </c>
      <c r="Z125" s="136" t="n">
        <f aca="false">VLOOKUP($A125,[1]!CurveTable,MATCH($Z$4,[1]!CurveType,0))</f>
        <v>0.0663084267697931</v>
      </c>
      <c r="AA125" s="137" t="n">
        <f aca="false">1/(1+CHOOSE(F$3,(Z126+($K$3/10000))/2,(Z125+($K$3/10000))/2))^(2*Y125/365.25)</f>
        <v>0.303678810914835</v>
      </c>
      <c r="AB125" s="61" t="n">
        <f aca="false">IF(AND(mthbeg&lt;=A125,mthend&gt;=A125),1,0)</f>
        <v>1</v>
      </c>
      <c r="AC125" s="61" t="n">
        <f aca="false">W125*AB125</f>
        <v>31</v>
      </c>
      <c r="AD125" s="121" t="n">
        <f aca="false">$D125*E125</f>
        <v>10392500.4434703</v>
      </c>
      <c r="AE125" s="121" t="n">
        <f aca="false">$D125*F125</f>
        <v>0</v>
      </c>
      <c r="AF125" s="121" t="n">
        <f aca="false">$D125*G125</f>
        <v>10392500.4434703</v>
      </c>
      <c r="AG125" s="121" t="n">
        <f aca="false">$D125*H125</f>
        <v>0</v>
      </c>
      <c r="AH125" s="121" t="n">
        <f aca="false">$D125*I125</f>
        <v>0</v>
      </c>
      <c r="AI125" s="121" t="n">
        <f aca="false">$D125*J125</f>
        <v>0</v>
      </c>
      <c r="AJ125" s="121" t="n">
        <f aca="false">$D125*K125</f>
        <v>0</v>
      </c>
      <c r="AK125" s="121" t="n">
        <f aca="false">$D125*L125</f>
        <v>0</v>
      </c>
      <c r="AL125" s="121" t="n">
        <f aca="false">$D125*M125</f>
        <v>0</v>
      </c>
      <c r="AM125" s="139"/>
      <c r="AO125" s="75" t="e">
        <f aca="false">EURO(N125,O125,Z125,Z125,R125,U125,1,0)</f>
        <v>#NAME?</v>
      </c>
      <c r="AP125" s="138" t="e">
        <f aca="false">AO125*C125</f>
        <v>#NAME?</v>
      </c>
      <c r="AQ125" s="61" t="e">
        <f aca="false">EURO(N125,O125,Z125,Z125,R125,U125,1,1)</f>
        <v>#NAME?</v>
      </c>
      <c r="AR125" s="61" t="e">
        <f aca="false">AQ125+Put!AQ125</f>
        <v>#NAME?</v>
      </c>
      <c r="AS125" s="138" t="e">
        <f aca="false">AR125*C125</f>
        <v>#NAME?</v>
      </c>
      <c r="AT125" s="120" t="e">
        <f aca="false">AS125/10000</f>
        <v>#NAME?</v>
      </c>
    </row>
    <row r="126" customFormat="false" ht="12.75" hidden="false" customHeight="false" outlineLevel="0" collapsed="false">
      <c r="A126" s="127" t="n">
        <f aca="false">EDATE(A125,1)</f>
        <v>43709</v>
      </c>
      <c r="B126" s="128" t="n">
        <f aca="false">B125</f>
        <v>205479</v>
      </c>
      <c r="C126" s="116" t="n">
        <f aca="false">IF(AB126=0,0,IF(AND(AB126=1,$H$3=1),B126*W126,IF($H$3=2,B126,"N/A")))</f>
        <v>6164370</v>
      </c>
      <c r="D126" s="116" t="n">
        <f aca="false">C126*AA126</f>
        <v>1860247.19687741</v>
      </c>
      <c r="E126" s="129" t="n">
        <f aca="false">VLOOKUP($A126,[1]!CurveTable,MATCH($E$4,[1]!CurveType,0))</f>
        <v>5.3775</v>
      </c>
      <c r="F126" s="130"/>
      <c r="G126" s="131" t="n">
        <f aca="false">E126</f>
        <v>5.3775</v>
      </c>
      <c r="H126" s="129" t="n">
        <f aca="false">VLOOKUP($A126,[1]!CurveTable,MATCH($H$4,[1]!CurveType,0))</f>
        <v>0</v>
      </c>
      <c r="I126" s="131"/>
      <c r="J126" s="131" t="n">
        <f aca="false">H126</f>
        <v>0</v>
      </c>
      <c r="K126" s="129"/>
      <c r="L126" s="131"/>
      <c r="M126" s="131"/>
      <c r="N126" s="131" t="n">
        <f aca="false">G126+J126+M126+$N$7</f>
        <v>5.0875</v>
      </c>
      <c r="O126" s="131" t="n">
        <f aca="false">Summary!$E$16</f>
        <v>9.81903240236408</v>
      </c>
      <c r="P126" s="131"/>
      <c r="Q126" s="141" t="n">
        <f aca="false">Q125</f>
        <v>0.17</v>
      </c>
      <c r="R126" s="129" t="n">
        <f aca="false">Q126+Summary!$C$26</f>
        <v>0.17</v>
      </c>
      <c r="S126" s="129"/>
      <c r="T126" s="132" t="n">
        <f aca="false">X126</f>
        <v>43709</v>
      </c>
      <c r="U126" s="133" t="n">
        <f aca="false">T126-$C$3</f>
        <v>6704</v>
      </c>
      <c r="W126" s="61" t="n">
        <f aca="false">A127-A126</f>
        <v>30</v>
      </c>
      <c r="X126" s="135" t="n">
        <f aca="false">CHOOSE(F$3,A127+24,A126)</f>
        <v>43709</v>
      </c>
      <c r="Y126" s="61" t="n">
        <f aca="false">X126-C$3</f>
        <v>6704</v>
      </c>
      <c r="Z126" s="136" t="n">
        <f aca="false">VLOOKUP($A126,[1]!CurveTable,MATCH($Z$4,[1]!CurveType,0))</f>
        <v>0.0663509444959942</v>
      </c>
      <c r="AA126" s="137" t="n">
        <f aca="false">1/(1+CHOOSE(F$3,(Z127+($K$3/10000))/2,(Z126+($K$3/10000))/2))^(2*Y126/365.25)</f>
        <v>0.301774098063129</v>
      </c>
      <c r="AB126" s="61" t="n">
        <f aca="false">IF(AND(mthbeg&lt;=A126,mthend&gt;=A126),1,0)</f>
        <v>1</v>
      </c>
      <c r="AC126" s="61" t="n">
        <f aca="false">W126*AB126</f>
        <v>30</v>
      </c>
      <c r="AD126" s="121" t="n">
        <f aca="false">$D126*E126</f>
        <v>10003479.3012083</v>
      </c>
      <c r="AE126" s="121" t="n">
        <f aca="false">$D126*F126</f>
        <v>0</v>
      </c>
      <c r="AF126" s="121" t="n">
        <f aca="false">$D126*G126</f>
        <v>10003479.3012083</v>
      </c>
      <c r="AG126" s="121" t="n">
        <f aca="false">$D126*H126</f>
        <v>0</v>
      </c>
      <c r="AH126" s="121" t="n">
        <f aca="false">$D126*I126</f>
        <v>0</v>
      </c>
      <c r="AI126" s="121" t="n">
        <f aca="false">$D126*J126</f>
        <v>0</v>
      </c>
      <c r="AJ126" s="121" t="n">
        <f aca="false">$D126*K126</f>
        <v>0</v>
      </c>
      <c r="AK126" s="121" t="n">
        <f aca="false">$D126*L126</f>
        <v>0</v>
      </c>
      <c r="AL126" s="121" t="n">
        <f aca="false">$D126*M126</f>
        <v>0</v>
      </c>
      <c r="AM126" s="139"/>
      <c r="AO126" s="75" t="e">
        <f aca="false">EURO(N126,O126,Z126,Z126,R126,U126,1,0)</f>
        <v>#NAME?</v>
      </c>
      <c r="AP126" s="138" t="e">
        <f aca="false">AO126*C126</f>
        <v>#NAME?</v>
      </c>
      <c r="AQ126" s="61" t="e">
        <f aca="false">EURO(N126,O126,Z126,Z126,R126,U126,1,1)</f>
        <v>#NAME?</v>
      </c>
      <c r="AR126" s="61" t="e">
        <f aca="false">AQ126+Put!AQ126</f>
        <v>#NAME?</v>
      </c>
      <c r="AS126" s="138" t="e">
        <f aca="false">AR126*C126</f>
        <v>#NAME?</v>
      </c>
      <c r="AT126" s="120" t="e">
        <f aca="false">AS126/10000</f>
        <v>#NAME?</v>
      </c>
    </row>
    <row r="127" customFormat="false" ht="12.75" hidden="false" customHeight="false" outlineLevel="0" collapsed="false">
      <c r="A127" s="127" t="n">
        <f aca="false">EDATE(A126,1)</f>
        <v>43739</v>
      </c>
      <c r="B127" s="128" t="n">
        <f aca="false">B126</f>
        <v>205479</v>
      </c>
      <c r="C127" s="116" t="n">
        <f aca="false">IF(AB127=0,0,IF(AND(AB127=1,$H$3=1),B127*W127,IF($H$3=2,B127,"N/A")))</f>
        <v>6369849</v>
      </c>
      <c r="D127" s="116" t="n">
        <f aca="false">C127*AA127</f>
        <v>1910573.86315072</v>
      </c>
      <c r="E127" s="129" t="n">
        <f aca="false">VLOOKUP($A127,[1]!CurveTable,MATCH($E$4,[1]!CurveType,0))</f>
        <v>5.4075</v>
      </c>
      <c r="F127" s="130"/>
      <c r="G127" s="131" t="n">
        <f aca="false">E127</f>
        <v>5.4075</v>
      </c>
      <c r="H127" s="129" t="n">
        <f aca="false">VLOOKUP($A127,[1]!CurveTable,MATCH($H$4,[1]!CurveType,0))</f>
        <v>0</v>
      </c>
      <c r="I127" s="131"/>
      <c r="J127" s="131" t="n">
        <f aca="false">H127</f>
        <v>0</v>
      </c>
      <c r="K127" s="129"/>
      <c r="L127" s="131"/>
      <c r="M127" s="131"/>
      <c r="N127" s="131" t="n">
        <f aca="false">G127+J127+M127+$N$7</f>
        <v>5.1175</v>
      </c>
      <c r="O127" s="131" t="n">
        <f aca="false">Summary!$E$16</f>
        <v>9.81903240236408</v>
      </c>
      <c r="P127" s="131"/>
      <c r="Q127" s="141" t="n">
        <f aca="false">Q126</f>
        <v>0.17</v>
      </c>
      <c r="R127" s="129" t="n">
        <f aca="false">Q127+Summary!$C$26</f>
        <v>0.17</v>
      </c>
      <c r="S127" s="129"/>
      <c r="T127" s="132" t="n">
        <f aca="false">X127</f>
        <v>43739</v>
      </c>
      <c r="U127" s="133" t="n">
        <f aca="false">T127-$C$3</f>
        <v>6734</v>
      </c>
      <c r="W127" s="61" t="n">
        <f aca="false">A128-A127</f>
        <v>31</v>
      </c>
      <c r="X127" s="135" t="n">
        <f aca="false">CHOOSE(F$3,A128+24,A127)</f>
        <v>43739</v>
      </c>
      <c r="Y127" s="61" t="n">
        <f aca="false">X127-C$3</f>
        <v>6734</v>
      </c>
      <c r="Z127" s="136" t="n">
        <f aca="false">VLOOKUP($A127,[1]!CurveTable,MATCH($Z$4,[1]!CurveType,0))</f>
        <v>0.0663920906832107</v>
      </c>
      <c r="AA127" s="137" t="n">
        <f aca="false">1/(1+CHOOSE(F$3,(Z128+($K$3/10000))/2,(Z127+($K$3/10000))/2))^(2*Y127/365.25)</f>
        <v>0.29994021257815</v>
      </c>
      <c r="AB127" s="61" t="n">
        <f aca="false">IF(AND(mthbeg&lt;=A127,mthend&gt;=A127),1,0)</f>
        <v>1</v>
      </c>
      <c r="AC127" s="61" t="n">
        <f aca="false">W127*AB127</f>
        <v>31</v>
      </c>
      <c r="AD127" s="121" t="n">
        <f aca="false">$D127*E127</f>
        <v>10331428.1649875</v>
      </c>
      <c r="AE127" s="121" t="n">
        <f aca="false">$D127*F127</f>
        <v>0</v>
      </c>
      <c r="AF127" s="121" t="n">
        <f aca="false">$D127*G127</f>
        <v>10331428.1649875</v>
      </c>
      <c r="AG127" s="121" t="n">
        <f aca="false">$D127*H127</f>
        <v>0</v>
      </c>
      <c r="AH127" s="121" t="n">
        <f aca="false">$D127*I127</f>
        <v>0</v>
      </c>
      <c r="AI127" s="121" t="n">
        <f aca="false">$D127*J127</f>
        <v>0</v>
      </c>
      <c r="AJ127" s="121" t="n">
        <f aca="false">$D127*K127</f>
        <v>0</v>
      </c>
      <c r="AK127" s="121" t="n">
        <f aca="false">$D127*L127</f>
        <v>0</v>
      </c>
      <c r="AL127" s="121" t="n">
        <f aca="false">$D127*M127</f>
        <v>0</v>
      </c>
      <c r="AM127" s="139"/>
      <c r="AO127" s="75" t="e">
        <f aca="false">EURO(N127,O127,Z127,Z127,R127,U127,1,0)</f>
        <v>#NAME?</v>
      </c>
      <c r="AP127" s="138" t="e">
        <f aca="false">AO127*C127</f>
        <v>#NAME?</v>
      </c>
      <c r="AQ127" s="61" t="e">
        <f aca="false">EURO(N127,O127,Z127,Z127,R127,U127,1,1)</f>
        <v>#NAME?</v>
      </c>
      <c r="AR127" s="61" t="e">
        <f aca="false">AQ127+Put!AQ127</f>
        <v>#NAME?</v>
      </c>
      <c r="AS127" s="138" t="e">
        <f aca="false">AR127*C127</f>
        <v>#NAME?</v>
      </c>
      <c r="AT127" s="120" t="e">
        <f aca="false">AS127/10000</f>
        <v>#NAME?</v>
      </c>
    </row>
    <row r="128" customFormat="false" ht="12.75" hidden="false" customHeight="false" outlineLevel="0" collapsed="false">
      <c r="A128" s="127" t="n">
        <f aca="false">EDATE(A127,1)</f>
        <v>43770</v>
      </c>
      <c r="B128" s="128" t="n">
        <f aca="false">B127</f>
        <v>205479</v>
      </c>
      <c r="C128" s="116" t="n">
        <f aca="false">IF(AB128=0,0,IF(AND(AB128=1,$H$3=1),B128*W128,IF($H$3=2,B128,"N/A")))</f>
        <v>6164370</v>
      </c>
      <c r="D128" s="116" t="n">
        <f aca="false">C128*AA128</f>
        <v>1837320.44277059</v>
      </c>
      <c r="E128" s="129" t="n">
        <f aca="false">VLOOKUP($A128,[1]!CurveTable,MATCH($E$4,[1]!CurveType,0))</f>
        <v>5.5175</v>
      </c>
      <c r="F128" s="130"/>
      <c r="G128" s="131" t="n">
        <f aca="false">E128</f>
        <v>5.5175</v>
      </c>
      <c r="H128" s="129" t="n">
        <f aca="false">VLOOKUP($A128,[1]!CurveTable,MATCH($H$4,[1]!CurveType,0))</f>
        <v>0</v>
      </c>
      <c r="I128" s="131"/>
      <c r="J128" s="131" t="n">
        <f aca="false">H128</f>
        <v>0</v>
      </c>
      <c r="K128" s="129"/>
      <c r="L128" s="131"/>
      <c r="M128" s="131"/>
      <c r="N128" s="131" t="n">
        <f aca="false">G128+J128+M128+$N$7</f>
        <v>5.2275</v>
      </c>
      <c r="O128" s="131" t="n">
        <f aca="false">Summary!$E$16</f>
        <v>9.81903240236408</v>
      </c>
      <c r="P128" s="131"/>
      <c r="Q128" s="141" t="n">
        <f aca="false">Q127</f>
        <v>0.17</v>
      </c>
      <c r="R128" s="129" t="n">
        <f aca="false">Q128+Summary!$C$26</f>
        <v>0.17</v>
      </c>
      <c r="S128" s="129"/>
      <c r="T128" s="132" t="n">
        <f aca="false">X128</f>
        <v>43770</v>
      </c>
      <c r="U128" s="133" t="n">
        <f aca="false">T128-$C$3</f>
        <v>6765</v>
      </c>
      <c r="W128" s="61" t="n">
        <f aca="false">A129-A128</f>
        <v>30</v>
      </c>
      <c r="X128" s="135" t="n">
        <f aca="false">CHOOSE(F$3,A129+24,A128)</f>
        <v>43770</v>
      </c>
      <c r="Y128" s="61" t="n">
        <f aca="false">X128-C$3</f>
        <v>6765</v>
      </c>
      <c r="Z128" s="136" t="n">
        <f aca="false">VLOOKUP($A128,[1]!CurveTable,MATCH($Z$4,[1]!CurveType,0))</f>
        <v>0.0664346084105905</v>
      </c>
      <c r="AA128" s="137" t="n">
        <f aca="false">1/(1+CHOOSE(F$3,(Z129+($K$3/10000))/2,(Z128+($K$3/10000))/2))^(2*Y128/365.25)</f>
        <v>0.298054860881257</v>
      </c>
      <c r="AB128" s="61" t="n">
        <f aca="false">IF(AND(mthbeg&lt;=A128,mthend&gt;=A128),1,0)</f>
        <v>1</v>
      </c>
      <c r="AC128" s="61" t="n">
        <f aca="false">W128*AB128</f>
        <v>30</v>
      </c>
      <c r="AD128" s="121" t="n">
        <f aca="false">$D128*E128</f>
        <v>10137415.5429868</v>
      </c>
      <c r="AE128" s="121" t="n">
        <f aca="false">$D128*F128</f>
        <v>0</v>
      </c>
      <c r="AF128" s="121" t="n">
        <f aca="false">$D128*G128</f>
        <v>10137415.5429868</v>
      </c>
      <c r="AG128" s="121" t="n">
        <f aca="false">$D128*H128</f>
        <v>0</v>
      </c>
      <c r="AH128" s="121" t="n">
        <f aca="false">$D128*I128</f>
        <v>0</v>
      </c>
      <c r="AI128" s="121" t="n">
        <f aca="false">$D128*J128</f>
        <v>0</v>
      </c>
      <c r="AJ128" s="121" t="n">
        <f aca="false">$D128*K128</f>
        <v>0</v>
      </c>
      <c r="AK128" s="121" t="n">
        <f aca="false">$D128*L128</f>
        <v>0</v>
      </c>
      <c r="AL128" s="121" t="n">
        <f aca="false">$D128*M128</f>
        <v>0</v>
      </c>
      <c r="AM128" s="139"/>
      <c r="AO128" s="75" t="e">
        <f aca="false">EURO(N128,O128,Z128,Z128,R128,U128,1,0)</f>
        <v>#NAME?</v>
      </c>
      <c r="AP128" s="138" t="e">
        <f aca="false">AO128*C128</f>
        <v>#NAME?</v>
      </c>
      <c r="AQ128" s="61" t="e">
        <f aca="false">EURO(N128,O128,Z128,Z128,R128,U128,1,1)</f>
        <v>#NAME?</v>
      </c>
      <c r="AR128" s="61" t="e">
        <f aca="false">AQ128+Put!AQ128</f>
        <v>#NAME?</v>
      </c>
      <c r="AS128" s="138" t="e">
        <f aca="false">AR128*C128</f>
        <v>#NAME?</v>
      </c>
      <c r="AT128" s="120" t="e">
        <f aca="false">AS128/10000</f>
        <v>#NAME?</v>
      </c>
    </row>
    <row r="129" customFormat="false" ht="12.75" hidden="false" customHeight="false" outlineLevel="0" collapsed="false">
      <c r="A129" s="127" t="n">
        <f aca="false">EDATE(A128,1)</f>
        <v>43800</v>
      </c>
      <c r="B129" s="128" t="n">
        <f aca="false">B128</f>
        <v>205479</v>
      </c>
      <c r="C129" s="116" t="n">
        <f aca="false">IF(AB129=0,0,IF(AND(AB129=1,$H$3=1),B129*W129,IF($H$3=2,B129,"N/A")))</f>
        <v>6369849</v>
      </c>
      <c r="D129" s="116" t="n">
        <f aca="false">C129*AA129</f>
        <v>1887001.80973074</v>
      </c>
      <c r="E129" s="129" t="n">
        <f aca="false">VLOOKUP($A129,[1]!CurveTable,MATCH($E$4,[1]!CurveType,0))</f>
        <v>5.6375</v>
      </c>
      <c r="F129" s="130"/>
      <c r="G129" s="131" t="n">
        <f aca="false">E129</f>
        <v>5.6375</v>
      </c>
      <c r="H129" s="129" t="n">
        <f aca="false">VLOOKUP($A129,[1]!CurveTable,MATCH($H$4,[1]!CurveType,0))</f>
        <v>0</v>
      </c>
      <c r="I129" s="131"/>
      <c r="J129" s="131" t="n">
        <f aca="false">H129</f>
        <v>0</v>
      </c>
      <c r="K129" s="129"/>
      <c r="L129" s="131"/>
      <c r="M129" s="131"/>
      <c r="N129" s="131" t="n">
        <f aca="false">G129+J129+M129+$N$7</f>
        <v>5.3475</v>
      </c>
      <c r="O129" s="131" t="n">
        <f aca="false">Summary!$E$16</f>
        <v>9.81903240236408</v>
      </c>
      <c r="P129" s="131"/>
      <c r="Q129" s="141" t="n">
        <f aca="false">Q128</f>
        <v>0.17</v>
      </c>
      <c r="R129" s="129" t="n">
        <f aca="false">Q129+Summary!$C$26</f>
        <v>0.17</v>
      </c>
      <c r="S129" s="129"/>
      <c r="T129" s="132" t="n">
        <f aca="false">X129</f>
        <v>43800</v>
      </c>
      <c r="U129" s="133" t="n">
        <f aca="false">T129-$C$3</f>
        <v>6795</v>
      </c>
      <c r="W129" s="61" t="n">
        <f aca="false">A130-A129</f>
        <v>31</v>
      </c>
      <c r="X129" s="135" t="n">
        <f aca="false">CHOOSE(F$3,A130+24,A129)</f>
        <v>43800</v>
      </c>
      <c r="Y129" s="61" t="n">
        <f aca="false">X129-C$3</f>
        <v>6795</v>
      </c>
      <c r="Z129" s="136" t="n">
        <f aca="false">VLOOKUP($A129,[1]!CurveTable,MATCH($Z$4,[1]!CurveType,0))</f>
        <v>0.0664757545989465</v>
      </c>
      <c r="AA129" s="137" t="n">
        <f aca="false">1/(1+CHOOSE(F$3,(Z130+($K$3/10000))/2,(Z129+($K$3/10000))/2))^(2*Y129/365.25)</f>
        <v>0.296239645512906</v>
      </c>
      <c r="AB129" s="61" t="n">
        <f aca="false">IF(AND(mthbeg&lt;=A129,mthend&gt;=A129),1,0)</f>
        <v>1</v>
      </c>
      <c r="AC129" s="61" t="n">
        <f aca="false">W129*AB129</f>
        <v>31</v>
      </c>
      <c r="AD129" s="121" t="n">
        <f aca="false">$D129*E129</f>
        <v>10637972.702357</v>
      </c>
      <c r="AE129" s="121" t="n">
        <f aca="false">$D129*F129</f>
        <v>0</v>
      </c>
      <c r="AF129" s="121" t="n">
        <f aca="false">$D129*G129</f>
        <v>10637972.702357</v>
      </c>
      <c r="AG129" s="121" t="n">
        <f aca="false">$D129*H129</f>
        <v>0</v>
      </c>
      <c r="AH129" s="121" t="n">
        <f aca="false">$D129*I129</f>
        <v>0</v>
      </c>
      <c r="AI129" s="121" t="n">
        <f aca="false">$D129*J129</f>
        <v>0</v>
      </c>
      <c r="AJ129" s="121" t="n">
        <f aca="false">$D129*K129</f>
        <v>0</v>
      </c>
      <c r="AK129" s="121" t="n">
        <f aca="false">$D129*L129</f>
        <v>0</v>
      </c>
      <c r="AL129" s="121" t="n">
        <f aca="false">$D129*M129</f>
        <v>0</v>
      </c>
      <c r="AM129" s="139"/>
      <c r="AO129" s="75" t="e">
        <f aca="false">EURO(N129,O129,Z129,Z129,R129,U129,1,0)</f>
        <v>#NAME?</v>
      </c>
      <c r="AP129" s="138" t="e">
        <f aca="false">AO129*C129</f>
        <v>#NAME?</v>
      </c>
      <c r="AQ129" s="61" t="e">
        <f aca="false">EURO(N129,O129,Z129,Z129,R129,U129,1,1)</f>
        <v>#NAME?</v>
      </c>
      <c r="AR129" s="61" t="e">
        <f aca="false">AQ129+Put!AQ129</f>
        <v>#NAME?</v>
      </c>
      <c r="AS129" s="138" t="e">
        <f aca="false">AR129*C129</f>
        <v>#NAME?</v>
      </c>
      <c r="AT129" s="120" t="e">
        <f aca="false">AS129/10000</f>
        <v>#NAME?</v>
      </c>
    </row>
    <row r="130" customFormat="false" ht="12.75" hidden="false" customHeight="false" outlineLevel="0" collapsed="false">
      <c r="A130" s="127" t="n">
        <f aca="false">EDATE(A129,1)</f>
        <v>43831</v>
      </c>
      <c r="B130" s="128" t="n">
        <f aca="false">B129</f>
        <v>205479</v>
      </c>
      <c r="C130" s="116" t="n">
        <f aca="false">IF(AB130=0,0,IF(AND(AB130=1,$H$3=1),B130*W130,IF($H$3=2,B130,"N/A")))</f>
        <v>6369849</v>
      </c>
      <c r="D130" s="116" t="n">
        <f aca="false">C130*AA130</f>
        <v>1875114.85672599</v>
      </c>
      <c r="E130" s="129" t="n">
        <f aca="false">VLOOKUP($A130,[1]!CurveTable,MATCH($E$4,[1]!CurveType,0))</f>
        <v>5.7275</v>
      </c>
      <c r="F130" s="130"/>
      <c r="G130" s="131" t="n">
        <f aca="false">E130</f>
        <v>5.7275</v>
      </c>
      <c r="H130" s="129" t="n">
        <f aca="false">VLOOKUP($A130,[1]!CurveTable,MATCH($H$4,[1]!CurveType,0))</f>
        <v>0</v>
      </c>
      <c r="I130" s="131"/>
      <c r="J130" s="131" t="n">
        <f aca="false">H130</f>
        <v>0</v>
      </c>
      <c r="K130" s="129"/>
      <c r="L130" s="131"/>
      <c r="M130" s="131"/>
      <c r="N130" s="131" t="n">
        <f aca="false">G130+J130+M130+$N$7</f>
        <v>5.4375</v>
      </c>
      <c r="O130" s="131" t="n">
        <f aca="false">Summary!$E$16</f>
        <v>9.81903240236408</v>
      </c>
      <c r="P130" s="131"/>
      <c r="Q130" s="141" t="n">
        <f aca="false">Q129</f>
        <v>0.17</v>
      </c>
      <c r="R130" s="129" t="n">
        <f aca="false">Q130+Summary!$C$26</f>
        <v>0.17</v>
      </c>
      <c r="S130" s="129"/>
      <c r="T130" s="132" t="n">
        <f aca="false">X130</f>
        <v>43831</v>
      </c>
      <c r="U130" s="133" t="n">
        <f aca="false">T130-$C$3</f>
        <v>6826</v>
      </c>
      <c r="W130" s="61" t="n">
        <f aca="false">A131-A130</f>
        <v>31</v>
      </c>
      <c r="X130" s="135" t="n">
        <f aca="false">CHOOSE(F$3,A131+24,A130)</f>
        <v>43831</v>
      </c>
      <c r="Y130" s="61" t="n">
        <f aca="false">X130-C$3</f>
        <v>6826</v>
      </c>
      <c r="Z130" s="136" t="n">
        <f aca="false">VLOOKUP($A130,[1]!CurveTable,MATCH($Z$4,[1]!CurveType,0))</f>
        <v>0.0665182723275044</v>
      </c>
      <c r="AA130" s="137" t="n">
        <f aca="false">1/(1+CHOOSE(F$3,(Z131+($K$3/10000))/2,(Z130+($K$3/10000))/2))^(2*Y130/365.25)</f>
        <v>0.294373517602379</v>
      </c>
      <c r="AB130" s="61" t="n">
        <f aca="false">IF(AND(mthbeg&lt;=A130,mthend&gt;=A130),1,0)</f>
        <v>1</v>
      </c>
      <c r="AC130" s="61" t="n">
        <f aca="false">W130*AB130</f>
        <v>31</v>
      </c>
      <c r="AD130" s="121" t="n">
        <f aca="false">$D130*E130</f>
        <v>10739720.3418981</v>
      </c>
      <c r="AE130" s="121" t="n">
        <f aca="false">$D130*F130</f>
        <v>0</v>
      </c>
      <c r="AF130" s="121" t="n">
        <f aca="false">$D130*G130</f>
        <v>10739720.3418981</v>
      </c>
      <c r="AG130" s="121" t="n">
        <f aca="false">$D130*H130</f>
        <v>0</v>
      </c>
      <c r="AH130" s="121" t="n">
        <f aca="false">$D130*I130</f>
        <v>0</v>
      </c>
      <c r="AI130" s="121" t="n">
        <f aca="false">$D130*J130</f>
        <v>0</v>
      </c>
      <c r="AJ130" s="121" t="n">
        <f aca="false">$D130*K130</f>
        <v>0</v>
      </c>
      <c r="AK130" s="121" t="n">
        <f aca="false">$D130*L130</f>
        <v>0</v>
      </c>
      <c r="AL130" s="121" t="n">
        <f aca="false">$D130*M130</f>
        <v>0</v>
      </c>
      <c r="AM130" s="139"/>
      <c r="AO130" s="75" t="e">
        <f aca="false">EURO(N130,O130,Z130,Z130,R130,U130,1,0)</f>
        <v>#NAME?</v>
      </c>
      <c r="AP130" s="138" t="e">
        <f aca="false">AO130*C130</f>
        <v>#NAME?</v>
      </c>
      <c r="AQ130" s="61" t="e">
        <f aca="false">EURO(N130,O130,Z130,Z130,R130,U130,1,1)</f>
        <v>#NAME?</v>
      </c>
      <c r="AR130" s="61" t="e">
        <f aca="false">AQ130+Put!AQ130</f>
        <v>#NAME?</v>
      </c>
      <c r="AS130" s="138" t="e">
        <f aca="false">AR130*C130</f>
        <v>#NAME?</v>
      </c>
      <c r="AT130" s="120" t="e">
        <f aca="false">AS130/10000</f>
        <v>#NAME?</v>
      </c>
    </row>
    <row r="131" customFormat="false" ht="12.75" hidden="false" customHeight="false" outlineLevel="0" collapsed="false">
      <c r="A131" s="127" t="n">
        <f aca="false">EDATE(A130,1)</f>
        <v>43862</v>
      </c>
      <c r="B131" s="128" t="n">
        <f aca="false">B130</f>
        <v>205479</v>
      </c>
      <c r="C131" s="116" t="n">
        <f aca="false">IF(AB131=0,0,IF(AND(AB131=1,$H$3=1),B131*W131,IF($H$3=2,B131,"N/A")))</f>
        <v>5958891</v>
      </c>
      <c r="D131" s="116" t="n">
        <f aca="false">C131*AA131</f>
        <v>1743077.55361214</v>
      </c>
      <c r="E131" s="129" t="n">
        <f aca="false">VLOOKUP($A131,[1]!CurveTable,MATCH($E$4,[1]!CurveType,0))</f>
        <v>5.6075</v>
      </c>
      <c r="F131" s="130"/>
      <c r="G131" s="131" t="n">
        <f aca="false">E131</f>
        <v>5.6075</v>
      </c>
      <c r="H131" s="129" t="n">
        <f aca="false">VLOOKUP($A131,[1]!CurveTable,MATCH($H$4,[1]!CurveType,0))</f>
        <v>0</v>
      </c>
      <c r="I131" s="131"/>
      <c r="J131" s="131" t="n">
        <f aca="false">H131</f>
        <v>0</v>
      </c>
      <c r="K131" s="129"/>
      <c r="L131" s="131"/>
      <c r="M131" s="131"/>
      <c r="N131" s="131" t="n">
        <f aca="false">G131+J131+M131+$N$7</f>
        <v>5.3175</v>
      </c>
      <c r="O131" s="131" t="n">
        <f aca="false">Summary!$E$16</f>
        <v>9.81903240236408</v>
      </c>
      <c r="P131" s="131"/>
      <c r="Q131" s="141" t="n">
        <f aca="false">Q130</f>
        <v>0.17</v>
      </c>
      <c r="R131" s="129" t="n">
        <f aca="false">Q131+Summary!$C$26</f>
        <v>0.17</v>
      </c>
      <c r="S131" s="129"/>
      <c r="T131" s="132" t="n">
        <f aca="false">X131</f>
        <v>43862</v>
      </c>
      <c r="U131" s="133" t="n">
        <f aca="false">T131-$C$3</f>
        <v>6857</v>
      </c>
      <c r="W131" s="61" t="n">
        <f aca="false">A132-A131</f>
        <v>29</v>
      </c>
      <c r="X131" s="135" t="n">
        <f aca="false">CHOOSE(F$3,A132+24,A131)</f>
        <v>43862</v>
      </c>
      <c r="Y131" s="61" t="n">
        <f aca="false">X131-C$3</f>
        <v>6857</v>
      </c>
      <c r="Z131" s="136" t="n">
        <f aca="false">VLOOKUP($A131,[1]!CurveTable,MATCH($Z$4,[1]!CurveType,0))</f>
        <v>0.0665607900566609</v>
      </c>
      <c r="AA131" s="137" t="n">
        <f aca="false">1/(1+CHOOSE(F$3,(Z132+($K$3/10000))/2,(Z131+($K$3/10000))/2))^(2*Y131/365.25)</f>
        <v>0.292517106557603</v>
      </c>
      <c r="AB131" s="61" t="n">
        <f aca="false">IF(AND(mthbeg&lt;=A131,mthend&gt;=A131),1,0)</f>
        <v>1</v>
      </c>
      <c r="AC131" s="61" t="n">
        <f aca="false">W131*AB131</f>
        <v>29</v>
      </c>
      <c r="AD131" s="121" t="n">
        <f aca="false">$D131*E131</f>
        <v>9774307.38188007</v>
      </c>
      <c r="AE131" s="121" t="n">
        <f aca="false">$D131*F131</f>
        <v>0</v>
      </c>
      <c r="AF131" s="121" t="n">
        <f aca="false">$D131*G131</f>
        <v>9774307.38188007</v>
      </c>
      <c r="AG131" s="121" t="n">
        <f aca="false">$D131*H131</f>
        <v>0</v>
      </c>
      <c r="AH131" s="121" t="n">
        <f aca="false">$D131*I131</f>
        <v>0</v>
      </c>
      <c r="AI131" s="121" t="n">
        <f aca="false">$D131*J131</f>
        <v>0</v>
      </c>
      <c r="AJ131" s="121" t="n">
        <f aca="false">$D131*K131</f>
        <v>0</v>
      </c>
      <c r="AK131" s="121" t="n">
        <f aca="false">$D131*L131</f>
        <v>0</v>
      </c>
      <c r="AL131" s="121" t="n">
        <f aca="false">$D131*M131</f>
        <v>0</v>
      </c>
      <c r="AM131" s="139"/>
      <c r="AO131" s="75" t="e">
        <f aca="false">EURO(N131,O131,Z131,Z131,R131,U131,1,0)</f>
        <v>#NAME?</v>
      </c>
      <c r="AP131" s="138" t="e">
        <f aca="false">AO131*C131</f>
        <v>#NAME?</v>
      </c>
      <c r="AQ131" s="61" t="e">
        <f aca="false">EURO(N131,O131,Z131,Z131,R131,U131,1,1)</f>
        <v>#NAME?</v>
      </c>
      <c r="AR131" s="61" t="e">
        <f aca="false">AQ131+Put!AQ131</f>
        <v>#NAME?</v>
      </c>
      <c r="AS131" s="138" t="e">
        <f aca="false">AR131*C131</f>
        <v>#NAME?</v>
      </c>
      <c r="AT131" s="120" t="e">
        <f aca="false">AS131/10000</f>
        <v>#NAME?</v>
      </c>
    </row>
    <row r="132" customFormat="false" ht="12.75" hidden="false" customHeight="false" outlineLevel="0" collapsed="false">
      <c r="A132" s="127" t="n">
        <f aca="false">EDATE(A131,1)</f>
        <v>43891</v>
      </c>
      <c r="B132" s="128" t="n">
        <f aca="false">B131</f>
        <v>205479</v>
      </c>
      <c r="C132" s="116" t="n">
        <f aca="false">IF(AB132=0,0,IF(AND(AB132=1,$H$3=1),B132*W132,IF($H$3=2,B132,"N/A")))</f>
        <v>6369849</v>
      </c>
      <c r="D132" s="116" t="n">
        <f aca="false">C132*AA132</f>
        <v>1852283.48169311</v>
      </c>
      <c r="E132" s="129" t="n">
        <f aca="false">VLOOKUP($A132,[1]!CurveTable,MATCH($E$4,[1]!CurveType,0))</f>
        <v>5.4685</v>
      </c>
      <c r="F132" s="130"/>
      <c r="G132" s="131" t="n">
        <f aca="false">E132</f>
        <v>5.4685</v>
      </c>
      <c r="H132" s="129" t="n">
        <f aca="false">VLOOKUP($A132,[1]!CurveTable,MATCH($H$4,[1]!CurveType,0))</f>
        <v>0</v>
      </c>
      <c r="I132" s="131"/>
      <c r="J132" s="131" t="n">
        <f aca="false">H132</f>
        <v>0</v>
      </c>
      <c r="K132" s="129"/>
      <c r="L132" s="131"/>
      <c r="M132" s="131"/>
      <c r="N132" s="131" t="n">
        <f aca="false">G132+J132+M132+$N$7</f>
        <v>5.1785</v>
      </c>
      <c r="O132" s="131" t="n">
        <f aca="false">Summary!$E$16</f>
        <v>9.81903240236408</v>
      </c>
      <c r="P132" s="131"/>
      <c r="Q132" s="141" t="n">
        <f aca="false">Q131</f>
        <v>0.17</v>
      </c>
      <c r="R132" s="129" t="n">
        <f aca="false">Q132+Summary!$C$26</f>
        <v>0.17</v>
      </c>
      <c r="S132" s="129"/>
      <c r="T132" s="132" t="n">
        <f aca="false">X132</f>
        <v>43891</v>
      </c>
      <c r="U132" s="133" t="n">
        <f aca="false">T132-$C$3</f>
        <v>6886</v>
      </c>
      <c r="W132" s="61" t="n">
        <f aca="false">A133-A132</f>
        <v>31</v>
      </c>
      <c r="X132" s="135" t="n">
        <f aca="false">CHOOSE(F$3,A133+24,A132)</f>
        <v>43891</v>
      </c>
      <c r="Y132" s="61" t="n">
        <f aca="false">X132-C$3</f>
        <v>6886</v>
      </c>
      <c r="Z132" s="136" t="n">
        <f aca="false">VLOOKUP($A132,[1]!CurveTable,MATCH($Z$4,[1]!CurveType,0))</f>
        <v>0.0666005647070591</v>
      </c>
      <c r="AA132" s="137" t="n">
        <f aca="false">1/(1+CHOOSE(F$3,(Z133+($K$3/10000))/2,(Z132+($K$3/10000))/2))^(2*Y132/365.25)</f>
        <v>0.290789229335438</v>
      </c>
      <c r="AB132" s="61" t="n">
        <f aca="false">IF(AND(mthbeg&lt;=A132,mthend&gt;=A132),1,0)</f>
        <v>1</v>
      </c>
      <c r="AC132" s="61" t="n">
        <f aca="false">W132*AB132</f>
        <v>31</v>
      </c>
      <c r="AD132" s="121" t="n">
        <f aca="false">$D132*E132</f>
        <v>10129212.2196388</v>
      </c>
      <c r="AE132" s="121" t="n">
        <f aca="false">$D132*F132</f>
        <v>0</v>
      </c>
      <c r="AF132" s="121" t="n">
        <f aca="false">$D132*G132</f>
        <v>10129212.2196388</v>
      </c>
      <c r="AG132" s="121" t="n">
        <f aca="false">$D132*H132</f>
        <v>0</v>
      </c>
      <c r="AH132" s="121" t="n">
        <f aca="false">$D132*I132</f>
        <v>0</v>
      </c>
      <c r="AI132" s="121" t="n">
        <f aca="false">$D132*J132</f>
        <v>0</v>
      </c>
      <c r="AJ132" s="121" t="n">
        <f aca="false">$D132*K132</f>
        <v>0</v>
      </c>
      <c r="AK132" s="121" t="n">
        <f aca="false">$D132*L132</f>
        <v>0</v>
      </c>
      <c r="AL132" s="121" t="n">
        <f aca="false">$D132*M132</f>
        <v>0</v>
      </c>
      <c r="AM132" s="139"/>
      <c r="AO132" s="75" t="e">
        <f aca="false">EURO(N132,O132,Z132,Z132,R132,U132,1,0)</f>
        <v>#NAME?</v>
      </c>
      <c r="AP132" s="138" t="e">
        <f aca="false">AO132*C132</f>
        <v>#NAME?</v>
      </c>
      <c r="AQ132" s="61" t="e">
        <f aca="false">EURO(N132,O132,Z132,Z132,R132,U132,1,1)</f>
        <v>#NAME?</v>
      </c>
      <c r="AR132" s="61" t="e">
        <f aca="false">AQ132+Put!AQ132</f>
        <v>#NAME?</v>
      </c>
      <c r="AS132" s="138" t="e">
        <f aca="false">AR132*C132</f>
        <v>#NAME?</v>
      </c>
      <c r="AT132" s="120" t="e">
        <f aca="false">AS132/10000</f>
        <v>#NAME?</v>
      </c>
    </row>
    <row r="133" customFormat="false" ht="12.75" hidden="false" customHeight="false" outlineLevel="0" collapsed="false">
      <c r="A133" s="127" t="n">
        <f aca="false">EDATE(A132,1)</f>
        <v>43922</v>
      </c>
      <c r="B133" s="128" t="n">
        <f aca="false">B132</f>
        <v>205479</v>
      </c>
      <c r="C133" s="116" t="n">
        <f aca="false">IF(AB133=0,0,IF(AND(AB133=1,$H$3=1),B133*W133,IF($H$3=2,B133,"N/A")))</f>
        <v>6164370</v>
      </c>
      <c r="D133" s="116" t="n">
        <f aca="false">C133*AA133</f>
        <v>1781204.10920584</v>
      </c>
      <c r="E133" s="129" t="n">
        <f aca="false">VLOOKUP($A133,[1]!CurveTable,MATCH($E$4,[1]!CurveType,0))</f>
        <v>5.2985</v>
      </c>
      <c r="F133" s="130"/>
      <c r="G133" s="131" t="n">
        <f aca="false">E133</f>
        <v>5.2985</v>
      </c>
      <c r="H133" s="129" t="n">
        <f aca="false">VLOOKUP($A133,[1]!CurveTable,MATCH($H$4,[1]!CurveType,0))</f>
        <v>0</v>
      </c>
      <c r="I133" s="131"/>
      <c r="J133" s="131" t="n">
        <f aca="false">H133</f>
        <v>0</v>
      </c>
      <c r="K133" s="129"/>
      <c r="L133" s="131"/>
      <c r="M133" s="131"/>
      <c r="N133" s="131" t="n">
        <f aca="false">G133+J133+M133+$N$7</f>
        <v>5.0085</v>
      </c>
      <c r="O133" s="131" t="n">
        <f aca="false">Summary!$E$16</f>
        <v>9.81903240236408</v>
      </c>
      <c r="P133" s="131"/>
      <c r="Q133" s="141" t="n">
        <f aca="false">Q132</f>
        <v>0.17</v>
      </c>
      <c r="R133" s="129" t="n">
        <f aca="false">Q133+Summary!$C$26</f>
        <v>0.17</v>
      </c>
      <c r="S133" s="129"/>
      <c r="T133" s="132" t="n">
        <f aca="false">X133</f>
        <v>43922</v>
      </c>
      <c r="U133" s="133" t="n">
        <f aca="false">T133-$C$3</f>
        <v>6917</v>
      </c>
      <c r="W133" s="61" t="n">
        <f aca="false">A134-A133</f>
        <v>30</v>
      </c>
      <c r="X133" s="135" t="n">
        <f aca="false">CHOOSE(F$3,A134+24,A133)</f>
        <v>43922</v>
      </c>
      <c r="Y133" s="61" t="n">
        <f aca="false">X133-C$3</f>
        <v>6917</v>
      </c>
      <c r="Z133" s="136" t="n">
        <f aca="false">VLOOKUP($A133,[1]!CurveTable,MATCH($Z$4,[1]!CurveType,0))</f>
        <v>0.0666430824373743</v>
      </c>
      <c r="AA133" s="137" t="n">
        <f aca="false">1/(1+CHOOSE(F$3,(Z134+($K$3/10000))/2,(Z133+($K$3/10000))/2))^(2*Y133/365.25)</f>
        <v>0.288951524520078</v>
      </c>
      <c r="AB133" s="61" t="n">
        <f aca="false">IF(AND(mthbeg&lt;=A133,mthend&gt;=A133),1,0)</f>
        <v>1</v>
      </c>
      <c r="AC133" s="61" t="n">
        <f aca="false">W133*AB133</f>
        <v>30</v>
      </c>
      <c r="AD133" s="121" t="n">
        <f aca="false">$D133*E133</f>
        <v>9437709.97262712</v>
      </c>
      <c r="AE133" s="121" t="n">
        <f aca="false">$D133*F133</f>
        <v>0</v>
      </c>
      <c r="AF133" s="121" t="n">
        <f aca="false">$D133*G133</f>
        <v>9437709.97262712</v>
      </c>
      <c r="AG133" s="121" t="n">
        <f aca="false">$D133*H133</f>
        <v>0</v>
      </c>
      <c r="AH133" s="121" t="n">
        <f aca="false">$D133*I133</f>
        <v>0</v>
      </c>
      <c r="AI133" s="121" t="n">
        <f aca="false">$D133*J133</f>
        <v>0</v>
      </c>
      <c r="AJ133" s="121" t="n">
        <f aca="false">$D133*K133</f>
        <v>0</v>
      </c>
      <c r="AK133" s="121" t="n">
        <f aca="false">$D133*L133</f>
        <v>0</v>
      </c>
      <c r="AL133" s="121" t="n">
        <f aca="false">$D133*M133</f>
        <v>0</v>
      </c>
      <c r="AM133" s="139"/>
      <c r="AO133" s="75" t="e">
        <f aca="false">EURO(N133,O133,Z133,Z133,R133,U133,1,0)</f>
        <v>#NAME?</v>
      </c>
      <c r="AP133" s="138" t="e">
        <f aca="false">AO133*C133</f>
        <v>#NAME?</v>
      </c>
      <c r="AQ133" s="61" t="e">
        <f aca="false">EURO(N133,O133,Z133,Z133,R133,U133,1,1)</f>
        <v>#NAME?</v>
      </c>
      <c r="AR133" s="61" t="e">
        <f aca="false">AQ133+Put!AQ133</f>
        <v>#NAME?</v>
      </c>
      <c r="AS133" s="138" t="e">
        <f aca="false">AR133*C133</f>
        <v>#NAME?</v>
      </c>
      <c r="AT133" s="120" t="e">
        <f aca="false">AS133/10000</f>
        <v>#NAME?</v>
      </c>
    </row>
    <row r="134" customFormat="false" ht="12.75" hidden="false" customHeight="false" outlineLevel="0" collapsed="false">
      <c r="A134" s="127" t="n">
        <f aca="false">EDATE(A133,1)</f>
        <v>43952</v>
      </c>
      <c r="B134" s="128" t="n">
        <f aca="false">B133</f>
        <v>205479</v>
      </c>
      <c r="C134" s="116" t="n">
        <f aca="false">IF(AB134=0,0,IF(AND(AB134=1,$H$3=1),B134*W134,IF($H$3=2,B134,"N/A")))</f>
        <v>6369849</v>
      </c>
      <c r="D134" s="116" t="n">
        <f aca="false">C134*AA134</f>
        <v>1829307.59136584</v>
      </c>
      <c r="E134" s="129" t="n">
        <f aca="false">VLOOKUP($A134,[1]!CurveTable,MATCH($E$4,[1]!CurveType,0))</f>
        <v>5.3575</v>
      </c>
      <c r="F134" s="130"/>
      <c r="G134" s="131" t="n">
        <f aca="false">E134</f>
        <v>5.3575</v>
      </c>
      <c r="H134" s="129" t="n">
        <f aca="false">VLOOKUP($A134,[1]!CurveTable,MATCH($H$4,[1]!CurveType,0))</f>
        <v>0</v>
      </c>
      <c r="I134" s="131"/>
      <c r="J134" s="131" t="n">
        <f aca="false">H134</f>
        <v>0</v>
      </c>
      <c r="K134" s="129"/>
      <c r="L134" s="131"/>
      <c r="M134" s="131"/>
      <c r="N134" s="131" t="n">
        <f aca="false">G134+J134+M134+$N$7</f>
        <v>5.0675</v>
      </c>
      <c r="O134" s="131" t="n">
        <f aca="false">Summary!$E$16</f>
        <v>9.81903240236408</v>
      </c>
      <c r="P134" s="131"/>
      <c r="Q134" s="141" t="n">
        <f aca="false">Q133</f>
        <v>0.17</v>
      </c>
      <c r="R134" s="129" t="n">
        <f aca="false">Q134+Summary!$C$26</f>
        <v>0.17</v>
      </c>
      <c r="S134" s="129"/>
      <c r="T134" s="132" t="n">
        <f aca="false">X134</f>
        <v>43952</v>
      </c>
      <c r="U134" s="133" t="n">
        <f aca="false">T134-$C$3</f>
        <v>6947</v>
      </c>
      <c r="W134" s="61" t="n">
        <f aca="false">A135-A134</f>
        <v>31</v>
      </c>
      <c r="X134" s="135" t="n">
        <f aca="false">CHOOSE(F$3,A135+24,A134)</f>
        <v>43952</v>
      </c>
      <c r="Y134" s="61" t="n">
        <f aca="false">X134-C$3</f>
        <v>6947</v>
      </c>
      <c r="Z134" s="136" t="n">
        <f aca="false">VLOOKUP($A134,[1]!CurveTable,MATCH($Z$4,[1]!CurveType,0))</f>
        <v>0.0666842286285716</v>
      </c>
      <c r="AA134" s="137" t="n">
        <f aca="false">1/(1+CHOOSE(F$3,(Z135+($K$3/10000))/2,(Z134+($K$3/10000))/2))^(2*Y134/365.25)</f>
        <v>0.287182253671294</v>
      </c>
      <c r="AB134" s="61" t="n">
        <f aca="false">IF(AND(mthbeg&lt;=A134,mthend&gt;=A134),1,0)</f>
        <v>1</v>
      </c>
      <c r="AC134" s="61" t="n">
        <f aca="false">W134*AB134</f>
        <v>31</v>
      </c>
      <c r="AD134" s="121" t="n">
        <f aca="false">$D134*E134</f>
        <v>9800515.42074248</v>
      </c>
      <c r="AE134" s="121" t="n">
        <f aca="false">$D134*F134</f>
        <v>0</v>
      </c>
      <c r="AF134" s="121" t="n">
        <f aca="false">$D134*G134</f>
        <v>9800515.42074248</v>
      </c>
      <c r="AG134" s="121" t="n">
        <f aca="false">$D134*H134</f>
        <v>0</v>
      </c>
      <c r="AH134" s="121" t="n">
        <f aca="false">$D134*I134</f>
        <v>0</v>
      </c>
      <c r="AI134" s="121" t="n">
        <f aca="false">$D134*J134</f>
        <v>0</v>
      </c>
      <c r="AJ134" s="121" t="n">
        <f aca="false">$D134*K134</f>
        <v>0</v>
      </c>
      <c r="AK134" s="121" t="n">
        <f aca="false">$D134*L134</f>
        <v>0</v>
      </c>
      <c r="AL134" s="121" t="n">
        <f aca="false">$D134*M134</f>
        <v>0</v>
      </c>
      <c r="AM134" s="139"/>
      <c r="AO134" s="75" t="e">
        <f aca="false">EURO(N134,O134,Z134,Z134,R134,U134,1,0)</f>
        <v>#NAME?</v>
      </c>
      <c r="AP134" s="138" t="e">
        <f aca="false">AO134*C134</f>
        <v>#NAME?</v>
      </c>
      <c r="AQ134" s="61" t="e">
        <f aca="false">EURO(N134,O134,Z134,Z134,R134,U134,1,1)</f>
        <v>#NAME?</v>
      </c>
      <c r="AR134" s="61" t="e">
        <f aca="false">AQ134+Put!AQ134</f>
        <v>#NAME?</v>
      </c>
      <c r="AS134" s="138" t="e">
        <f aca="false">AR134*C134</f>
        <v>#NAME?</v>
      </c>
      <c r="AT134" s="120" t="e">
        <f aca="false">AS134/10000</f>
        <v>#NAME?</v>
      </c>
    </row>
    <row r="135" customFormat="false" ht="12.75" hidden="false" customHeight="false" outlineLevel="0" collapsed="false">
      <c r="A135" s="127" t="n">
        <f aca="false">EDATE(A134,1)</f>
        <v>43983</v>
      </c>
      <c r="B135" s="128" t="n">
        <f aca="false">B134</f>
        <v>205479</v>
      </c>
      <c r="C135" s="116" t="n">
        <f aca="false">IF(AB135=0,0,IF(AND(AB135=1,$H$3=1),B135*W135,IF($H$3=2,B135,"N/A")))</f>
        <v>6164370</v>
      </c>
      <c r="D135" s="116" t="n">
        <f aca="false">C135*AA135</f>
        <v>1759085.77305617</v>
      </c>
      <c r="E135" s="129" t="n">
        <f aca="false">VLOOKUP($A135,[1]!CurveTable,MATCH($E$4,[1]!CurveType,0))</f>
        <v>5.3975</v>
      </c>
      <c r="F135" s="130"/>
      <c r="G135" s="131" t="n">
        <f aca="false">E135</f>
        <v>5.3975</v>
      </c>
      <c r="H135" s="129" t="n">
        <f aca="false">VLOOKUP($A135,[1]!CurveTable,MATCH($H$4,[1]!CurveType,0))</f>
        <v>0</v>
      </c>
      <c r="I135" s="131"/>
      <c r="J135" s="131" t="n">
        <f aca="false">H135</f>
        <v>0</v>
      </c>
      <c r="K135" s="129"/>
      <c r="L135" s="131"/>
      <c r="M135" s="131"/>
      <c r="N135" s="131" t="n">
        <f aca="false">G135+J135+M135+$N$7</f>
        <v>5.1075</v>
      </c>
      <c r="O135" s="131" t="n">
        <f aca="false">Summary!$E$16</f>
        <v>9.81903240236408</v>
      </c>
      <c r="P135" s="131"/>
      <c r="Q135" s="141" t="n">
        <f aca="false">Q134</f>
        <v>0.17</v>
      </c>
      <c r="R135" s="129" t="n">
        <f aca="false">Q135+Summary!$C$26</f>
        <v>0.17</v>
      </c>
      <c r="S135" s="129"/>
      <c r="T135" s="132" t="n">
        <f aca="false">X135</f>
        <v>43983</v>
      </c>
      <c r="U135" s="133" t="n">
        <f aca="false">T135-$C$3</f>
        <v>6978</v>
      </c>
      <c r="W135" s="61" t="n">
        <f aca="false">A136-A135</f>
        <v>30</v>
      </c>
      <c r="X135" s="135" t="n">
        <f aca="false">CHOOSE(F$3,A136+24,A135)</f>
        <v>43983</v>
      </c>
      <c r="Y135" s="61" t="n">
        <f aca="false">X135-C$3</f>
        <v>6978</v>
      </c>
      <c r="Z135" s="136" t="n">
        <f aca="false">VLOOKUP($A135,[1]!CurveTable,MATCH($Z$4,[1]!CurveType,0))</f>
        <v>0.0667267463600654</v>
      </c>
      <c r="AA135" s="137" t="n">
        <f aca="false">1/(1+CHOOSE(F$3,(Z136+($K$3/10000))/2,(Z135+($K$3/10000))/2))^(2*Y135/365.25)</f>
        <v>0.285363430984216</v>
      </c>
      <c r="AB135" s="61" t="n">
        <f aca="false">IF(AND(mthbeg&lt;=A135,mthend&gt;=A135),1,0)</f>
        <v>1</v>
      </c>
      <c r="AC135" s="61" t="n">
        <f aca="false">W135*AB135</f>
        <v>30</v>
      </c>
      <c r="AD135" s="121" t="n">
        <f aca="false">$D135*E135</f>
        <v>9494665.46007068</v>
      </c>
      <c r="AE135" s="121" t="n">
        <f aca="false">$D135*F135</f>
        <v>0</v>
      </c>
      <c r="AF135" s="121" t="n">
        <f aca="false">$D135*G135</f>
        <v>9494665.46007068</v>
      </c>
      <c r="AG135" s="121" t="n">
        <f aca="false">$D135*H135</f>
        <v>0</v>
      </c>
      <c r="AH135" s="121" t="n">
        <f aca="false">$D135*I135</f>
        <v>0</v>
      </c>
      <c r="AI135" s="121" t="n">
        <f aca="false">$D135*J135</f>
        <v>0</v>
      </c>
      <c r="AJ135" s="121" t="n">
        <f aca="false">$D135*K135</f>
        <v>0</v>
      </c>
      <c r="AK135" s="121" t="n">
        <f aca="false">$D135*L135</f>
        <v>0</v>
      </c>
      <c r="AL135" s="121" t="n">
        <f aca="false">$D135*M135</f>
        <v>0</v>
      </c>
      <c r="AM135" s="139"/>
      <c r="AO135" s="75" t="e">
        <f aca="false">EURO(N135,O135,Z135,Z135,R135,U135,1,0)</f>
        <v>#NAME?</v>
      </c>
      <c r="AP135" s="138" t="e">
        <f aca="false">AO135*C135</f>
        <v>#NAME?</v>
      </c>
      <c r="AQ135" s="61" t="e">
        <f aca="false">EURO(N135,O135,Z135,Z135,R135,U135,1,1)</f>
        <v>#NAME?</v>
      </c>
      <c r="AR135" s="61" t="e">
        <f aca="false">AQ135+Put!AQ135</f>
        <v>#NAME?</v>
      </c>
      <c r="AS135" s="138" t="e">
        <f aca="false">AR135*C135</f>
        <v>#NAME?</v>
      </c>
      <c r="AT135" s="120" t="e">
        <f aca="false">AS135/10000</f>
        <v>#NAME?</v>
      </c>
    </row>
    <row r="136" customFormat="false" ht="12.75" hidden="false" customHeight="false" outlineLevel="0" collapsed="false">
      <c r="A136" s="127" t="n">
        <f aca="false">EDATE(A135,1)</f>
        <v>44013</v>
      </c>
      <c r="B136" s="128" t="n">
        <f aca="false">B135</f>
        <v>205479</v>
      </c>
      <c r="C136" s="116" t="n">
        <f aca="false">IF(AB136=0,0,IF(AND(AB136=1,$H$3=1),B136*W136,IF($H$3=2,B136,"N/A")))</f>
        <v>6369849</v>
      </c>
      <c r="D136" s="116" t="n">
        <f aca="false">C136*AA136</f>
        <v>1806567.95191724</v>
      </c>
      <c r="E136" s="129" t="n">
        <f aca="false">VLOOKUP($A136,[1]!CurveTable,MATCH($E$4,[1]!CurveType,0))</f>
        <v>5.4425</v>
      </c>
      <c r="F136" s="130"/>
      <c r="G136" s="131" t="n">
        <f aca="false">E136</f>
        <v>5.4425</v>
      </c>
      <c r="H136" s="129" t="n">
        <f aca="false">VLOOKUP($A136,[1]!CurveTable,MATCH($H$4,[1]!CurveType,0))</f>
        <v>0</v>
      </c>
      <c r="I136" s="131"/>
      <c r="J136" s="131" t="n">
        <f aca="false">H136</f>
        <v>0</v>
      </c>
      <c r="K136" s="129"/>
      <c r="L136" s="131"/>
      <c r="M136" s="131"/>
      <c r="N136" s="131" t="n">
        <f aca="false">G136+J136+M136+$N$7</f>
        <v>5.1525</v>
      </c>
      <c r="O136" s="131" t="n">
        <f aca="false">Summary!$E$16</f>
        <v>9.81903240236408</v>
      </c>
      <c r="P136" s="131"/>
      <c r="Q136" s="141" t="n">
        <f aca="false">Q135</f>
        <v>0.17</v>
      </c>
      <c r="R136" s="129" t="n">
        <f aca="false">Q136+Summary!$C$26</f>
        <v>0.17</v>
      </c>
      <c r="S136" s="129"/>
      <c r="T136" s="132" t="n">
        <f aca="false">X136</f>
        <v>44013</v>
      </c>
      <c r="U136" s="133" t="n">
        <f aca="false">T136-$C$3</f>
        <v>7008</v>
      </c>
      <c r="W136" s="61" t="n">
        <f aca="false">A137-A136</f>
        <v>31</v>
      </c>
      <c r="X136" s="135" t="n">
        <f aca="false">CHOOSE(F$3,A137+24,A136)</f>
        <v>44013</v>
      </c>
      <c r="Y136" s="61" t="n">
        <f aca="false">X136-C$3</f>
        <v>7008</v>
      </c>
      <c r="Z136" s="136" t="n">
        <f aca="false">VLOOKUP($A136,[1]!CurveTable,MATCH($Z$4,[1]!CurveType,0))</f>
        <v>0.0667678925524031</v>
      </c>
      <c r="AA136" s="137" t="n">
        <f aca="false">1/(1+CHOOSE(F$3,(Z137+($K$3/10000))/2,(Z136+($K$3/10000))/2))^(2*Y136/365.25)</f>
        <v>0.283612366936366</v>
      </c>
      <c r="AB136" s="61" t="n">
        <f aca="false">IF(AND(mthbeg&lt;=A136,mthend&gt;=A136),1,0)</f>
        <v>1</v>
      </c>
      <c r="AC136" s="61" t="n">
        <f aca="false">W136*AB136</f>
        <v>31</v>
      </c>
      <c r="AD136" s="121" t="n">
        <f aca="false">$D136*E136</f>
        <v>9832246.07830959</v>
      </c>
      <c r="AE136" s="121" t="n">
        <f aca="false">$D136*F136</f>
        <v>0</v>
      </c>
      <c r="AF136" s="121" t="n">
        <f aca="false">$D136*G136</f>
        <v>9832246.07830959</v>
      </c>
      <c r="AG136" s="121" t="n">
        <f aca="false">$D136*H136</f>
        <v>0</v>
      </c>
      <c r="AH136" s="121" t="n">
        <f aca="false">$D136*I136</f>
        <v>0</v>
      </c>
      <c r="AI136" s="121" t="n">
        <f aca="false">$D136*J136</f>
        <v>0</v>
      </c>
      <c r="AJ136" s="121" t="n">
        <f aca="false">$D136*K136</f>
        <v>0</v>
      </c>
      <c r="AK136" s="121" t="n">
        <f aca="false">$D136*L136</f>
        <v>0</v>
      </c>
      <c r="AL136" s="121" t="n">
        <f aca="false">$D136*M136</f>
        <v>0</v>
      </c>
      <c r="AM136" s="139"/>
      <c r="AO136" s="75" t="e">
        <f aca="false">EURO(N136,O136,Z136,Z136,R136,U136,1,0)</f>
        <v>#NAME?</v>
      </c>
      <c r="AP136" s="138" t="e">
        <f aca="false">AO136*C136</f>
        <v>#NAME?</v>
      </c>
      <c r="AQ136" s="61" t="e">
        <f aca="false">EURO(N136,O136,Z136,Z136,R136,U136,1,1)</f>
        <v>#NAME?</v>
      </c>
      <c r="AR136" s="61" t="e">
        <f aca="false">AQ136+Put!AQ136</f>
        <v>#NAME?</v>
      </c>
      <c r="AS136" s="138" t="e">
        <f aca="false">AR136*C136</f>
        <v>#NAME?</v>
      </c>
      <c r="AT136" s="120" t="e">
        <f aca="false">AS136/10000</f>
        <v>#NAME?</v>
      </c>
    </row>
    <row r="137" customFormat="false" ht="12.75" hidden="false" customHeight="false" outlineLevel="0" collapsed="false">
      <c r="A137" s="127" t="n">
        <f aca="false">EDATE(A136,1)</f>
        <v>44044</v>
      </c>
      <c r="B137" s="128" t="n">
        <f aca="false">B136</f>
        <v>205479</v>
      </c>
      <c r="C137" s="116" t="n">
        <f aca="false">IF(AB137=0,0,IF(AND(AB137=1,$H$3=1),B137*W137,IF($H$3=2,B137,"N/A")))</f>
        <v>6369849</v>
      </c>
      <c r="D137" s="116" t="n">
        <f aca="false">C137*AA137</f>
        <v>1795101.73080674</v>
      </c>
      <c r="E137" s="129" t="n">
        <f aca="false">VLOOKUP($A137,[1]!CurveTable,MATCH($E$4,[1]!CurveType,0))</f>
        <v>5.4775</v>
      </c>
      <c r="F137" s="130"/>
      <c r="G137" s="131" t="n">
        <f aca="false">E137</f>
        <v>5.4775</v>
      </c>
      <c r="H137" s="129" t="n">
        <f aca="false">VLOOKUP($A137,[1]!CurveTable,MATCH($H$4,[1]!CurveType,0))</f>
        <v>0</v>
      </c>
      <c r="I137" s="131"/>
      <c r="J137" s="131" t="n">
        <f aca="false">H137</f>
        <v>0</v>
      </c>
      <c r="K137" s="129"/>
      <c r="L137" s="131"/>
      <c r="M137" s="131"/>
      <c r="N137" s="131" t="n">
        <f aca="false">G137+J137+M137+$N$7</f>
        <v>5.1875</v>
      </c>
      <c r="O137" s="131" t="n">
        <f aca="false">Summary!$E$16</f>
        <v>9.81903240236408</v>
      </c>
      <c r="P137" s="131"/>
      <c r="Q137" s="141" t="n">
        <f aca="false">Q136</f>
        <v>0.17</v>
      </c>
      <c r="R137" s="129" t="n">
        <f aca="false">Q137+Summary!$C$26</f>
        <v>0.17</v>
      </c>
      <c r="S137" s="129"/>
      <c r="T137" s="132" t="n">
        <f aca="false">X137</f>
        <v>44044</v>
      </c>
      <c r="U137" s="133" t="n">
        <f aca="false">T137-$C$3</f>
        <v>7039</v>
      </c>
      <c r="W137" s="61" t="n">
        <f aca="false">A138-A137</f>
        <v>31</v>
      </c>
      <c r="X137" s="135" t="n">
        <f aca="false">CHOOSE(F$3,A138+24,A137)</f>
        <v>44044</v>
      </c>
      <c r="Y137" s="61" t="n">
        <f aca="false">X137-C$3</f>
        <v>7039</v>
      </c>
      <c r="Z137" s="136" t="n">
        <f aca="false">VLOOKUP($A137,[1]!CurveTable,MATCH($Z$4,[1]!CurveType,0))</f>
        <v>0.0668104102850746</v>
      </c>
      <c r="AA137" s="137" t="n">
        <f aca="false">1/(1+CHOOSE(F$3,(Z138+($K$3/10000))/2,(Z137+($K$3/10000))/2))^(2*Y137/365.25)</f>
        <v>0.281812289554547</v>
      </c>
      <c r="AB137" s="61" t="n">
        <f aca="false">IF(AND(mthbeg&lt;=A137,mthend&gt;=A137),1,0)</f>
        <v>1</v>
      </c>
      <c r="AC137" s="61" t="n">
        <f aca="false">W137*AB137</f>
        <v>31</v>
      </c>
      <c r="AD137" s="121" t="n">
        <f aca="false">$D137*E137</f>
        <v>9832669.73049393</v>
      </c>
      <c r="AE137" s="121" t="n">
        <f aca="false">$D137*F137</f>
        <v>0</v>
      </c>
      <c r="AF137" s="121" t="n">
        <f aca="false">$D137*G137</f>
        <v>9832669.73049393</v>
      </c>
      <c r="AG137" s="121" t="n">
        <f aca="false">$D137*H137</f>
        <v>0</v>
      </c>
      <c r="AH137" s="121" t="n">
        <f aca="false">$D137*I137</f>
        <v>0</v>
      </c>
      <c r="AI137" s="121" t="n">
        <f aca="false">$D137*J137</f>
        <v>0</v>
      </c>
      <c r="AJ137" s="121" t="n">
        <f aca="false">$D137*K137</f>
        <v>0</v>
      </c>
      <c r="AK137" s="121" t="n">
        <f aca="false">$D137*L137</f>
        <v>0</v>
      </c>
      <c r="AL137" s="121" t="n">
        <f aca="false">$D137*M137</f>
        <v>0</v>
      </c>
      <c r="AM137" s="139"/>
      <c r="AO137" s="75" t="e">
        <f aca="false">EURO(N137,O137,Z137,Z137,R137,U137,1,0)</f>
        <v>#NAME?</v>
      </c>
      <c r="AP137" s="138" t="e">
        <f aca="false">AO137*C137</f>
        <v>#NAME?</v>
      </c>
      <c r="AQ137" s="61" t="e">
        <f aca="false">EURO(N137,O137,Z137,Z137,R137,U137,1,1)</f>
        <v>#NAME?</v>
      </c>
      <c r="AR137" s="61" t="e">
        <f aca="false">AQ137+Put!AQ137</f>
        <v>#NAME?</v>
      </c>
      <c r="AS137" s="138" t="e">
        <f aca="false">AR137*C137</f>
        <v>#NAME?</v>
      </c>
      <c r="AT137" s="120" t="e">
        <f aca="false">AS137/10000</f>
        <v>#NAME?</v>
      </c>
    </row>
    <row r="138" customFormat="false" ht="12.75" hidden="false" customHeight="false" outlineLevel="0" collapsed="false">
      <c r="A138" s="127" t="n">
        <f aca="false">EDATE(A137,1)</f>
        <v>44075</v>
      </c>
      <c r="B138" s="128" t="n">
        <f aca="false">B137</f>
        <v>205479</v>
      </c>
      <c r="C138" s="116" t="n">
        <f aca="false">IF(AB138=0,0,IF(AND(AB138=1,$H$3=1),B138*W138,IF($H$3=2,B138,"N/A")))</f>
        <v>6164370</v>
      </c>
      <c r="D138" s="116" t="n">
        <f aca="false">C138*AA138</f>
        <v>1726157.28114107</v>
      </c>
      <c r="E138" s="129" t="n">
        <f aca="false">VLOOKUP($A138,[1]!CurveTable,MATCH($E$4,[1]!CurveType,0))</f>
        <v>5.4825</v>
      </c>
      <c r="F138" s="130"/>
      <c r="G138" s="131" t="n">
        <f aca="false">E138</f>
        <v>5.4825</v>
      </c>
      <c r="H138" s="129" t="n">
        <f aca="false">VLOOKUP($A138,[1]!CurveTable,MATCH($H$4,[1]!CurveType,0))</f>
        <v>0</v>
      </c>
      <c r="I138" s="131"/>
      <c r="J138" s="131" t="n">
        <f aca="false">H138</f>
        <v>0</v>
      </c>
      <c r="K138" s="129"/>
      <c r="L138" s="131"/>
      <c r="M138" s="131"/>
      <c r="N138" s="131" t="n">
        <f aca="false">G138+J138+M138+$N$7</f>
        <v>5.1925</v>
      </c>
      <c r="O138" s="131" t="n">
        <f aca="false">Summary!$E$16</f>
        <v>9.81903240236408</v>
      </c>
      <c r="P138" s="131"/>
      <c r="Q138" s="141" t="n">
        <f aca="false">Q137</f>
        <v>0.17</v>
      </c>
      <c r="R138" s="129" t="n">
        <f aca="false">Q138+Summary!$C$26</f>
        <v>0.17</v>
      </c>
      <c r="S138" s="129"/>
      <c r="T138" s="132" t="n">
        <f aca="false">X138</f>
        <v>44075</v>
      </c>
      <c r="U138" s="133" t="n">
        <f aca="false">T138-$C$3</f>
        <v>7070</v>
      </c>
      <c r="W138" s="61" t="n">
        <f aca="false">A139-A138</f>
        <v>30</v>
      </c>
      <c r="X138" s="135" t="n">
        <f aca="false">CHOOSE(F$3,A139+24,A138)</f>
        <v>44075</v>
      </c>
      <c r="Y138" s="61" t="n">
        <f aca="false">X138-C$3</f>
        <v>7070</v>
      </c>
      <c r="Z138" s="136" t="n">
        <f aca="false">VLOOKUP($A138,[1]!CurveTable,MATCH($Z$4,[1]!CurveType,0))</f>
        <v>0.0668529280183448</v>
      </c>
      <c r="AA138" s="137" t="n">
        <f aca="false">1/(1+CHOOSE(F$3,(Z139+($K$3/10000))/2,(Z138+($K$3/10000))/2))^(2*Y138/365.25)</f>
        <v>0.280021686099483</v>
      </c>
      <c r="AB138" s="61" t="n">
        <f aca="false">IF(AND(mthbeg&lt;=A138,mthend&gt;=A138),1,0)</f>
        <v>1</v>
      </c>
      <c r="AC138" s="61" t="n">
        <f aca="false">W138*AB138</f>
        <v>30</v>
      </c>
      <c r="AD138" s="121" t="n">
        <f aca="false">$D138*E138</f>
        <v>9463657.29385593</v>
      </c>
      <c r="AE138" s="121" t="n">
        <f aca="false">$D138*F138</f>
        <v>0</v>
      </c>
      <c r="AF138" s="121" t="n">
        <f aca="false">$D138*G138</f>
        <v>9463657.29385593</v>
      </c>
      <c r="AG138" s="121" t="n">
        <f aca="false">$D138*H138</f>
        <v>0</v>
      </c>
      <c r="AH138" s="121" t="n">
        <f aca="false">$D138*I138</f>
        <v>0</v>
      </c>
      <c r="AI138" s="121" t="n">
        <f aca="false">$D138*J138</f>
        <v>0</v>
      </c>
      <c r="AJ138" s="121" t="n">
        <f aca="false">$D138*K138</f>
        <v>0</v>
      </c>
      <c r="AK138" s="121" t="n">
        <f aca="false">$D138*L138</f>
        <v>0</v>
      </c>
      <c r="AL138" s="121" t="n">
        <f aca="false">$D138*M138</f>
        <v>0</v>
      </c>
      <c r="AM138" s="139"/>
      <c r="AO138" s="75" t="e">
        <f aca="false">EURO(N138,O138,Z138,Z138,R138,U138,1,0)</f>
        <v>#NAME?</v>
      </c>
      <c r="AP138" s="138" t="e">
        <f aca="false">AO138*C138</f>
        <v>#NAME?</v>
      </c>
      <c r="AQ138" s="61" t="e">
        <f aca="false">EURO(N138,O138,Z138,Z138,R138,U138,1,1)</f>
        <v>#NAME?</v>
      </c>
      <c r="AR138" s="61" t="e">
        <f aca="false">AQ138+Put!AQ138</f>
        <v>#NAME?</v>
      </c>
      <c r="AS138" s="138" t="e">
        <f aca="false">AR138*C138</f>
        <v>#NAME?</v>
      </c>
      <c r="AT138" s="120" t="e">
        <f aca="false">AS138/10000</f>
        <v>#NAME?</v>
      </c>
    </row>
    <row r="139" customFormat="false" ht="12.75" hidden="false" customHeight="false" outlineLevel="0" collapsed="false">
      <c r="A139" s="127" t="n">
        <f aca="false">EDATE(A138,1)</f>
        <v>44105</v>
      </c>
      <c r="B139" s="128" t="n">
        <f aca="false">B138</f>
        <v>205479</v>
      </c>
      <c r="C139" s="116" t="n">
        <f aca="false">IF(AB139=0,0,IF(AND(AB139=1,$H$3=1),B139*W139,IF($H$3=2,B139,"N/A")))</f>
        <v>6369849</v>
      </c>
      <c r="D139" s="116" t="n">
        <f aca="false">C139*AA139</f>
        <v>1772715.1622289</v>
      </c>
      <c r="E139" s="129" t="n">
        <f aca="false">VLOOKUP($A139,[1]!CurveTable,MATCH($E$4,[1]!CurveType,0))</f>
        <v>5.5125</v>
      </c>
      <c r="F139" s="130"/>
      <c r="G139" s="131" t="n">
        <f aca="false">E139</f>
        <v>5.5125</v>
      </c>
      <c r="H139" s="129" t="n">
        <f aca="false">VLOOKUP($A139,[1]!CurveTable,MATCH($H$4,[1]!CurveType,0))</f>
        <v>0</v>
      </c>
      <c r="I139" s="131"/>
      <c r="J139" s="131" t="n">
        <f aca="false">H139</f>
        <v>0</v>
      </c>
      <c r="K139" s="129"/>
      <c r="L139" s="131"/>
      <c r="M139" s="131"/>
      <c r="N139" s="131" t="n">
        <f aca="false">G139+J139+M139+$N$7</f>
        <v>5.2225</v>
      </c>
      <c r="O139" s="131" t="n">
        <f aca="false">Summary!$E$16</f>
        <v>9.81903240236408</v>
      </c>
      <c r="P139" s="131"/>
      <c r="Q139" s="141" t="n">
        <f aca="false">Q138</f>
        <v>0.17</v>
      </c>
      <c r="R139" s="129" t="n">
        <f aca="false">Q139+Summary!$C$26</f>
        <v>0.17</v>
      </c>
      <c r="S139" s="129"/>
      <c r="T139" s="132" t="n">
        <f aca="false">X139</f>
        <v>44105</v>
      </c>
      <c r="U139" s="133" t="n">
        <f aca="false">T139-$C$3</f>
        <v>7100</v>
      </c>
      <c r="W139" s="61" t="n">
        <f aca="false">A140-A139</f>
        <v>31</v>
      </c>
      <c r="X139" s="135" t="n">
        <f aca="false">CHOOSE(F$3,A140+24,A139)</f>
        <v>44105</v>
      </c>
      <c r="Y139" s="61" t="n">
        <f aca="false">X139-C$3</f>
        <v>7100</v>
      </c>
      <c r="Z139" s="136" t="n">
        <f aca="false">VLOOKUP($A139,[1]!CurveTable,MATCH($Z$4,[1]!CurveType,0))</f>
        <v>0.066894074212402</v>
      </c>
      <c r="AA139" s="137" t="n">
        <f aca="false">1/(1+CHOOSE(F$3,(Z140+($K$3/10000))/2,(Z139+($K$3/10000))/2))^(2*Y139/365.25)</f>
        <v>0.278297831271808</v>
      </c>
      <c r="AB139" s="61" t="n">
        <f aca="false">IF(AND(mthbeg&lt;=A139,mthend&gt;=A139),1,0)</f>
        <v>1</v>
      </c>
      <c r="AC139" s="61" t="n">
        <f aca="false">W139*AB139</f>
        <v>31</v>
      </c>
      <c r="AD139" s="121" t="n">
        <f aca="false">$D139*E139</f>
        <v>9772092.33178679</v>
      </c>
      <c r="AE139" s="121" t="n">
        <f aca="false">$D139*F139</f>
        <v>0</v>
      </c>
      <c r="AF139" s="121" t="n">
        <f aca="false">$D139*G139</f>
        <v>9772092.33178679</v>
      </c>
      <c r="AG139" s="121" t="n">
        <f aca="false">$D139*H139</f>
        <v>0</v>
      </c>
      <c r="AH139" s="121" t="n">
        <f aca="false">$D139*I139</f>
        <v>0</v>
      </c>
      <c r="AI139" s="121" t="n">
        <f aca="false">$D139*J139</f>
        <v>0</v>
      </c>
      <c r="AJ139" s="121" t="n">
        <f aca="false">$D139*K139</f>
        <v>0</v>
      </c>
      <c r="AK139" s="121" t="n">
        <f aca="false">$D139*L139</f>
        <v>0</v>
      </c>
      <c r="AL139" s="121" t="n">
        <f aca="false">$D139*M139</f>
        <v>0</v>
      </c>
      <c r="AM139" s="139"/>
      <c r="AO139" s="75" t="e">
        <f aca="false">EURO(N139,O139,Z139,Z139,R139,U139,1,0)</f>
        <v>#NAME?</v>
      </c>
      <c r="AP139" s="138" t="e">
        <f aca="false">AO139*C139</f>
        <v>#NAME?</v>
      </c>
      <c r="AQ139" s="61" t="e">
        <f aca="false">EURO(N139,O139,Z139,Z139,R139,U139,1,1)</f>
        <v>#NAME?</v>
      </c>
      <c r="AR139" s="61" t="e">
        <f aca="false">AQ139+Put!AQ139</f>
        <v>#NAME?</v>
      </c>
      <c r="AS139" s="138" t="e">
        <f aca="false">AR139*C139</f>
        <v>#NAME?</v>
      </c>
      <c r="AT139" s="120" t="e">
        <f aca="false">AS139/10000</f>
        <v>#NAME?</v>
      </c>
    </row>
    <row r="140" customFormat="false" ht="12.75" hidden="false" customHeight="false" outlineLevel="0" collapsed="false">
      <c r="A140" s="127" t="n">
        <f aca="false">EDATE(A139,1)</f>
        <v>44136</v>
      </c>
      <c r="B140" s="128" t="n">
        <f aca="false">B139</f>
        <v>205479</v>
      </c>
      <c r="C140" s="116" t="n">
        <f aca="false">IF(AB140=0,0,IF(AND(AB140=1,$H$3=1),B140*W140,IF($H$3=2,B140,"N/A")))</f>
        <v>6164370</v>
      </c>
      <c r="D140" s="116" t="n">
        <f aca="false">C140*AA140</f>
        <v>1704607.14306217</v>
      </c>
      <c r="E140" s="129" t="n">
        <f aca="false">VLOOKUP($A140,[1]!CurveTable,MATCH($E$4,[1]!CurveType,0))</f>
        <v>5.6225</v>
      </c>
      <c r="F140" s="130"/>
      <c r="G140" s="131" t="n">
        <f aca="false">E140</f>
        <v>5.6225</v>
      </c>
      <c r="H140" s="129" t="n">
        <f aca="false">VLOOKUP($A140,[1]!CurveTable,MATCH($H$4,[1]!CurveType,0))</f>
        <v>0</v>
      </c>
      <c r="I140" s="131"/>
      <c r="J140" s="131" t="n">
        <f aca="false">H140</f>
        <v>0</v>
      </c>
      <c r="K140" s="129"/>
      <c r="L140" s="131"/>
      <c r="M140" s="131"/>
      <c r="N140" s="131" t="n">
        <f aca="false">G140+J140+M140+$N$7</f>
        <v>5.3325</v>
      </c>
      <c r="O140" s="131" t="n">
        <f aca="false">Summary!$E$16</f>
        <v>9.81903240236408</v>
      </c>
      <c r="P140" s="131"/>
      <c r="Q140" s="141" t="n">
        <f aca="false">Q139</f>
        <v>0.17</v>
      </c>
      <c r="R140" s="129" t="n">
        <f aca="false">Q140+Summary!$C$26</f>
        <v>0.17</v>
      </c>
      <c r="S140" s="129"/>
      <c r="T140" s="132" t="n">
        <f aca="false">X140</f>
        <v>44136</v>
      </c>
      <c r="U140" s="133" t="n">
        <f aca="false">T140-$C$3</f>
        <v>7131</v>
      </c>
      <c r="W140" s="61" t="n">
        <f aca="false">A141-A140</f>
        <v>30</v>
      </c>
      <c r="X140" s="135" t="n">
        <f aca="false">CHOOSE(F$3,A141+24,A140)</f>
        <v>44136</v>
      </c>
      <c r="Y140" s="61" t="n">
        <f aca="false">X140-C$3</f>
        <v>7131</v>
      </c>
      <c r="Z140" s="136" t="n">
        <f aca="false">VLOOKUP($A140,[1]!CurveTable,MATCH($Z$4,[1]!CurveType,0))</f>
        <v>0.0669365919468499</v>
      </c>
      <c r="AA140" s="137" t="n">
        <f aca="false">1/(1+CHOOSE(F$3,(Z141+($K$3/10000))/2,(Z140+($K$3/10000))/2))^(2*Y140/365.25)</f>
        <v>0.276525767120107</v>
      </c>
      <c r="AB140" s="61" t="n">
        <f aca="false">IF(AND(mthbeg&lt;=A140,mthend&gt;=A140),1,0)</f>
        <v>1</v>
      </c>
      <c r="AC140" s="61" t="n">
        <f aca="false">W140*AB140</f>
        <v>30</v>
      </c>
      <c r="AD140" s="121" t="n">
        <f aca="false">$D140*E140</f>
        <v>9584153.66186708</v>
      </c>
      <c r="AE140" s="121" t="n">
        <f aca="false">$D140*F140</f>
        <v>0</v>
      </c>
      <c r="AF140" s="121" t="n">
        <f aca="false">$D140*G140</f>
        <v>9584153.66186708</v>
      </c>
      <c r="AG140" s="121" t="n">
        <f aca="false">$D140*H140</f>
        <v>0</v>
      </c>
      <c r="AH140" s="121" t="n">
        <f aca="false">$D140*I140</f>
        <v>0</v>
      </c>
      <c r="AI140" s="121" t="n">
        <f aca="false">$D140*J140</f>
        <v>0</v>
      </c>
      <c r="AJ140" s="121" t="n">
        <f aca="false">$D140*K140</f>
        <v>0</v>
      </c>
      <c r="AK140" s="121" t="n">
        <f aca="false">$D140*L140</f>
        <v>0</v>
      </c>
      <c r="AL140" s="121" t="n">
        <f aca="false">$D140*M140</f>
        <v>0</v>
      </c>
      <c r="AM140" s="139"/>
      <c r="AO140" s="75" t="e">
        <f aca="false">EURO(N140,O140,Z140,Z140,R140,U140,1,0)</f>
        <v>#NAME?</v>
      </c>
      <c r="AP140" s="138" t="e">
        <f aca="false">AO140*C140</f>
        <v>#NAME?</v>
      </c>
      <c r="AQ140" s="61" t="e">
        <f aca="false">EURO(N140,O140,Z140,Z140,R140,U140,1,1)</f>
        <v>#NAME?</v>
      </c>
      <c r="AR140" s="61" t="e">
        <f aca="false">AQ140+Put!AQ140</f>
        <v>#NAME?</v>
      </c>
      <c r="AS140" s="138" t="e">
        <f aca="false">AR140*C140</f>
        <v>#NAME?</v>
      </c>
      <c r="AT140" s="120" t="e">
        <f aca="false">AS140/10000</f>
        <v>#NAME?</v>
      </c>
    </row>
    <row r="141" customFormat="false" ht="12.75" hidden="false" customHeight="false" outlineLevel="0" collapsed="false">
      <c r="A141" s="127" t="n">
        <f aca="false">EDATE(A140,1)</f>
        <v>44166</v>
      </c>
      <c r="B141" s="128" t="n">
        <f aca="false">B140</f>
        <v>205479</v>
      </c>
      <c r="C141" s="116" t="n">
        <f aca="false">IF(AB141=0,0,IF(AND(AB141=1,$H$3=1),B141*W141,IF($H$3=2,B141,"N/A")))</f>
        <v>6369849</v>
      </c>
      <c r="D141" s="116" t="n">
        <f aca="false">C141*AA141</f>
        <v>1750560.54896673</v>
      </c>
      <c r="E141" s="129" t="n">
        <f aca="false">VLOOKUP($A141,[1]!CurveTable,MATCH($E$4,[1]!CurveType,0))</f>
        <v>5.7425</v>
      </c>
      <c r="F141" s="130"/>
      <c r="G141" s="131" t="n">
        <f aca="false">E141</f>
        <v>5.7425</v>
      </c>
      <c r="H141" s="129" t="n">
        <f aca="false">VLOOKUP($A141,[1]!CurveTable,MATCH($H$4,[1]!CurveType,0))</f>
        <v>0</v>
      </c>
      <c r="I141" s="131"/>
      <c r="J141" s="131" t="n">
        <f aca="false">H141</f>
        <v>0</v>
      </c>
      <c r="K141" s="129"/>
      <c r="L141" s="131"/>
      <c r="M141" s="131"/>
      <c r="N141" s="131" t="n">
        <f aca="false">G141+J141+M141+$N$7</f>
        <v>5.4525</v>
      </c>
      <c r="O141" s="131" t="n">
        <f aca="false">Summary!$E$16</f>
        <v>9.81903240236408</v>
      </c>
      <c r="P141" s="131"/>
      <c r="Q141" s="141" t="n">
        <f aca="false">Q140</f>
        <v>0.17</v>
      </c>
      <c r="R141" s="129" t="n">
        <f aca="false">Q141+Summary!$C$26</f>
        <v>0.17</v>
      </c>
      <c r="S141" s="129"/>
      <c r="T141" s="132" t="n">
        <f aca="false">X141</f>
        <v>44166</v>
      </c>
      <c r="U141" s="133" t="n">
        <f aca="false">T141-$C$3</f>
        <v>7161</v>
      </c>
      <c r="W141" s="61" t="n">
        <f aca="false">A142-A141</f>
        <v>31</v>
      </c>
      <c r="X141" s="135" t="n">
        <f aca="false">CHOOSE(F$3,A142+24,A141)</f>
        <v>44166</v>
      </c>
      <c r="Y141" s="61" t="n">
        <f aca="false">X141-C$3</f>
        <v>7161</v>
      </c>
      <c r="Z141" s="136" t="n">
        <f aca="false">VLOOKUP($A141,[1]!CurveTable,MATCH($Z$4,[1]!CurveType,0))</f>
        <v>0.0669777381420476</v>
      </c>
      <c r="AA141" s="137" t="n">
        <f aca="false">1/(1+CHOOSE(F$3,(Z142+($K$3/10000))/2,(Z141+($K$3/10000))/2))^(2*Y141/365.25)</f>
        <v>0.274819787559599</v>
      </c>
      <c r="AB141" s="61" t="n">
        <f aca="false">IF(AND(mthbeg&lt;=A141,mthend&gt;=A141),1,0)</f>
        <v>1</v>
      </c>
      <c r="AC141" s="61" t="n">
        <f aca="false">W141*AB141</f>
        <v>31</v>
      </c>
      <c r="AD141" s="121" t="n">
        <f aca="false">$D141*E141</f>
        <v>10052593.9524414</v>
      </c>
      <c r="AE141" s="121" t="n">
        <f aca="false">$D141*F141</f>
        <v>0</v>
      </c>
      <c r="AF141" s="121" t="n">
        <f aca="false">$D141*G141</f>
        <v>10052593.9524414</v>
      </c>
      <c r="AG141" s="121" t="n">
        <f aca="false">$D141*H141</f>
        <v>0</v>
      </c>
      <c r="AH141" s="121" t="n">
        <f aca="false">$D141*I141</f>
        <v>0</v>
      </c>
      <c r="AI141" s="121" t="n">
        <f aca="false">$D141*J141</f>
        <v>0</v>
      </c>
      <c r="AJ141" s="121" t="n">
        <f aca="false">$D141*K141</f>
        <v>0</v>
      </c>
      <c r="AK141" s="121" t="n">
        <f aca="false">$D141*L141</f>
        <v>0</v>
      </c>
      <c r="AL141" s="121" t="n">
        <f aca="false">$D141*M141</f>
        <v>0</v>
      </c>
      <c r="AM141" s="139"/>
      <c r="AO141" s="75" t="e">
        <f aca="false">EURO(N141,O141,Z141,Z141,R141,U141,1,0)</f>
        <v>#NAME?</v>
      </c>
      <c r="AP141" s="138" t="e">
        <f aca="false">AO141*C141</f>
        <v>#NAME?</v>
      </c>
      <c r="AQ141" s="61" t="e">
        <f aca="false">EURO(N141,O141,Z141,Z141,R141,U141,1,1)</f>
        <v>#NAME?</v>
      </c>
      <c r="AR141" s="61" t="e">
        <f aca="false">AQ141+Put!AQ141</f>
        <v>#NAME?</v>
      </c>
      <c r="AS141" s="138" t="e">
        <f aca="false">AR141*C141</f>
        <v>#NAME?</v>
      </c>
      <c r="AT141" s="120" t="e">
        <f aca="false">AS141/10000</f>
        <v>#NAME?</v>
      </c>
    </row>
    <row r="142" customFormat="false" ht="12.75" hidden="false" customHeight="false" outlineLevel="0" collapsed="false">
      <c r="A142" s="127" t="n">
        <f aca="false">EDATE(A141,1)</f>
        <v>44197</v>
      </c>
      <c r="B142" s="128" t="n">
        <f aca="false">B141</f>
        <v>205479</v>
      </c>
      <c r="C142" s="116" t="n">
        <f aca="false">IF(AB142=0,0,IF(AND(AB142=1,$H$3=1),B142*W142,IF($H$3=2,B142,"N/A")))</f>
        <v>6369849</v>
      </c>
      <c r="D142" s="116" t="n">
        <f aca="false">C142*AA142</f>
        <v>1739389.99203111</v>
      </c>
      <c r="E142" s="129" t="n">
        <f aca="false">VLOOKUP($A142,[1]!CurveTable,MATCH($E$4,[1]!CurveType,0))</f>
        <v>5.8325</v>
      </c>
      <c r="F142" s="130"/>
      <c r="G142" s="131" t="n">
        <f aca="false">E142</f>
        <v>5.8325</v>
      </c>
      <c r="H142" s="129" t="n">
        <f aca="false">VLOOKUP($A142,[1]!CurveTable,MATCH($H$4,[1]!CurveType,0))</f>
        <v>0</v>
      </c>
      <c r="I142" s="131"/>
      <c r="J142" s="131" t="n">
        <f aca="false">H142</f>
        <v>0</v>
      </c>
      <c r="K142" s="129"/>
      <c r="L142" s="131"/>
      <c r="M142" s="131"/>
      <c r="N142" s="131" t="n">
        <f aca="false">G142+J142+M142+$N$7</f>
        <v>5.5425</v>
      </c>
      <c r="O142" s="131" t="n">
        <f aca="false">Summary!$E$16</f>
        <v>9.81903240236408</v>
      </c>
      <c r="P142" s="131"/>
      <c r="Q142" s="141" t="n">
        <f aca="false">Q141</f>
        <v>0.17</v>
      </c>
      <c r="R142" s="129" t="n">
        <f aca="false">Q142+Summary!$C$26</f>
        <v>0.17</v>
      </c>
      <c r="S142" s="129"/>
      <c r="T142" s="132" t="n">
        <f aca="false">X142</f>
        <v>44197</v>
      </c>
      <c r="U142" s="133" t="n">
        <f aca="false">T142-$C$3</f>
        <v>7192</v>
      </c>
      <c r="W142" s="61" t="n">
        <f aca="false">A143-A142</f>
        <v>31</v>
      </c>
      <c r="X142" s="135" t="n">
        <f aca="false">CHOOSE(F$3,A143+24,A142)</f>
        <v>44197</v>
      </c>
      <c r="Y142" s="61" t="n">
        <f aca="false">X142-C$3</f>
        <v>7192</v>
      </c>
      <c r="Z142" s="136" t="n">
        <f aca="false">VLOOKUP($A142,[1]!CurveTable,MATCH($Z$4,[1]!CurveType,0))</f>
        <v>0.0670202558776731</v>
      </c>
      <c r="AA142" s="137" t="n">
        <f aca="false">1/(1+CHOOSE(F$3,(Z143+($K$3/10000))/2,(Z142+($K$3/10000))/2))^(2*Y142/365.25)</f>
        <v>0.273066126376168</v>
      </c>
      <c r="AB142" s="61" t="n">
        <f aca="false">IF(AND(mthbeg&lt;=A142,mthend&gt;=A142),1,0)</f>
        <v>1</v>
      </c>
      <c r="AC142" s="61" t="n">
        <f aca="false">W142*AB142</f>
        <v>31</v>
      </c>
      <c r="AD142" s="121" t="n">
        <f aca="false">$D142*E142</f>
        <v>10144992.1285214</v>
      </c>
      <c r="AE142" s="121" t="n">
        <f aca="false">$D142*F142</f>
        <v>0</v>
      </c>
      <c r="AF142" s="121" t="n">
        <f aca="false">$D142*G142</f>
        <v>10144992.1285214</v>
      </c>
      <c r="AG142" s="121" t="n">
        <f aca="false">$D142*H142</f>
        <v>0</v>
      </c>
      <c r="AH142" s="121" t="n">
        <f aca="false">$D142*I142</f>
        <v>0</v>
      </c>
      <c r="AI142" s="121" t="n">
        <f aca="false">$D142*J142</f>
        <v>0</v>
      </c>
      <c r="AJ142" s="121" t="n">
        <f aca="false">$D142*K142</f>
        <v>0</v>
      </c>
      <c r="AK142" s="121" t="n">
        <f aca="false">$D142*L142</f>
        <v>0</v>
      </c>
      <c r="AL142" s="121" t="n">
        <f aca="false">$D142*M142</f>
        <v>0</v>
      </c>
      <c r="AM142" s="139"/>
      <c r="AO142" s="75" t="e">
        <f aca="false">EURO(N142,O142,Z142,Z142,R142,U142,1,0)</f>
        <v>#NAME?</v>
      </c>
      <c r="AP142" s="138" t="e">
        <f aca="false">AO142*C142</f>
        <v>#NAME?</v>
      </c>
      <c r="AQ142" s="61" t="e">
        <f aca="false">EURO(N142,O142,Z142,Z142,R142,U142,1,1)</f>
        <v>#NAME?</v>
      </c>
      <c r="AR142" s="61" t="e">
        <f aca="false">AQ142+Put!AQ142</f>
        <v>#NAME?</v>
      </c>
      <c r="AS142" s="138" t="e">
        <f aca="false">AR142*C142</f>
        <v>#NAME?</v>
      </c>
      <c r="AT142" s="120" t="e">
        <f aca="false">AS142/10000</f>
        <v>#NAME?</v>
      </c>
    </row>
    <row r="143" customFormat="false" ht="12.75" hidden="false" customHeight="false" outlineLevel="0" collapsed="false">
      <c r="A143" s="127" t="n">
        <f aca="false">EDATE(A142,1)</f>
        <v>44228</v>
      </c>
      <c r="B143" s="128" t="n">
        <f aca="false">B142</f>
        <v>205479</v>
      </c>
      <c r="C143" s="116" t="n">
        <f aca="false">IF(AB143=0,0,IF(AND(AB143=1,$H$3=1),B143*W143,IF($H$3=2,B143,"N/A")))</f>
        <v>5753412</v>
      </c>
      <c r="D143" s="116" t="n">
        <f aca="false">C143*AA143</f>
        <v>1561025.90057938</v>
      </c>
      <c r="E143" s="129" t="n">
        <f aca="false">VLOOKUP($A143,[1]!CurveTable,MATCH($E$4,[1]!CurveType,0))</f>
        <v>5.7125</v>
      </c>
      <c r="F143" s="130"/>
      <c r="G143" s="131" t="n">
        <f aca="false">E143</f>
        <v>5.7125</v>
      </c>
      <c r="H143" s="129" t="n">
        <f aca="false">VLOOKUP($A143,[1]!CurveTable,MATCH($H$4,[1]!CurveType,0))</f>
        <v>0</v>
      </c>
      <c r="I143" s="131"/>
      <c r="J143" s="131" t="n">
        <f aca="false">H143</f>
        <v>0</v>
      </c>
      <c r="K143" s="129"/>
      <c r="L143" s="131"/>
      <c r="M143" s="131"/>
      <c r="N143" s="131" t="n">
        <f aca="false">G143+J143+M143+$N$7</f>
        <v>5.4225</v>
      </c>
      <c r="O143" s="131" t="n">
        <f aca="false">Summary!$E$16</f>
        <v>9.81903240236408</v>
      </c>
      <c r="P143" s="131"/>
      <c r="Q143" s="141" t="n">
        <f aca="false">Q142</f>
        <v>0.17</v>
      </c>
      <c r="R143" s="129" t="n">
        <f aca="false">Q143+Summary!$C$26</f>
        <v>0.17</v>
      </c>
      <c r="S143" s="129"/>
      <c r="T143" s="132" t="n">
        <f aca="false">X143</f>
        <v>44228</v>
      </c>
      <c r="U143" s="133" t="n">
        <f aca="false">T143-$C$3</f>
        <v>7223</v>
      </c>
      <c r="W143" s="61" t="n">
        <f aca="false">A144-A143</f>
        <v>28</v>
      </c>
      <c r="X143" s="135" t="n">
        <f aca="false">CHOOSE(F$3,A144+24,A143)</f>
        <v>44228</v>
      </c>
      <c r="Y143" s="61" t="n">
        <f aca="false">X143-C$3</f>
        <v>7223</v>
      </c>
      <c r="Z143" s="136" t="n">
        <f aca="false">VLOOKUP($A143,[1]!CurveTable,MATCH($Z$4,[1]!CurveType,0))</f>
        <v>0.0670627736138982</v>
      </c>
      <c r="AA143" s="137" t="n">
        <f aca="false">1/(1+CHOOSE(F$3,(Z144+($K$3/10000))/2,(Z143+($K$3/10000))/2))^(2*Y143/365.25)</f>
        <v>0.27132176534192</v>
      </c>
      <c r="AB143" s="61" t="n">
        <f aca="false">IF(AND(mthbeg&lt;=A143,mthend&gt;=A143),1,0)</f>
        <v>1</v>
      </c>
      <c r="AC143" s="61" t="n">
        <f aca="false">W143*AB143</f>
        <v>28</v>
      </c>
      <c r="AD143" s="121" t="n">
        <f aca="false">$D143*E143</f>
        <v>8917360.45705973</v>
      </c>
      <c r="AE143" s="121" t="n">
        <f aca="false">$D143*F143</f>
        <v>0</v>
      </c>
      <c r="AF143" s="121" t="n">
        <f aca="false">$D143*G143</f>
        <v>8917360.45705973</v>
      </c>
      <c r="AG143" s="121" t="n">
        <f aca="false">$D143*H143</f>
        <v>0</v>
      </c>
      <c r="AH143" s="121" t="n">
        <f aca="false">$D143*I143</f>
        <v>0</v>
      </c>
      <c r="AI143" s="121" t="n">
        <f aca="false">$D143*J143</f>
        <v>0</v>
      </c>
      <c r="AJ143" s="121" t="n">
        <f aca="false">$D143*K143</f>
        <v>0</v>
      </c>
      <c r="AK143" s="121" t="n">
        <f aca="false">$D143*L143</f>
        <v>0</v>
      </c>
      <c r="AL143" s="121" t="n">
        <f aca="false">$D143*M143</f>
        <v>0</v>
      </c>
      <c r="AM143" s="139"/>
      <c r="AO143" s="75" t="e">
        <f aca="false">EURO(N143,O143,Z143,Z143,R143,U143,1,0)</f>
        <v>#NAME?</v>
      </c>
      <c r="AP143" s="138" t="e">
        <f aca="false">AO143*C143</f>
        <v>#NAME?</v>
      </c>
      <c r="AQ143" s="61" t="e">
        <f aca="false">EURO(N143,O143,Z143,Z143,R143,U143,1,1)</f>
        <v>#NAME?</v>
      </c>
      <c r="AR143" s="61" t="e">
        <f aca="false">AQ143+Put!AQ143</f>
        <v>#NAME?</v>
      </c>
      <c r="AS143" s="138" t="e">
        <f aca="false">AR143*C143</f>
        <v>#NAME?</v>
      </c>
      <c r="AT143" s="120" t="e">
        <f aca="false">AS143/10000</f>
        <v>#NAME?</v>
      </c>
    </row>
    <row r="144" customFormat="false" ht="12.75" hidden="false" customHeight="false" outlineLevel="0" collapsed="false">
      <c r="A144" s="127" t="n">
        <f aca="false">EDATE(A143,1)</f>
        <v>44256</v>
      </c>
      <c r="B144" s="128" t="n">
        <f aca="false">B143</f>
        <v>205479</v>
      </c>
      <c r="C144" s="116" t="n">
        <f aca="false">IF(AB144=0,0,IF(AND(AB144=1,$H$3=1),B144*W144,IF($H$3=2,B144,"N/A")))</f>
        <v>6369849</v>
      </c>
      <c r="D144" s="116" t="n">
        <f aca="false">C144*AA144</f>
        <v>1718293.38033612</v>
      </c>
      <c r="E144" s="129" t="n">
        <f aca="false">VLOOKUP($A144,[1]!CurveTable,MATCH($E$4,[1]!CurveType,0))</f>
        <v>5.5735</v>
      </c>
      <c r="F144" s="130"/>
      <c r="G144" s="131" t="n">
        <f aca="false">E144</f>
        <v>5.5735</v>
      </c>
      <c r="H144" s="129" t="n">
        <f aca="false">VLOOKUP($A144,[1]!CurveTable,MATCH($H$4,[1]!CurveType,0))</f>
        <v>0</v>
      </c>
      <c r="I144" s="131"/>
      <c r="J144" s="131" t="n">
        <f aca="false">H144</f>
        <v>0</v>
      </c>
      <c r="K144" s="129"/>
      <c r="L144" s="131"/>
      <c r="M144" s="131"/>
      <c r="N144" s="131" t="n">
        <f aca="false">G144+J144+M144+$N$7</f>
        <v>5.2835</v>
      </c>
      <c r="O144" s="131" t="n">
        <f aca="false">Summary!$E$16</f>
        <v>9.81903240236408</v>
      </c>
      <c r="P144" s="131"/>
      <c r="Q144" s="141" t="n">
        <f aca="false">Q143</f>
        <v>0.17</v>
      </c>
      <c r="R144" s="129" t="n">
        <f aca="false">Q144+Summary!$C$26</f>
        <v>0.17</v>
      </c>
      <c r="S144" s="129"/>
      <c r="T144" s="132" t="n">
        <f aca="false">X144</f>
        <v>44256</v>
      </c>
      <c r="U144" s="133" t="n">
        <f aca="false">T144-$C$3</f>
        <v>7251</v>
      </c>
      <c r="W144" s="61" t="n">
        <f aca="false">A145-A144</f>
        <v>31</v>
      </c>
      <c r="X144" s="135" t="n">
        <f aca="false">CHOOSE(F$3,A145+24,A144)</f>
        <v>44256</v>
      </c>
      <c r="Y144" s="61" t="n">
        <f aca="false">X144-C$3</f>
        <v>7251</v>
      </c>
      <c r="Z144" s="136" t="n">
        <f aca="false">VLOOKUP($A144,[1]!CurveTable,MATCH($Z$4,[1]!CurveType,0))</f>
        <v>0.0671011767310024</v>
      </c>
      <c r="AA144" s="137" t="n">
        <f aca="false">1/(1+CHOOSE(F$3,(Z145+($K$3/10000))/2,(Z144+($K$3/10000))/2))^(2*Y144/365.25)</f>
        <v>0.269754177899056</v>
      </c>
      <c r="AB144" s="61" t="n">
        <f aca="false">IF(AND(mthbeg&lt;=A144,mthend&gt;=A144),1,0)</f>
        <v>1</v>
      </c>
      <c r="AC144" s="61" t="n">
        <f aca="false">W144*AB144</f>
        <v>31</v>
      </c>
      <c r="AD144" s="121" t="n">
        <f aca="false">$D144*E144</f>
        <v>9576908.15530339</v>
      </c>
      <c r="AE144" s="121" t="n">
        <f aca="false">$D144*F144</f>
        <v>0</v>
      </c>
      <c r="AF144" s="121" t="n">
        <f aca="false">$D144*G144</f>
        <v>9576908.15530339</v>
      </c>
      <c r="AG144" s="121" t="n">
        <f aca="false">$D144*H144</f>
        <v>0</v>
      </c>
      <c r="AH144" s="121" t="n">
        <f aca="false">$D144*I144</f>
        <v>0</v>
      </c>
      <c r="AI144" s="121" t="n">
        <f aca="false">$D144*J144</f>
        <v>0</v>
      </c>
      <c r="AJ144" s="121" t="n">
        <f aca="false">$D144*K144</f>
        <v>0</v>
      </c>
      <c r="AK144" s="121" t="n">
        <f aca="false">$D144*L144</f>
        <v>0</v>
      </c>
      <c r="AL144" s="121" t="n">
        <f aca="false">$D144*M144</f>
        <v>0</v>
      </c>
      <c r="AM144" s="139"/>
      <c r="AO144" s="75" t="e">
        <f aca="false">EURO(N144,O144,Z144,Z144,R144,U144,1,0)</f>
        <v>#NAME?</v>
      </c>
      <c r="AP144" s="138" t="e">
        <f aca="false">AO144*C144</f>
        <v>#NAME?</v>
      </c>
      <c r="AQ144" s="61" t="e">
        <f aca="false">EURO(N144,O144,Z144,Z144,R144,U144,1,1)</f>
        <v>#NAME?</v>
      </c>
      <c r="AR144" s="61" t="e">
        <f aca="false">AQ144+Put!AQ144</f>
        <v>#NAME?</v>
      </c>
      <c r="AS144" s="138" t="e">
        <f aca="false">AR144*C144</f>
        <v>#NAME?</v>
      </c>
      <c r="AT144" s="120" t="e">
        <f aca="false">AS144/10000</f>
        <v>#NAME?</v>
      </c>
    </row>
    <row r="145" customFormat="false" ht="12.75" hidden="false" customHeight="false" outlineLevel="0" collapsed="false">
      <c r="A145" s="127" t="n">
        <f aca="false">EDATE(A144,1)</f>
        <v>44287</v>
      </c>
      <c r="B145" s="128" t="n">
        <f aca="false">B144</f>
        <v>205479</v>
      </c>
      <c r="C145" s="116" t="n">
        <f aca="false">IF(AB145=0,0,IF(AND(AB145=1,$H$3=1),B145*W145,IF($H$3=2,B145,"N/A")))</f>
        <v>6164370</v>
      </c>
      <c r="D145" s="116" t="n">
        <f aca="false">C145*AA145</f>
        <v>1652220.18783847</v>
      </c>
      <c r="E145" s="129" t="n">
        <f aca="false">VLOOKUP($A145,[1]!CurveTable,MATCH($E$4,[1]!CurveType,0))</f>
        <v>5.4035</v>
      </c>
      <c r="F145" s="130"/>
      <c r="G145" s="131" t="n">
        <f aca="false">E145</f>
        <v>5.4035</v>
      </c>
      <c r="H145" s="129" t="n">
        <f aca="false">VLOOKUP($A145,[1]!CurveTable,MATCH($H$4,[1]!CurveType,0))</f>
        <v>0</v>
      </c>
      <c r="I145" s="131"/>
      <c r="J145" s="131" t="n">
        <f aca="false">H145</f>
        <v>0</v>
      </c>
      <c r="K145" s="129"/>
      <c r="L145" s="131"/>
      <c r="M145" s="131"/>
      <c r="N145" s="131" t="n">
        <f aca="false">G145+J145+M145+$N$7</f>
        <v>5.1135</v>
      </c>
      <c r="O145" s="131" t="n">
        <f aca="false">Summary!$E$16</f>
        <v>9.81903240236408</v>
      </c>
      <c r="P145" s="131"/>
      <c r="Q145" s="141" t="n">
        <f aca="false">Q144</f>
        <v>0.17</v>
      </c>
      <c r="R145" s="129" t="n">
        <f aca="false">Q145+Summary!$C$26</f>
        <v>0.17</v>
      </c>
      <c r="S145" s="129"/>
      <c r="T145" s="132" t="n">
        <f aca="false">X145</f>
        <v>44287</v>
      </c>
      <c r="U145" s="133" t="n">
        <f aca="false">T145-$C$3</f>
        <v>7282</v>
      </c>
      <c r="W145" s="61" t="n">
        <f aca="false">A146-A145</f>
        <v>30</v>
      </c>
      <c r="X145" s="135" t="n">
        <f aca="false">CHOOSE(F$3,A146+24,A145)</f>
        <v>44287</v>
      </c>
      <c r="Y145" s="61" t="n">
        <f aca="false">X145-C$3</f>
        <v>7282</v>
      </c>
      <c r="Z145" s="136" t="n">
        <f aca="false">VLOOKUP($A145,[1]!CurveTable,MATCH($Z$4,[1]!CurveType,0))</f>
        <v>0.0671436944683665</v>
      </c>
      <c r="AA145" s="137" t="n">
        <f aca="false">1/(1+CHOOSE(F$3,(Z146+($K$3/10000))/2,(Z145+($K$3/10000))/2))^(2*Y145/365.25)</f>
        <v>0.268027420131898</v>
      </c>
      <c r="AB145" s="61" t="n">
        <f aca="false">IF(AND(mthbeg&lt;=A145,mthend&gt;=A145),1,0)</f>
        <v>1</v>
      </c>
      <c r="AC145" s="61" t="n">
        <f aca="false">W145*AB145</f>
        <v>30</v>
      </c>
      <c r="AD145" s="121" t="n">
        <f aca="false">$D145*E145</f>
        <v>8927771.78498517</v>
      </c>
      <c r="AE145" s="121" t="n">
        <f aca="false">$D145*F145</f>
        <v>0</v>
      </c>
      <c r="AF145" s="121" t="n">
        <f aca="false">$D145*G145</f>
        <v>8927771.78498517</v>
      </c>
      <c r="AG145" s="121" t="n">
        <f aca="false">$D145*H145</f>
        <v>0</v>
      </c>
      <c r="AH145" s="121" t="n">
        <f aca="false">$D145*I145</f>
        <v>0</v>
      </c>
      <c r="AI145" s="121" t="n">
        <f aca="false">$D145*J145</f>
        <v>0</v>
      </c>
      <c r="AJ145" s="121" t="n">
        <f aca="false">$D145*K145</f>
        <v>0</v>
      </c>
      <c r="AK145" s="121" t="n">
        <f aca="false">$D145*L145</f>
        <v>0</v>
      </c>
      <c r="AL145" s="121" t="n">
        <f aca="false">$D145*M145</f>
        <v>0</v>
      </c>
      <c r="AM145" s="139"/>
      <c r="AO145" s="75" t="e">
        <f aca="false">EURO(N145,O145,Z145,Z145,R145,U145,1,0)</f>
        <v>#NAME?</v>
      </c>
      <c r="AP145" s="138" t="e">
        <f aca="false">AO145*C145</f>
        <v>#NAME?</v>
      </c>
      <c r="AQ145" s="61" t="e">
        <f aca="false">EURO(N145,O145,Z145,Z145,R145,U145,1,1)</f>
        <v>#NAME?</v>
      </c>
      <c r="AR145" s="61" t="e">
        <f aca="false">AQ145+Put!AQ145</f>
        <v>#NAME?</v>
      </c>
      <c r="AS145" s="138" t="e">
        <f aca="false">AR145*C145</f>
        <v>#NAME?</v>
      </c>
      <c r="AT145" s="120" t="e">
        <f aca="false">AS145/10000</f>
        <v>#NAME?</v>
      </c>
    </row>
    <row r="146" customFormat="false" ht="12.75" hidden="false" customHeight="false" outlineLevel="0" collapsed="false">
      <c r="A146" s="127" t="n">
        <f aca="false">EDATE(A145,1)</f>
        <v>44317</v>
      </c>
      <c r="B146" s="128" t="n">
        <f aca="false">B145</f>
        <v>205479</v>
      </c>
      <c r="C146" s="116" t="n">
        <f aca="false">IF(AB146=0,0,IF(AND(AB146=1,$H$3=1),B146*W146,IF($H$3=2,B146,"N/A")))</f>
        <v>6369849</v>
      </c>
      <c r="D146" s="116" t="n">
        <f aca="false">C146*AA146</f>
        <v>1696894.04219579</v>
      </c>
      <c r="E146" s="129" t="n">
        <f aca="false">VLOOKUP($A146,[1]!CurveTable,MATCH($E$4,[1]!CurveType,0))</f>
        <v>5.4625</v>
      </c>
      <c r="F146" s="130"/>
      <c r="G146" s="131" t="n">
        <f aca="false">E146</f>
        <v>5.4625</v>
      </c>
      <c r="H146" s="129" t="n">
        <f aca="false">VLOOKUP($A146,[1]!CurveTable,MATCH($H$4,[1]!CurveType,0))</f>
        <v>0</v>
      </c>
      <c r="I146" s="131"/>
      <c r="J146" s="131" t="n">
        <f aca="false">H146</f>
        <v>0</v>
      </c>
      <c r="K146" s="129"/>
      <c r="L146" s="131"/>
      <c r="M146" s="131"/>
      <c r="N146" s="131" t="n">
        <f aca="false">G146+J146+M146+$N$7</f>
        <v>5.1725</v>
      </c>
      <c r="O146" s="131" t="n">
        <f aca="false">Summary!$E$16</f>
        <v>9.81903240236408</v>
      </c>
      <c r="P146" s="131"/>
      <c r="Q146" s="141" t="n">
        <f aca="false">Q145</f>
        <v>0.17</v>
      </c>
      <c r="R146" s="129" t="n">
        <f aca="false">Q146+Summary!$C$26</f>
        <v>0.17</v>
      </c>
      <c r="S146" s="129"/>
      <c r="T146" s="132" t="n">
        <f aca="false">X146</f>
        <v>44317</v>
      </c>
      <c r="U146" s="133" t="n">
        <f aca="false">T146-$C$3</f>
        <v>7312</v>
      </c>
      <c r="W146" s="61" t="n">
        <f aca="false">A147-A146</f>
        <v>31</v>
      </c>
      <c r="X146" s="135" t="n">
        <f aca="false">CHOOSE(F$3,A147+24,A146)</f>
        <v>44317</v>
      </c>
      <c r="Y146" s="61" t="n">
        <f aca="false">X146-C$3</f>
        <v>7312</v>
      </c>
      <c r="Z146" s="136" t="n">
        <f aca="false">VLOOKUP($A146,[1]!CurveTable,MATCH($Z$4,[1]!CurveType,0))</f>
        <v>0.0671791070538918</v>
      </c>
      <c r="AA146" s="137" t="n">
        <f aca="false">1/(1+CHOOSE(F$3,(Z147+($K$3/10000))/2,(Z146+($K$3/10000))/2))^(2*Y146/365.25)</f>
        <v>0.266394704520592</v>
      </c>
      <c r="AB146" s="61" t="n">
        <f aca="false">IF(AND(mthbeg&lt;=A146,mthend&gt;=A146),1,0)</f>
        <v>1</v>
      </c>
      <c r="AC146" s="61" t="n">
        <f aca="false">W146*AB146</f>
        <v>31</v>
      </c>
      <c r="AD146" s="121" t="n">
        <f aca="false">$D146*E146</f>
        <v>9269283.70549449</v>
      </c>
      <c r="AE146" s="121" t="n">
        <f aca="false">$D146*F146</f>
        <v>0</v>
      </c>
      <c r="AF146" s="121" t="n">
        <f aca="false">$D146*G146</f>
        <v>9269283.70549449</v>
      </c>
      <c r="AG146" s="121" t="n">
        <f aca="false">$D146*H146</f>
        <v>0</v>
      </c>
      <c r="AH146" s="121" t="n">
        <f aca="false">$D146*I146</f>
        <v>0</v>
      </c>
      <c r="AI146" s="121" t="n">
        <f aca="false">$D146*J146</f>
        <v>0</v>
      </c>
      <c r="AJ146" s="121" t="n">
        <f aca="false">$D146*K146</f>
        <v>0</v>
      </c>
      <c r="AK146" s="121" t="n">
        <f aca="false">$D146*L146</f>
        <v>0</v>
      </c>
      <c r="AL146" s="121" t="n">
        <f aca="false">$D146*M146</f>
        <v>0</v>
      </c>
      <c r="AM146" s="139"/>
      <c r="AO146" s="75" t="e">
        <f aca="false">EURO(N146,O146,Z146,Z146,R146,U146,1,0)</f>
        <v>#NAME?</v>
      </c>
      <c r="AP146" s="138" t="e">
        <f aca="false">AO146*C146</f>
        <v>#NAME?</v>
      </c>
      <c r="AQ146" s="61" t="e">
        <f aca="false">EURO(N146,O146,Z146,Z146,R146,U146,1,1)</f>
        <v>#NAME?</v>
      </c>
      <c r="AR146" s="61" t="e">
        <f aca="false">AQ146+Put!AQ146</f>
        <v>#NAME?</v>
      </c>
      <c r="AS146" s="138" t="e">
        <f aca="false">AR146*C146</f>
        <v>#NAME?</v>
      </c>
      <c r="AT146" s="120" t="e">
        <f aca="false">AS146/10000</f>
        <v>#NAME?</v>
      </c>
    </row>
    <row r="147" customFormat="false" ht="12.75" hidden="false" customHeight="false" outlineLevel="0" collapsed="false">
      <c r="A147" s="127" t="n">
        <f aca="false">EDATE(A146,1)</f>
        <v>44348</v>
      </c>
      <c r="B147" s="128" t="n">
        <f aca="false">B146</f>
        <v>205479</v>
      </c>
      <c r="C147" s="116" t="n">
        <f aca="false">IF(AB147=0,0,IF(AND(AB147=1,$H$3=1),B147*W147,IF($H$3=2,B147,"N/A")))</f>
        <v>6164370</v>
      </c>
      <c r="D147" s="116" t="n">
        <f aca="false">C147*AA147</f>
        <v>1632750.66109984</v>
      </c>
      <c r="E147" s="129" t="n">
        <f aca="false">VLOOKUP($A147,[1]!CurveTable,MATCH($E$4,[1]!CurveType,0))</f>
        <v>5.5025</v>
      </c>
      <c r="F147" s="130"/>
      <c r="G147" s="131" t="n">
        <f aca="false">E147</f>
        <v>5.5025</v>
      </c>
      <c r="H147" s="129" t="n">
        <f aca="false">VLOOKUP($A147,[1]!CurveTable,MATCH($H$4,[1]!CurveType,0))</f>
        <v>0</v>
      </c>
      <c r="I147" s="131"/>
      <c r="J147" s="131" t="n">
        <f aca="false">H147</f>
        <v>0</v>
      </c>
      <c r="K147" s="129"/>
      <c r="L147" s="131"/>
      <c r="M147" s="131"/>
      <c r="N147" s="131" t="n">
        <f aca="false">G147+J147+M147+$N$7</f>
        <v>5.2125</v>
      </c>
      <c r="O147" s="131" t="n">
        <f aca="false">Summary!$E$16</f>
        <v>9.81903240236408</v>
      </c>
      <c r="P147" s="131"/>
      <c r="Q147" s="141" t="n">
        <f aca="false">Q146</f>
        <v>0.17</v>
      </c>
      <c r="R147" s="129" t="n">
        <f aca="false">Q147+Summary!$C$26</f>
        <v>0.17</v>
      </c>
      <c r="S147" s="129"/>
      <c r="T147" s="132" t="n">
        <f aca="false">X147</f>
        <v>44348</v>
      </c>
      <c r="U147" s="133" t="n">
        <f aca="false">T147-$C$3</f>
        <v>7343</v>
      </c>
      <c r="W147" s="61" t="n">
        <f aca="false">A148-A147</f>
        <v>30</v>
      </c>
      <c r="X147" s="135" t="n">
        <f aca="false">CHOOSE(F$3,A148+24,A147)</f>
        <v>44348</v>
      </c>
      <c r="Y147" s="61" t="n">
        <f aca="false">X147-C$3</f>
        <v>7343</v>
      </c>
      <c r="Z147" s="136" t="n">
        <f aca="false">VLOOKUP($A147,[1]!CurveTable,MATCH($Z$4,[1]!CurveType,0))</f>
        <v>0.0671860763946341</v>
      </c>
      <c r="AA147" s="137" t="n">
        <f aca="false">1/(1+CHOOSE(F$3,(Z148+($K$3/10000))/2,(Z147+($K$3/10000))/2))^(2*Y147/365.25)</f>
        <v>0.26486902329027</v>
      </c>
      <c r="AB147" s="61" t="n">
        <f aca="false">IF(AND(mthbeg&lt;=A147,mthend&gt;=A147),1,0)</f>
        <v>1</v>
      </c>
      <c r="AC147" s="61" t="n">
        <f aca="false">W147*AB147</f>
        <v>30</v>
      </c>
      <c r="AD147" s="121" t="n">
        <f aca="false">$D147*E147</f>
        <v>8984210.51270188</v>
      </c>
      <c r="AE147" s="121" t="n">
        <f aca="false">$D147*F147</f>
        <v>0</v>
      </c>
      <c r="AF147" s="121" t="n">
        <f aca="false">$D147*G147</f>
        <v>8984210.51270188</v>
      </c>
      <c r="AG147" s="121" t="n">
        <f aca="false">$D147*H147</f>
        <v>0</v>
      </c>
      <c r="AH147" s="121" t="n">
        <f aca="false">$D147*I147</f>
        <v>0</v>
      </c>
      <c r="AI147" s="121" t="n">
        <f aca="false">$D147*J147</f>
        <v>0</v>
      </c>
      <c r="AJ147" s="121" t="n">
        <f aca="false">$D147*K147</f>
        <v>0</v>
      </c>
      <c r="AK147" s="121" t="n">
        <f aca="false">$D147*L147</f>
        <v>0</v>
      </c>
      <c r="AL147" s="121" t="n">
        <f aca="false">$D147*M147</f>
        <v>0</v>
      </c>
      <c r="AM147" s="139"/>
      <c r="AO147" s="75" t="e">
        <f aca="false">EURO(N147,O147,Z147,Z147,R147,U147,1,0)</f>
        <v>#NAME?</v>
      </c>
      <c r="AP147" s="138" t="e">
        <f aca="false">AO147*C147</f>
        <v>#NAME?</v>
      </c>
      <c r="AQ147" s="61" t="e">
        <f aca="false">EURO(N147,O147,Z147,Z147,R147,U147,1,1)</f>
        <v>#NAME?</v>
      </c>
      <c r="AR147" s="61" t="e">
        <f aca="false">AQ147+Put!AQ147</f>
        <v>#NAME?</v>
      </c>
      <c r="AS147" s="138" t="e">
        <f aca="false">AR147*C147</f>
        <v>#NAME?</v>
      </c>
      <c r="AT147" s="120" t="e">
        <f aca="false">AS147/10000</f>
        <v>#NAME?</v>
      </c>
    </row>
    <row r="148" customFormat="false" ht="12.75" hidden="false" customHeight="false" outlineLevel="0" collapsed="false">
      <c r="A148" s="127" t="n">
        <f aca="false">EDATE(A147,1)</f>
        <v>44378</v>
      </c>
      <c r="B148" s="128" t="n">
        <f aca="false">B147</f>
        <v>205479</v>
      </c>
      <c r="C148" s="116" t="n">
        <f aca="false">IF(AB148=0,0,IF(AND(AB148=1,$H$3=1),B148*W148,IF($H$3=2,B148,"N/A")))</f>
        <v>6369849</v>
      </c>
      <c r="D148" s="116" t="n">
        <f aca="false">C148*AA148</f>
        <v>1677821.98932413</v>
      </c>
      <c r="E148" s="129" t="n">
        <f aca="false">VLOOKUP($A148,[1]!CurveTable,MATCH($E$4,[1]!CurveType,0))</f>
        <v>5.5475</v>
      </c>
      <c r="F148" s="130"/>
      <c r="G148" s="131" t="n">
        <f aca="false">E148</f>
        <v>5.5475</v>
      </c>
      <c r="H148" s="129" t="n">
        <f aca="false">VLOOKUP($A148,[1]!CurveTable,MATCH($H$4,[1]!CurveType,0))</f>
        <v>0</v>
      </c>
      <c r="I148" s="131"/>
      <c r="J148" s="131" t="n">
        <f aca="false">H148</f>
        <v>0</v>
      </c>
      <c r="K148" s="129"/>
      <c r="L148" s="131"/>
      <c r="M148" s="131"/>
      <c r="N148" s="131" t="n">
        <f aca="false">G148+J148+M148+$N$7</f>
        <v>5.2575</v>
      </c>
      <c r="O148" s="131" t="n">
        <f aca="false">Summary!$E$16</f>
        <v>9.81903240236408</v>
      </c>
      <c r="P148" s="131"/>
      <c r="Q148" s="141" t="n">
        <f aca="false">Q147</f>
        <v>0.17</v>
      </c>
      <c r="R148" s="129" t="n">
        <f aca="false">Q148+Summary!$C$26</f>
        <v>0.17</v>
      </c>
      <c r="S148" s="129"/>
      <c r="T148" s="132" t="n">
        <f aca="false">X148</f>
        <v>44378</v>
      </c>
      <c r="U148" s="133" t="n">
        <f aca="false">T148-$C$3</f>
        <v>7373</v>
      </c>
      <c r="W148" s="61" t="n">
        <f aca="false">A149-A148</f>
        <v>31</v>
      </c>
      <c r="X148" s="135" t="n">
        <f aca="false">CHOOSE(F$3,A149+24,A148)</f>
        <v>44378</v>
      </c>
      <c r="Y148" s="61" t="n">
        <f aca="false">X148-C$3</f>
        <v>7373</v>
      </c>
      <c r="Z148" s="136" t="n">
        <f aca="false">VLOOKUP($A148,[1]!CurveTable,MATCH($Z$4,[1]!CurveType,0))</f>
        <v>0.0671928209179482</v>
      </c>
      <c r="AA148" s="137" t="n">
        <f aca="false">1/(1+CHOOSE(F$3,(Z149+($K$3/10000))/2,(Z148+($K$3/10000))/2))^(2*Y148/365.25)</f>
        <v>0.263400590708529</v>
      </c>
      <c r="AB148" s="61" t="n">
        <f aca="false">IF(AND(mthbeg&lt;=A148,mthend&gt;=A148),1,0)</f>
        <v>1</v>
      </c>
      <c r="AC148" s="61" t="n">
        <f aca="false">W148*AB148</f>
        <v>31</v>
      </c>
      <c r="AD148" s="121" t="n">
        <f aca="false">$D148*E148</f>
        <v>9307717.48577564</v>
      </c>
      <c r="AE148" s="121" t="n">
        <f aca="false">$D148*F148</f>
        <v>0</v>
      </c>
      <c r="AF148" s="121" t="n">
        <f aca="false">$D148*G148</f>
        <v>9307717.48577564</v>
      </c>
      <c r="AG148" s="121" t="n">
        <f aca="false">$D148*H148</f>
        <v>0</v>
      </c>
      <c r="AH148" s="121" t="n">
        <f aca="false">$D148*I148</f>
        <v>0</v>
      </c>
      <c r="AI148" s="121" t="n">
        <f aca="false">$D148*J148</f>
        <v>0</v>
      </c>
      <c r="AJ148" s="121" t="n">
        <f aca="false">$D148*K148</f>
        <v>0</v>
      </c>
      <c r="AK148" s="121" t="n">
        <f aca="false">$D148*L148</f>
        <v>0</v>
      </c>
      <c r="AL148" s="121" t="n">
        <f aca="false">$D148*M148</f>
        <v>0</v>
      </c>
      <c r="AM148" s="139"/>
      <c r="AO148" s="75" t="e">
        <f aca="false">EURO(N148,O148,Z148,Z148,R148,U148,1,0)</f>
        <v>#NAME?</v>
      </c>
      <c r="AP148" s="138" t="e">
        <f aca="false">AO148*C148</f>
        <v>#NAME?</v>
      </c>
      <c r="AQ148" s="61" t="e">
        <f aca="false">EURO(N148,O148,Z148,Z148,R148,U148,1,1)</f>
        <v>#NAME?</v>
      </c>
      <c r="AR148" s="61" t="e">
        <f aca="false">AQ148+Put!AQ148</f>
        <v>#NAME?</v>
      </c>
      <c r="AS148" s="138" t="e">
        <f aca="false">AR148*C148</f>
        <v>#NAME?</v>
      </c>
      <c r="AT148" s="120" t="e">
        <f aca="false">AS148/10000</f>
        <v>#NAME?</v>
      </c>
    </row>
    <row r="149" customFormat="false" ht="12.75" hidden="false" customHeight="false" outlineLevel="0" collapsed="false">
      <c r="A149" s="127" t="n">
        <f aca="false">EDATE(A148,1)</f>
        <v>44409</v>
      </c>
      <c r="B149" s="128" t="n">
        <f aca="false">B148</f>
        <v>205479</v>
      </c>
      <c r="C149" s="116" t="n">
        <f aca="false">IF(AB149=0,0,IF(AND(AB149=1,$H$3=1),B149*W149,IF($H$3=2,B149,"N/A")))</f>
        <v>6369849</v>
      </c>
      <c r="D149" s="116" t="n">
        <f aca="false">C149*AA149</f>
        <v>1668209.10300871</v>
      </c>
      <c r="E149" s="129" t="n">
        <f aca="false">VLOOKUP($A149,[1]!CurveTable,MATCH($E$4,[1]!CurveType,0))</f>
        <v>5.5825</v>
      </c>
      <c r="F149" s="130"/>
      <c r="G149" s="131" t="n">
        <f aca="false">E149</f>
        <v>5.5825</v>
      </c>
      <c r="H149" s="129" t="n">
        <f aca="false">VLOOKUP($A149,[1]!CurveTable,MATCH($H$4,[1]!CurveType,0))</f>
        <v>0</v>
      </c>
      <c r="I149" s="131"/>
      <c r="J149" s="131" t="n">
        <f aca="false">H149</f>
        <v>0</v>
      </c>
      <c r="K149" s="129"/>
      <c r="L149" s="131"/>
      <c r="M149" s="131"/>
      <c r="N149" s="131" t="n">
        <f aca="false">G149+J149+M149+$N$7</f>
        <v>5.2925</v>
      </c>
      <c r="O149" s="131" t="n">
        <f aca="false">Summary!$E$16</f>
        <v>9.81903240236408</v>
      </c>
      <c r="P149" s="131"/>
      <c r="Q149" s="141" t="n">
        <f aca="false">Q148</f>
        <v>0.17</v>
      </c>
      <c r="R149" s="129" t="n">
        <f aca="false">Q149+Summary!$C$26</f>
        <v>0.17</v>
      </c>
      <c r="S149" s="129"/>
      <c r="T149" s="132" t="n">
        <f aca="false">X149</f>
        <v>44409</v>
      </c>
      <c r="U149" s="133" t="n">
        <f aca="false">T149-$C$3</f>
        <v>7404</v>
      </c>
      <c r="W149" s="61" t="n">
        <f aca="false">A150-A149</f>
        <v>31</v>
      </c>
      <c r="X149" s="135" t="n">
        <f aca="false">CHOOSE(F$3,A150+24,A149)</f>
        <v>44409</v>
      </c>
      <c r="Y149" s="61" t="n">
        <f aca="false">X149-C$3</f>
        <v>7404</v>
      </c>
      <c r="Z149" s="136" t="n">
        <f aca="false">VLOOKUP($A149,[1]!CurveTable,MATCH($Z$4,[1]!CurveType,0))</f>
        <v>0.0671997902587225</v>
      </c>
      <c r="AA149" s="137" t="n">
        <f aca="false">1/(1+CHOOSE(F$3,(Z150+($K$3/10000))/2,(Z149+($K$3/10000))/2))^(2*Y149/365.25)</f>
        <v>0.261891467601306</v>
      </c>
      <c r="AB149" s="61" t="n">
        <f aca="false">IF(AND(mthbeg&lt;=A149,mthend&gt;=A149),1,0)</f>
        <v>1</v>
      </c>
      <c r="AC149" s="61" t="n">
        <f aca="false">W149*AB149</f>
        <v>31</v>
      </c>
      <c r="AD149" s="121" t="n">
        <f aca="false">$D149*E149</f>
        <v>9312777.31754612</v>
      </c>
      <c r="AE149" s="121" t="n">
        <f aca="false">$D149*F149</f>
        <v>0</v>
      </c>
      <c r="AF149" s="121" t="n">
        <f aca="false">$D149*G149</f>
        <v>9312777.31754612</v>
      </c>
      <c r="AG149" s="121" t="n">
        <f aca="false">$D149*H149</f>
        <v>0</v>
      </c>
      <c r="AH149" s="121" t="n">
        <f aca="false">$D149*I149</f>
        <v>0</v>
      </c>
      <c r="AI149" s="121" t="n">
        <f aca="false">$D149*J149</f>
        <v>0</v>
      </c>
      <c r="AJ149" s="121" t="n">
        <f aca="false">$D149*K149</f>
        <v>0</v>
      </c>
      <c r="AK149" s="121" t="n">
        <f aca="false">$D149*L149</f>
        <v>0</v>
      </c>
      <c r="AL149" s="121" t="n">
        <f aca="false">$D149*M149</f>
        <v>0</v>
      </c>
      <c r="AM149" s="139"/>
      <c r="AO149" s="75" t="e">
        <f aca="false">EURO(N149,O149,Z149,Z149,R149,U149,1,0)</f>
        <v>#NAME?</v>
      </c>
      <c r="AP149" s="138" t="e">
        <f aca="false">AO149*C149</f>
        <v>#NAME?</v>
      </c>
      <c r="AQ149" s="61" t="e">
        <f aca="false">EURO(N149,O149,Z149,Z149,R149,U149,1,1)</f>
        <v>#NAME?</v>
      </c>
      <c r="AR149" s="61" t="e">
        <f aca="false">AQ149+Put!AQ149</f>
        <v>#NAME?</v>
      </c>
      <c r="AS149" s="138" t="e">
        <f aca="false">AR149*C149</f>
        <v>#NAME?</v>
      </c>
      <c r="AT149" s="120" t="e">
        <f aca="false">AS149/10000</f>
        <v>#NAME?</v>
      </c>
    </row>
    <row r="150" customFormat="false" ht="12.75" hidden="false" customHeight="false" outlineLevel="0" collapsed="false">
      <c r="A150" s="127" t="n">
        <f aca="false">EDATE(A149,1)</f>
        <v>44440</v>
      </c>
      <c r="B150" s="128" t="n">
        <f aca="false">B149</f>
        <v>205479</v>
      </c>
      <c r="C150" s="116" t="n">
        <f aca="false">IF(AB150=0,0,IF(AND(AB150=1,$H$3=1),B150*W150,IF($H$3=2,B150,"N/A")))</f>
        <v>6164370</v>
      </c>
      <c r="D150" s="116" t="n">
        <f aca="false">C150*AA150</f>
        <v>1605144.57574753</v>
      </c>
      <c r="E150" s="129" t="n">
        <f aca="false">VLOOKUP($A150,[1]!CurveTable,MATCH($E$4,[1]!CurveType,0))</f>
        <v>5.5875</v>
      </c>
      <c r="F150" s="130"/>
      <c r="G150" s="131" t="n">
        <f aca="false">E150</f>
        <v>5.5875</v>
      </c>
      <c r="H150" s="129" t="n">
        <f aca="false">VLOOKUP($A150,[1]!CurveTable,MATCH($H$4,[1]!CurveType,0))</f>
        <v>0</v>
      </c>
      <c r="I150" s="131"/>
      <c r="J150" s="131" t="n">
        <f aca="false">H150</f>
        <v>0</v>
      </c>
      <c r="K150" s="129"/>
      <c r="L150" s="131"/>
      <c r="M150" s="131"/>
      <c r="N150" s="131" t="n">
        <f aca="false">G150+J150+M150+$N$7</f>
        <v>5.2975</v>
      </c>
      <c r="O150" s="131" t="n">
        <f aca="false">Summary!$E$16</f>
        <v>9.81903240236408</v>
      </c>
      <c r="P150" s="131"/>
      <c r="Q150" s="141" t="n">
        <f aca="false">Q149</f>
        <v>0.17</v>
      </c>
      <c r="R150" s="129" t="n">
        <f aca="false">Q150+Summary!$C$26</f>
        <v>0.17</v>
      </c>
      <c r="S150" s="129"/>
      <c r="T150" s="132" t="n">
        <f aca="false">X150</f>
        <v>44440</v>
      </c>
      <c r="U150" s="133" t="n">
        <f aca="false">T150-$C$3</f>
        <v>7435</v>
      </c>
      <c r="W150" s="61" t="n">
        <f aca="false">A151-A150</f>
        <v>30</v>
      </c>
      <c r="X150" s="135" t="n">
        <f aca="false">CHOOSE(F$3,A151+24,A150)</f>
        <v>44440</v>
      </c>
      <c r="Y150" s="61" t="n">
        <f aca="false">X150-C$3</f>
        <v>7435</v>
      </c>
      <c r="Z150" s="136" t="n">
        <f aca="false">VLOOKUP($A150,[1]!CurveTable,MATCH($Z$4,[1]!CurveType,0))</f>
        <v>0.0672067595995123</v>
      </c>
      <c r="AA150" s="137" t="n">
        <f aca="false">1/(1+CHOOSE(F$3,(Z151+($K$3/10000))/2,(Z150+($K$3/10000))/2))^(2*Y150/365.25)</f>
        <v>0.260390692925234</v>
      </c>
      <c r="AB150" s="61" t="n">
        <f aca="false">IF(AND(mthbeg&lt;=A150,mthend&gt;=A150),1,0)</f>
        <v>1</v>
      </c>
      <c r="AC150" s="61" t="n">
        <f aca="false">W150*AB150</f>
        <v>30</v>
      </c>
      <c r="AD150" s="121" t="n">
        <f aca="false">$D150*E150</f>
        <v>8968745.3169893</v>
      </c>
      <c r="AE150" s="121" t="n">
        <f aca="false">$D150*F150</f>
        <v>0</v>
      </c>
      <c r="AF150" s="121" t="n">
        <f aca="false">$D150*G150</f>
        <v>8968745.3169893</v>
      </c>
      <c r="AG150" s="121" t="n">
        <f aca="false">$D150*H150</f>
        <v>0</v>
      </c>
      <c r="AH150" s="121" t="n">
        <f aca="false">$D150*I150</f>
        <v>0</v>
      </c>
      <c r="AI150" s="121" t="n">
        <f aca="false">$D150*J150</f>
        <v>0</v>
      </c>
      <c r="AJ150" s="121" t="n">
        <f aca="false">$D150*K150</f>
        <v>0</v>
      </c>
      <c r="AK150" s="121" t="n">
        <f aca="false">$D150*L150</f>
        <v>0</v>
      </c>
      <c r="AL150" s="121" t="n">
        <f aca="false">$D150*M150</f>
        <v>0</v>
      </c>
      <c r="AM150" s="139"/>
      <c r="AO150" s="75" t="e">
        <f aca="false">EURO(N150,O150,Z150,Z150,R150,U150,1,0)</f>
        <v>#NAME?</v>
      </c>
      <c r="AP150" s="138" t="e">
        <f aca="false">AO150*C150</f>
        <v>#NAME?</v>
      </c>
      <c r="AQ150" s="61" t="e">
        <f aca="false">EURO(N150,O150,Z150,Z150,R150,U150,1,1)</f>
        <v>#NAME?</v>
      </c>
      <c r="AR150" s="61" t="e">
        <f aca="false">AQ150+Put!AQ150</f>
        <v>#NAME?</v>
      </c>
      <c r="AS150" s="138" t="e">
        <f aca="false">AR150*C150</f>
        <v>#NAME?</v>
      </c>
      <c r="AT150" s="120" t="e">
        <f aca="false">AS150/10000</f>
        <v>#NAME?</v>
      </c>
    </row>
    <row r="151" customFormat="false" ht="12.75" hidden="false" customHeight="false" outlineLevel="0" collapsed="false">
      <c r="A151" s="127" t="n">
        <f aca="false">EDATE(A150,1)</f>
        <v>44470</v>
      </c>
      <c r="B151" s="128" t="n">
        <f aca="false">B150</f>
        <v>205479</v>
      </c>
      <c r="C151" s="116" t="n">
        <f aca="false">IF(AB151=0,0,IF(AND(AB151=1,$H$3=1),B151*W151,IF($H$3=2,B151,"N/A")))</f>
        <v>6369849</v>
      </c>
      <c r="D151" s="116" t="n">
        <f aca="false">C151*AA151</f>
        <v>1649448.43083255</v>
      </c>
      <c r="E151" s="129" t="n">
        <f aca="false">VLOOKUP($A151,[1]!CurveTable,MATCH($E$4,[1]!CurveType,0))</f>
        <v>5.6175</v>
      </c>
      <c r="F151" s="130"/>
      <c r="G151" s="131" t="n">
        <f aca="false">E151</f>
        <v>5.6175</v>
      </c>
      <c r="H151" s="129" t="n">
        <f aca="false">VLOOKUP($A151,[1]!CurveTable,MATCH($H$4,[1]!CurveType,0))</f>
        <v>0</v>
      </c>
      <c r="I151" s="131"/>
      <c r="J151" s="131" t="n">
        <f aca="false">H151</f>
        <v>0</v>
      </c>
      <c r="K151" s="129"/>
      <c r="L151" s="131"/>
      <c r="M151" s="131"/>
      <c r="N151" s="131" t="n">
        <f aca="false">G151+J151+M151+$N$7</f>
        <v>5.3275</v>
      </c>
      <c r="O151" s="131" t="n">
        <f aca="false">Summary!$E$16</f>
        <v>9.81903240236408</v>
      </c>
      <c r="P151" s="131"/>
      <c r="Q151" s="141" t="n">
        <f aca="false">Q150</f>
        <v>0.17</v>
      </c>
      <c r="R151" s="129" t="n">
        <f aca="false">Q151+Summary!$C$26</f>
        <v>0.17</v>
      </c>
      <c r="S151" s="129"/>
      <c r="T151" s="132" t="n">
        <f aca="false">X151</f>
        <v>44470</v>
      </c>
      <c r="U151" s="133" t="n">
        <f aca="false">T151-$C$3</f>
        <v>7465</v>
      </c>
      <c r="W151" s="61" t="n">
        <f aca="false">A152-A151</f>
        <v>31</v>
      </c>
      <c r="X151" s="135" t="n">
        <f aca="false">CHOOSE(F$3,A152+24,A151)</f>
        <v>44470</v>
      </c>
      <c r="Y151" s="61" t="n">
        <f aca="false">X151-C$3</f>
        <v>7465</v>
      </c>
      <c r="Z151" s="136" t="n">
        <f aca="false">VLOOKUP($A151,[1]!CurveTable,MATCH($Z$4,[1]!CurveType,0))</f>
        <v>0.0672135041228725</v>
      </c>
      <c r="AA151" s="137" t="n">
        <f aca="false">1/(1+CHOOSE(F$3,(Z152+($K$3/10000))/2,(Z151+($K$3/10000))/2))^(2*Y151/365.25)</f>
        <v>0.2589462373178</v>
      </c>
      <c r="AB151" s="61" t="n">
        <f aca="false">IF(AND(mthbeg&lt;=A151,mthend&gt;=A151),1,0)</f>
        <v>1</v>
      </c>
      <c r="AC151" s="61" t="n">
        <f aca="false">W151*AB151</f>
        <v>31</v>
      </c>
      <c r="AD151" s="121" t="n">
        <f aca="false">$D151*E151</f>
        <v>9265776.56020184</v>
      </c>
      <c r="AE151" s="121" t="n">
        <f aca="false">$D151*F151</f>
        <v>0</v>
      </c>
      <c r="AF151" s="121" t="n">
        <f aca="false">$D151*G151</f>
        <v>9265776.56020184</v>
      </c>
      <c r="AG151" s="121" t="n">
        <f aca="false">$D151*H151</f>
        <v>0</v>
      </c>
      <c r="AH151" s="121" t="n">
        <f aca="false">$D151*I151</f>
        <v>0</v>
      </c>
      <c r="AI151" s="121" t="n">
        <f aca="false">$D151*J151</f>
        <v>0</v>
      </c>
      <c r="AJ151" s="121" t="n">
        <f aca="false">$D151*K151</f>
        <v>0</v>
      </c>
      <c r="AK151" s="121" t="n">
        <f aca="false">$D151*L151</f>
        <v>0</v>
      </c>
      <c r="AL151" s="121" t="n">
        <f aca="false">$D151*M151</f>
        <v>0</v>
      </c>
      <c r="AM151" s="139"/>
      <c r="AO151" s="75" t="e">
        <f aca="false">EURO(N151,O151,Z151,Z151,R151,U151,1,0)</f>
        <v>#NAME?</v>
      </c>
      <c r="AP151" s="138" t="e">
        <f aca="false">AO151*C151</f>
        <v>#NAME?</v>
      </c>
      <c r="AQ151" s="61" t="e">
        <f aca="false">EURO(N151,O151,Z151,Z151,R151,U151,1,1)</f>
        <v>#NAME?</v>
      </c>
      <c r="AR151" s="61" t="e">
        <f aca="false">AQ151+Put!AQ151</f>
        <v>#NAME?</v>
      </c>
      <c r="AS151" s="138" t="e">
        <f aca="false">AR151*C151</f>
        <v>#NAME?</v>
      </c>
      <c r="AT151" s="120" t="e">
        <f aca="false">AS151/10000</f>
        <v>#NAME?</v>
      </c>
    </row>
    <row r="152" customFormat="false" ht="12.75" hidden="false" customHeight="false" outlineLevel="0" collapsed="false">
      <c r="A152" s="127" t="n">
        <f aca="false">EDATE(A151,1)</f>
        <v>44501</v>
      </c>
      <c r="B152" s="128" t="n">
        <f aca="false">B151</f>
        <v>205479</v>
      </c>
      <c r="C152" s="116" t="n">
        <f aca="false">IF(AB152=0,0,IF(AND(AB152=1,$H$3=1),B152*W152,IF($H$3=2,B152,"N/A")))</f>
        <v>6164370</v>
      </c>
      <c r="D152" s="116" t="n">
        <f aca="false">C152*AA152</f>
        <v>1587089.55396751</v>
      </c>
      <c r="E152" s="129" t="n">
        <f aca="false">VLOOKUP($A152,[1]!CurveTable,MATCH($E$4,[1]!CurveType,0))</f>
        <v>5.7275</v>
      </c>
      <c r="F152" s="130"/>
      <c r="G152" s="131" t="n">
        <f aca="false">E152</f>
        <v>5.7275</v>
      </c>
      <c r="H152" s="129" t="n">
        <f aca="false">VLOOKUP($A152,[1]!CurveTable,MATCH($H$4,[1]!CurveType,0))</f>
        <v>0</v>
      </c>
      <c r="I152" s="131"/>
      <c r="J152" s="131" t="n">
        <f aca="false">H152</f>
        <v>0</v>
      </c>
      <c r="K152" s="129"/>
      <c r="L152" s="131"/>
      <c r="M152" s="131"/>
      <c r="N152" s="131" t="n">
        <f aca="false">G152+J152+M152+$N$7</f>
        <v>5.4375</v>
      </c>
      <c r="O152" s="131" t="n">
        <f aca="false">Summary!$E$16</f>
        <v>9.81903240236408</v>
      </c>
      <c r="P152" s="131"/>
      <c r="Q152" s="141" t="n">
        <f aca="false">Q151</f>
        <v>0.17</v>
      </c>
      <c r="R152" s="129" t="n">
        <f aca="false">Q152+Summary!$C$26</f>
        <v>0.17</v>
      </c>
      <c r="S152" s="129"/>
      <c r="T152" s="132" t="n">
        <f aca="false">X152</f>
        <v>44501</v>
      </c>
      <c r="U152" s="133" t="n">
        <f aca="false">T152-$C$3</f>
        <v>7496</v>
      </c>
      <c r="W152" s="61" t="n">
        <f aca="false">A153-A152</f>
        <v>30</v>
      </c>
      <c r="X152" s="135" t="n">
        <f aca="false">CHOOSE(F$3,A153+24,A152)</f>
        <v>44501</v>
      </c>
      <c r="Y152" s="61" t="n">
        <f aca="false">X152-C$3</f>
        <v>7496</v>
      </c>
      <c r="Z152" s="136" t="n">
        <f aca="false">VLOOKUP($A152,[1]!CurveTable,MATCH($Z$4,[1]!CurveType,0))</f>
        <v>0.0672204734636948</v>
      </c>
      <c r="AA152" s="137" t="n">
        <f aca="false">1/(1+CHOOSE(F$3,(Z153+($K$3/10000))/2,(Z152+($K$3/10000))/2))^(2*Y152/365.25)</f>
        <v>0.257461760726158</v>
      </c>
      <c r="AB152" s="61" t="n">
        <f aca="false">IF(AND(mthbeg&lt;=A152,mthend&gt;=A152),1,0)</f>
        <v>1</v>
      </c>
      <c r="AC152" s="61" t="n">
        <f aca="false">W152*AB152</f>
        <v>30</v>
      </c>
      <c r="AD152" s="121" t="n">
        <f aca="false">$D152*E152</f>
        <v>9090055.42034889</v>
      </c>
      <c r="AE152" s="121" t="n">
        <f aca="false">$D152*F152</f>
        <v>0</v>
      </c>
      <c r="AF152" s="121" t="n">
        <f aca="false">$D152*G152</f>
        <v>9090055.42034889</v>
      </c>
      <c r="AG152" s="121" t="n">
        <f aca="false">$D152*H152</f>
        <v>0</v>
      </c>
      <c r="AH152" s="121" t="n">
        <f aca="false">$D152*I152</f>
        <v>0</v>
      </c>
      <c r="AI152" s="121" t="n">
        <f aca="false">$D152*J152</f>
        <v>0</v>
      </c>
      <c r="AJ152" s="121" t="n">
        <f aca="false">$D152*K152</f>
        <v>0</v>
      </c>
      <c r="AK152" s="121" t="n">
        <f aca="false">$D152*L152</f>
        <v>0</v>
      </c>
      <c r="AL152" s="121" t="n">
        <f aca="false">$D152*M152</f>
        <v>0</v>
      </c>
      <c r="AM152" s="139"/>
      <c r="AO152" s="75" t="e">
        <f aca="false">EURO(N152,O152,Z152,Z152,R152,U152,1,0)</f>
        <v>#NAME?</v>
      </c>
      <c r="AP152" s="138" t="e">
        <f aca="false">AO152*C152</f>
        <v>#NAME?</v>
      </c>
      <c r="AQ152" s="61" t="e">
        <f aca="false">EURO(N152,O152,Z152,Z152,R152,U152,1,1)</f>
        <v>#NAME?</v>
      </c>
      <c r="AR152" s="61" t="e">
        <f aca="false">AQ152+Put!AQ152</f>
        <v>#NAME?</v>
      </c>
      <c r="AS152" s="138" t="e">
        <f aca="false">AR152*C152</f>
        <v>#NAME?</v>
      </c>
      <c r="AT152" s="120" t="e">
        <f aca="false">AS152/10000</f>
        <v>#NAME?</v>
      </c>
    </row>
    <row r="153" customFormat="false" ht="12.75" hidden="false" customHeight="false" outlineLevel="0" collapsed="false">
      <c r="A153" s="127" t="n">
        <f aca="false">EDATE(A152,1)</f>
        <v>44531</v>
      </c>
      <c r="B153" s="128" t="n">
        <f aca="false">B152</f>
        <v>205479</v>
      </c>
      <c r="C153" s="116" t="n">
        <f aca="false">IF(AB153=0,0,IF(AND(AB153=1,$H$3=1),B153*W153,IF($H$3=2,B153,"N/A")))</f>
        <v>6369849</v>
      </c>
      <c r="D153" s="116" t="n">
        <f aca="false">C153*AA153</f>
        <v>1630891.51632387</v>
      </c>
      <c r="E153" s="129" t="n">
        <f aca="false">VLOOKUP($A153,[1]!CurveTable,MATCH($E$4,[1]!CurveType,0))</f>
        <v>5.8475</v>
      </c>
      <c r="F153" s="130"/>
      <c r="G153" s="131" t="n">
        <f aca="false">E153</f>
        <v>5.8475</v>
      </c>
      <c r="H153" s="129" t="n">
        <f aca="false">VLOOKUP($A153,[1]!CurveTable,MATCH($H$4,[1]!CurveType,0))</f>
        <v>0</v>
      </c>
      <c r="I153" s="131"/>
      <c r="J153" s="131" t="n">
        <f aca="false">H153</f>
        <v>0</v>
      </c>
      <c r="K153" s="129"/>
      <c r="L153" s="131"/>
      <c r="M153" s="131"/>
      <c r="N153" s="131" t="n">
        <f aca="false">G153+J153+M153+$N$7</f>
        <v>5.5575</v>
      </c>
      <c r="O153" s="131" t="n">
        <f aca="false">Summary!$E$16</f>
        <v>9.81903240236408</v>
      </c>
      <c r="P153" s="131"/>
      <c r="Q153" s="141" t="n">
        <f aca="false">Q152</f>
        <v>0.17</v>
      </c>
      <c r="R153" s="129" t="n">
        <f aca="false">Q153+Summary!$C$26</f>
        <v>0.17</v>
      </c>
      <c r="S153" s="129"/>
      <c r="T153" s="132" t="n">
        <f aca="false">X153</f>
        <v>44531</v>
      </c>
      <c r="U153" s="133" t="n">
        <f aca="false">T153-$C$3</f>
        <v>7526</v>
      </c>
      <c r="W153" s="61" t="n">
        <f aca="false">A154-A153</f>
        <v>31</v>
      </c>
      <c r="X153" s="135" t="n">
        <f aca="false">CHOOSE(F$3,A154+24,A153)</f>
        <v>44531</v>
      </c>
      <c r="Y153" s="61" t="n">
        <f aca="false">X153-C$3</f>
        <v>7526</v>
      </c>
      <c r="Z153" s="136" t="n">
        <f aca="false">VLOOKUP($A153,[1]!CurveTable,MATCH($Z$4,[1]!CurveType,0))</f>
        <v>0.0672272179870856</v>
      </c>
      <c r="AA153" s="137" t="n">
        <f aca="false">1/(1+CHOOSE(F$3,(Z154+($K$3/10000))/2,(Z153+($K$3/10000))/2))^(2*Y153/365.25)</f>
        <v>0.256032994867518</v>
      </c>
      <c r="AB153" s="61" t="n">
        <f aca="false">IF(AND(mthbeg&lt;=A153,mthend&gt;=A153),1,0)</f>
        <v>1</v>
      </c>
      <c r="AC153" s="61" t="n">
        <f aca="false">W153*AB153</f>
        <v>31</v>
      </c>
      <c r="AD153" s="121" t="n">
        <f aca="false">$D153*E153</f>
        <v>9536638.1417038</v>
      </c>
      <c r="AE153" s="121" t="n">
        <f aca="false">$D153*F153</f>
        <v>0</v>
      </c>
      <c r="AF153" s="121" t="n">
        <f aca="false">$D153*G153</f>
        <v>9536638.1417038</v>
      </c>
      <c r="AG153" s="121" t="n">
        <f aca="false">$D153*H153</f>
        <v>0</v>
      </c>
      <c r="AH153" s="121" t="n">
        <f aca="false">$D153*I153</f>
        <v>0</v>
      </c>
      <c r="AI153" s="121" t="n">
        <f aca="false">$D153*J153</f>
        <v>0</v>
      </c>
      <c r="AJ153" s="121" t="n">
        <f aca="false">$D153*K153</f>
        <v>0</v>
      </c>
      <c r="AK153" s="121" t="n">
        <f aca="false">$D153*L153</f>
        <v>0</v>
      </c>
      <c r="AL153" s="121" t="n">
        <f aca="false">$D153*M153</f>
        <v>0</v>
      </c>
      <c r="AM153" s="139"/>
      <c r="AO153" s="75" t="e">
        <f aca="false">EURO(N153,O153,Z153,Z153,R153,U153,1,0)</f>
        <v>#NAME?</v>
      </c>
      <c r="AP153" s="138" t="e">
        <f aca="false">AO153*C153</f>
        <v>#NAME?</v>
      </c>
      <c r="AQ153" s="61" t="e">
        <f aca="false">EURO(N153,O153,Z153,Z153,R153,U153,1,1)</f>
        <v>#NAME?</v>
      </c>
      <c r="AR153" s="61" t="e">
        <f aca="false">AQ153+Put!AQ153</f>
        <v>#NAME?</v>
      </c>
      <c r="AS153" s="138" t="e">
        <f aca="false">AR153*C153</f>
        <v>#NAME?</v>
      </c>
      <c r="AT153" s="120" t="e">
        <f aca="false">AS153/10000</f>
        <v>#NAME?</v>
      </c>
    </row>
    <row r="154" customFormat="false" ht="12.75" hidden="false" customHeight="false" outlineLevel="0" collapsed="false">
      <c r="A154" s="127" t="n">
        <f aca="false">EDATE(A153,1)</f>
        <v>44562</v>
      </c>
      <c r="B154" s="128" t="n">
        <f aca="false">B153</f>
        <v>205479</v>
      </c>
      <c r="C154" s="116" t="n">
        <f aca="false">IF(AB154=0,0,IF(AND(AB154=1,$H$3=1),B154*W154,IF($H$3=2,B154,"N/A")))</f>
        <v>6369849</v>
      </c>
      <c r="D154" s="116" t="n">
        <f aca="false">C154*AA154</f>
        <v>1621538.35640974</v>
      </c>
      <c r="E154" s="129" t="n">
        <f aca="false">VLOOKUP($A154,[1]!CurveTable,MATCH($E$4,[1]!CurveType,0))</f>
        <v>5.9375</v>
      </c>
      <c r="F154" s="130"/>
      <c r="G154" s="131" t="n">
        <f aca="false">E154</f>
        <v>5.9375</v>
      </c>
      <c r="H154" s="129" t="n">
        <f aca="false">VLOOKUP($A154,[1]!CurveTable,MATCH($H$4,[1]!CurveType,0))</f>
        <v>0</v>
      </c>
      <c r="I154" s="131"/>
      <c r="J154" s="131" t="n">
        <f aca="false">H154</f>
        <v>0</v>
      </c>
      <c r="K154" s="129"/>
      <c r="L154" s="131"/>
      <c r="M154" s="131"/>
      <c r="N154" s="131" t="n">
        <f aca="false">G154+J154+M154+$N$7</f>
        <v>5.6475</v>
      </c>
      <c r="O154" s="131" t="n">
        <f aca="false">Summary!$E$16</f>
        <v>9.81903240236408</v>
      </c>
      <c r="P154" s="131"/>
      <c r="Q154" s="141" t="n">
        <f aca="false">Q153</f>
        <v>0.17</v>
      </c>
      <c r="R154" s="129" t="n">
        <f aca="false">Q154+Summary!$C$26</f>
        <v>0.17</v>
      </c>
      <c r="S154" s="129"/>
      <c r="T154" s="132" t="n">
        <f aca="false">X154</f>
        <v>44562</v>
      </c>
      <c r="U154" s="133" t="n">
        <f aca="false">T154-$C$3</f>
        <v>7557</v>
      </c>
      <c r="W154" s="61" t="n">
        <f aca="false">A155-A154</f>
        <v>31</v>
      </c>
      <c r="X154" s="135" t="n">
        <f aca="false">CHOOSE(F$3,A155+24,A154)</f>
        <v>44562</v>
      </c>
      <c r="Y154" s="61" t="n">
        <f aca="false">X154-C$3</f>
        <v>7557</v>
      </c>
      <c r="Z154" s="136" t="n">
        <f aca="false">VLOOKUP($A154,[1]!CurveTable,MATCH($Z$4,[1]!CurveType,0))</f>
        <v>0.0672341873279385</v>
      </c>
      <c r="AA154" s="137" t="n">
        <f aca="false">1/(1+CHOOSE(F$3,(Z155+($K$3/10000))/2,(Z154+($K$3/10000))/2))^(2*Y154/365.25)</f>
        <v>0.254564646102245</v>
      </c>
      <c r="AB154" s="61" t="n">
        <f aca="false">IF(AND(mthbeg&lt;=A154,mthend&gt;=A154),1,0)</f>
        <v>1</v>
      </c>
      <c r="AC154" s="61" t="n">
        <f aca="false">W154*AB154</f>
        <v>31</v>
      </c>
      <c r="AD154" s="121" t="n">
        <f aca="false">$D154*E154</f>
        <v>9627883.99118284</v>
      </c>
      <c r="AE154" s="121" t="n">
        <f aca="false">$D154*F154</f>
        <v>0</v>
      </c>
      <c r="AF154" s="121" t="n">
        <f aca="false">$D154*G154</f>
        <v>9627883.99118284</v>
      </c>
      <c r="AG154" s="121" t="n">
        <f aca="false">$D154*H154</f>
        <v>0</v>
      </c>
      <c r="AH154" s="121" t="n">
        <f aca="false">$D154*I154</f>
        <v>0</v>
      </c>
      <c r="AI154" s="121" t="n">
        <f aca="false">$D154*J154</f>
        <v>0</v>
      </c>
      <c r="AJ154" s="121" t="n">
        <f aca="false">$D154*K154</f>
        <v>0</v>
      </c>
      <c r="AK154" s="121" t="n">
        <f aca="false">$D154*L154</f>
        <v>0</v>
      </c>
      <c r="AL154" s="121" t="n">
        <f aca="false">$D154*M154</f>
        <v>0</v>
      </c>
      <c r="AM154" s="139"/>
      <c r="AO154" s="75" t="e">
        <f aca="false">EURO(N154,O154,Z154,Z154,R154,U154,1,0)</f>
        <v>#NAME?</v>
      </c>
      <c r="AP154" s="138" t="e">
        <f aca="false">AO154*C154</f>
        <v>#NAME?</v>
      </c>
      <c r="AQ154" s="61" t="e">
        <f aca="false">EURO(N154,O154,Z154,Z154,R154,U154,1,1)</f>
        <v>#NAME?</v>
      </c>
      <c r="AR154" s="61" t="e">
        <f aca="false">AQ154+Put!AQ154</f>
        <v>#NAME?</v>
      </c>
      <c r="AS154" s="138" t="e">
        <f aca="false">AR154*C154</f>
        <v>#NAME?</v>
      </c>
      <c r="AT154" s="120" t="e">
        <f aca="false">AS154/10000</f>
        <v>#NAME?</v>
      </c>
    </row>
    <row r="155" customFormat="false" ht="12.75" hidden="false" customHeight="false" outlineLevel="0" collapsed="false">
      <c r="A155" s="127" t="n">
        <f aca="false">EDATE(A154,1)</f>
        <v>44593</v>
      </c>
      <c r="B155" s="128" t="n">
        <f aca="false">B154</f>
        <v>205479</v>
      </c>
      <c r="C155" s="116" t="n">
        <f aca="false">IF(AB155=0,0,IF(AND(AB155=1,$H$3=1),B155*W155,IF($H$3=2,B155,"N/A")))</f>
        <v>5753412</v>
      </c>
      <c r="D155" s="116" t="n">
        <f aca="false">C155*AA155</f>
        <v>1456214.05758583</v>
      </c>
      <c r="E155" s="129" t="n">
        <f aca="false">VLOOKUP($A155,[1]!CurveTable,MATCH($E$4,[1]!CurveType,0))</f>
        <v>5.8175</v>
      </c>
      <c r="F155" s="130"/>
      <c r="G155" s="131" t="n">
        <f aca="false">E155</f>
        <v>5.8175</v>
      </c>
      <c r="H155" s="129" t="n">
        <f aca="false">VLOOKUP($A155,[1]!CurveTable,MATCH($H$4,[1]!CurveType,0))</f>
        <v>0</v>
      </c>
      <c r="I155" s="131"/>
      <c r="J155" s="131" t="n">
        <f aca="false">H155</f>
        <v>0</v>
      </c>
      <c r="K155" s="129"/>
      <c r="L155" s="131"/>
      <c r="M155" s="131"/>
      <c r="N155" s="131" t="n">
        <f aca="false">G155+J155+M155+$N$7</f>
        <v>5.5275</v>
      </c>
      <c r="O155" s="131" t="n">
        <f aca="false">Summary!$E$16</f>
        <v>9.81903240236408</v>
      </c>
      <c r="P155" s="131"/>
      <c r="Q155" s="141" t="n">
        <f aca="false">Q154</f>
        <v>0.17</v>
      </c>
      <c r="R155" s="129" t="n">
        <f aca="false">Q155+Summary!$C$26</f>
        <v>0.17</v>
      </c>
      <c r="S155" s="129"/>
      <c r="T155" s="132" t="n">
        <f aca="false">X155</f>
        <v>44593</v>
      </c>
      <c r="U155" s="133" t="n">
        <f aca="false">T155-$C$3</f>
        <v>7588</v>
      </c>
      <c r="W155" s="61" t="n">
        <f aca="false">A156-A155</f>
        <v>28</v>
      </c>
      <c r="X155" s="135" t="n">
        <f aca="false">CHOOSE(F$3,A156+24,A155)</f>
        <v>44593</v>
      </c>
      <c r="Y155" s="61" t="n">
        <f aca="false">X155-C$3</f>
        <v>7588</v>
      </c>
      <c r="Z155" s="136" t="n">
        <f aca="false">VLOOKUP($A155,[1]!CurveTable,MATCH($Z$4,[1]!CurveType,0))</f>
        <v>0.0672411566688083</v>
      </c>
      <c r="AA155" s="137" t="n">
        <f aca="false">1/(1+CHOOSE(F$3,(Z156+($K$3/10000))/2,(Z155+($K$3/10000))/2))^(2*Y155/365.25)</f>
        <v>0.253104428743472</v>
      </c>
      <c r="AB155" s="61" t="n">
        <f aca="false">IF(AND(mthbeg&lt;=A155,mthend&gt;=A155),1,0)</f>
        <v>1</v>
      </c>
      <c r="AC155" s="61" t="n">
        <f aca="false">W155*AB155</f>
        <v>28</v>
      </c>
      <c r="AD155" s="121" t="n">
        <f aca="false">$D155*E155</f>
        <v>8471525.28000559</v>
      </c>
      <c r="AE155" s="121" t="n">
        <f aca="false">$D155*F155</f>
        <v>0</v>
      </c>
      <c r="AF155" s="121" t="n">
        <f aca="false">$D155*G155</f>
        <v>8471525.28000559</v>
      </c>
      <c r="AG155" s="121" t="n">
        <f aca="false">$D155*H155</f>
        <v>0</v>
      </c>
      <c r="AH155" s="121" t="n">
        <f aca="false">$D155*I155</f>
        <v>0</v>
      </c>
      <c r="AI155" s="121" t="n">
        <f aca="false">$D155*J155</f>
        <v>0</v>
      </c>
      <c r="AJ155" s="121" t="n">
        <f aca="false">$D155*K155</f>
        <v>0</v>
      </c>
      <c r="AK155" s="121" t="n">
        <f aca="false">$D155*L155</f>
        <v>0</v>
      </c>
      <c r="AL155" s="121" t="n">
        <f aca="false">$D155*M155</f>
        <v>0</v>
      </c>
      <c r="AM155" s="139"/>
      <c r="AO155" s="75" t="e">
        <f aca="false">EURO(N155,O155,Z155,Z155,R155,U155,1,0)</f>
        <v>#NAME?</v>
      </c>
      <c r="AP155" s="138" t="e">
        <f aca="false">AO155*C155</f>
        <v>#NAME?</v>
      </c>
      <c r="AQ155" s="61" t="e">
        <f aca="false">EURO(N155,O155,Z155,Z155,R155,U155,1,1)</f>
        <v>#NAME?</v>
      </c>
      <c r="AR155" s="61" t="e">
        <f aca="false">AQ155+Put!AQ155</f>
        <v>#NAME?</v>
      </c>
      <c r="AS155" s="138" t="e">
        <f aca="false">AR155*C155</f>
        <v>#NAME?</v>
      </c>
      <c r="AT155" s="120" t="e">
        <f aca="false">AS155/10000</f>
        <v>#NAME?</v>
      </c>
    </row>
    <row r="156" customFormat="false" ht="12.75" hidden="false" customHeight="false" outlineLevel="0" collapsed="false">
      <c r="A156" s="127" t="n">
        <f aca="false">EDATE(A155,1)</f>
        <v>44621</v>
      </c>
      <c r="B156" s="128" t="n">
        <f aca="false">B155</f>
        <v>205479</v>
      </c>
      <c r="C156" s="116" t="n">
        <f aca="false">IF(AB156=0,0,IF(AND(AB156=1,$H$3=1),B156*W156,IF($H$3=2,B156,"N/A")))</f>
        <v>6369849</v>
      </c>
      <c r="D156" s="116" t="n">
        <f aca="false">C156*AA156</f>
        <v>1603880.05037356</v>
      </c>
      <c r="E156" s="129" t="n">
        <f aca="false">VLOOKUP($A156,[1]!CurveTable,MATCH($E$4,[1]!CurveType,0))</f>
        <v>5.6785</v>
      </c>
      <c r="F156" s="130"/>
      <c r="G156" s="131" t="n">
        <f aca="false">E156</f>
        <v>5.6785</v>
      </c>
      <c r="H156" s="129" t="n">
        <f aca="false">H155</f>
        <v>0</v>
      </c>
      <c r="I156" s="131"/>
      <c r="J156" s="131" t="n">
        <f aca="false">H156</f>
        <v>0</v>
      </c>
      <c r="K156" s="129"/>
      <c r="L156" s="131"/>
      <c r="M156" s="131"/>
      <c r="N156" s="131" t="n">
        <f aca="false">G156+J156+M156+$N$7</f>
        <v>5.3885</v>
      </c>
      <c r="O156" s="131" t="n">
        <f aca="false">Summary!$E$16</f>
        <v>9.81903240236408</v>
      </c>
      <c r="P156" s="131"/>
      <c r="Q156" s="141" t="n">
        <f aca="false">Q155</f>
        <v>0.17</v>
      </c>
      <c r="R156" s="129" t="n">
        <f aca="false">Q156+Summary!$C$26</f>
        <v>0.17</v>
      </c>
      <c r="S156" s="129"/>
      <c r="T156" s="132" t="n">
        <f aca="false">X156</f>
        <v>44621</v>
      </c>
      <c r="U156" s="133" t="n">
        <f aca="false">T156-$C$3</f>
        <v>7616</v>
      </c>
      <c r="W156" s="61" t="n">
        <f aca="false">A157-A156</f>
        <v>31</v>
      </c>
      <c r="X156" s="135" t="n">
        <f aca="false">CHOOSE(F$3,A157+24,A156)</f>
        <v>44621</v>
      </c>
      <c r="Y156" s="61" t="n">
        <f aca="false">X156-C$3</f>
        <v>7616</v>
      </c>
      <c r="Z156" s="136" t="n">
        <f aca="false">VLOOKUP($A156,[1]!CurveTable,MATCH($Z$4,[1]!CurveType,0))</f>
        <v>0.0672474515573494</v>
      </c>
      <c r="AA156" s="137" t="n">
        <f aca="false">1/(1+CHOOSE(F$3,(Z157+($K$3/10000))/2,(Z156+($K$3/10000))/2))^(2*Y156/365.25)</f>
        <v>0.251792475830049</v>
      </c>
      <c r="AB156" s="61" t="n">
        <f aca="false">IF(AND(mthbeg&lt;=A156,mthend&gt;=A156),1,0)</f>
        <v>1</v>
      </c>
      <c r="AC156" s="61" t="n">
        <f aca="false">W156*AB156</f>
        <v>31</v>
      </c>
      <c r="AD156" s="121" t="n">
        <f aca="false">$D156*E156</f>
        <v>9107632.86604628</v>
      </c>
      <c r="AE156" s="121" t="n">
        <f aca="false">$D156*F156</f>
        <v>0</v>
      </c>
      <c r="AF156" s="121" t="n">
        <f aca="false">$D156*G156</f>
        <v>9107632.86604628</v>
      </c>
      <c r="AG156" s="121" t="n">
        <f aca="false">$D156*H156</f>
        <v>0</v>
      </c>
      <c r="AH156" s="121" t="n">
        <f aca="false">$D156*I156</f>
        <v>0</v>
      </c>
      <c r="AI156" s="121" t="n">
        <f aca="false">$D156*J156</f>
        <v>0</v>
      </c>
      <c r="AJ156" s="121" t="n">
        <f aca="false">$D156*K156</f>
        <v>0</v>
      </c>
      <c r="AK156" s="121" t="n">
        <f aca="false">$D156*L156</f>
        <v>0</v>
      </c>
      <c r="AL156" s="121" t="n">
        <f aca="false">$D156*M156</f>
        <v>0</v>
      </c>
      <c r="AM156" s="139"/>
      <c r="AO156" s="75" t="e">
        <f aca="false">EURO(N156,O156,Z156,Z156,R156,U156,1,0)</f>
        <v>#NAME?</v>
      </c>
      <c r="AP156" s="138" t="e">
        <f aca="false">AO156*C156</f>
        <v>#NAME?</v>
      </c>
      <c r="AQ156" s="61" t="e">
        <f aca="false">EURO(N156,O156,Z156,Z156,R156,U156,1,1)</f>
        <v>#NAME?</v>
      </c>
      <c r="AR156" s="61" t="e">
        <f aca="false">AQ156+Put!AQ156</f>
        <v>#NAME?</v>
      </c>
      <c r="AS156" s="138" t="e">
        <f aca="false">AR156*C156</f>
        <v>#NAME?</v>
      </c>
      <c r="AT156" s="120" t="e">
        <f aca="false">AS156/10000</f>
        <v>#NAME?</v>
      </c>
    </row>
    <row r="157" customFormat="false" ht="12.75" hidden="false" customHeight="false" outlineLevel="0" collapsed="false">
      <c r="A157" s="127" t="n">
        <f aca="false">EDATE(A156,1)</f>
        <v>44652</v>
      </c>
      <c r="B157" s="128" t="n">
        <f aca="false">B156</f>
        <v>205479</v>
      </c>
      <c r="C157" s="116" t="n">
        <f aca="false">IF(AB157=0,0,IF(AND(AB157=1,$H$3=1),B157*W157,IF($H$3=2,B157,"N/A")))</f>
        <v>6164370</v>
      </c>
      <c r="D157" s="116" t="n">
        <f aca="false">C157*AA157</f>
        <v>1543235.32688359</v>
      </c>
      <c r="E157" s="129" t="n">
        <f aca="false">VLOOKUP($A157,[1]!CurveTable,MATCH($E$4,[1]!CurveType,0))</f>
        <v>5.5085</v>
      </c>
      <c r="F157" s="130"/>
      <c r="G157" s="131" t="n">
        <f aca="false">E157</f>
        <v>5.5085</v>
      </c>
      <c r="H157" s="129" t="n">
        <f aca="false">H156</f>
        <v>0</v>
      </c>
      <c r="I157" s="131"/>
      <c r="J157" s="131" t="n">
        <f aca="false">H157</f>
        <v>0</v>
      </c>
      <c r="K157" s="129"/>
      <c r="L157" s="131"/>
      <c r="M157" s="131"/>
      <c r="N157" s="131" t="n">
        <f aca="false">G157+J157+M157+$N$7</f>
        <v>5.2185</v>
      </c>
      <c r="O157" s="131" t="n">
        <f aca="false">Summary!$E$16</f>
        <v>9.81903240236408</v>
      </c>
      <c r="P157" s="131"/>
      <c r="Q157" s="141" t="n">
        <f aca="false">Q156</f>
        <v>0.17</v>
      </c>
      <c r="R157" s="129" t="n">
        <f aca="false">Q157+Summary!$C$26</f>
        <v>0.17</v>
      </c>
      <c r="S157" s="129"/>
      <c r="T157" s="132" t="n">
        <f aca="false">X157</f>
        <v>44652</v>
      </c>
      <c r="U157" s="133" t="n">
        <f aca="false">T157-$C$3</f>
        <v>7647</v>
      </c>
      <c r="W157" s="61" t="n">
        <f aca="false">A158-A157</f>
        <v>30</v>
      </c>
      <c r="X157" s="135" t="n">
        <f aca="false">CHOOSE(F$3,A158+24,A157)</f>
        <v>44652</v>
      </c>
      <c r="Y157" s="61" t="n">
        <f aca="false">X157-C$3</f>
        <v>7647</v>
      </c>
      <c r="Z157" s="136" t="n">
        <f aca="false">VLOOKUP($A157,[1]!CurveTable,MATCH($Z$4,[1]!CurveType,0))</f>
        <v>0.0672544208982493</v>
      </c>
      <c r="AA157" s="137" t="n">
        <f aca="false">1/(1+CHOOSE(F$3,(Z158+($K$3/10000))/2,(Z157+($K$3/10000))/2))^(2*Y157/365.25)</f>
        <v>0.250347614903646</v>
      </c>
      <c r="AB157" s="61" t="n">
        <f aca="false">IF(AND(mthbeg&lt;=A157,mthend&gt;=A157),1,0)</f>
        <v>1</v>
      </c>
      <c r="AC157" s="61" t="n">
        <f aca="false">W157*AB157</f>
        <v>30</v>
      </c>
      <c r="AD157" s="121" t="n">
        <f aca="false">$D157*E157</f>
        <v>8500911.79813826</v>
      </c>
      <c r="AE157" s="121" t="n">
        <f aca="false">$D157*F157</f>
        <v>0</v>
      </c>
      <c r="AF157" s="121" t="n">
        <f aca="false">$D157*G157</f>
        <v>8500911.79813826</v>
      </c>
      <c r="AG157" s="121" t="n">
        <f aca="false">$D157*H157</f>
        <v>0</v>
      </c>
      <c r="AH157" s="121" t="n">
        <f aca="false">$D157*I157</f>
        <v>0</v>
      </c>
      <c r="AI157" s="121" t="n">
        <f aca="false">$D157*J157</f>
        <v>0</v>
      </c>
      <c r="AJ157" s="121" t="n">
        <f aca="false">$D157*K157</f>
        <v>0</v>
      </c>
      <c r="AK157" s="121" t="n">
        <f aca="false">$D157*L157</f>
        <v>0</v>
      </c>
      <c r="AL157" s="121" t="n">
        <f aca="false">$D157*M157</f>
        <v>0</v>
      </c>
      <c r="AM157" s="139"/>
      <c r="AO157" s="75" t="e">
        <f aca="false">EURO(N157,O157,Z157,Z157,R157,U157,1,0)</f>
        <v>#NAME?</v>
      </c>
      <c r="AP157" s="138" t="e">
        <f aca="false">AO157*C157</f>
        <v>#NAME?</v>
      </c>
      <c r="AQ157" s="61" t="e">
        <f aca="false">EURO(N157,O157,Z157,Z157,R157,U157,1,1)</f>
        <v>#NAME?</v>
      </c>
      <c r="AR157" s="61" t="e">
        <f aca="false">AQ157+Put!AQ157</f>
        <v>#NAME?</v>
      </c>
      <c r="AS157" s="138" t="e">
        <f aca="false">AR157*C157</f>
        <v>#NAME?</v>
      </c>
      <c r="AT157" s="120" t="e">
        <f aca="false">AS157/10000</f>
        <v>#NAME?</v>
      </c>
    </row>
    <row r="158" customFormat="false" ht="12.75" hidden="false" customHeight="false" outlineLevel="0" collapsed="false">
      <c r="A158" s="127" t="n">
        <f aca="false">EDATE(A157,1)</f>
        <v>44682</v>
      </c>
      <c r="B158" s="128" t="n">
        <f aca="false">B157</f>
        <v>205479</v>
      </c>
      <c r="C158" s="116" t="n">
        <f aca="false">IF(AB158=0,0,IF(AND(AB158=1,$H$3=1),B158*W158,IF($H$3=2,B158,"N/A")))</f>
        <v>6369849</v>
      </c>
      <c r="D158" s="116" t="n">
        <f aca="false">C158*AA158</f>
        <v>1585818.40751359</v>
      </c>
      <c r="E158" s="129" t="n">
        <f aca="false">VLOOKUP($A158,[1]!CurveTable,MATCH($E$4,[1]!CurveType,0))</f>
        <v>5.5675</v>
      </c>
      <c r="F158" s="130"/>
      <c r="G158" s="131" t="n">
        <f aca="false">E158</f>
        <v>5.5675</v>
      </c>
      <c r="H158" s="129" t="n">
        <f aca="false">H157</f>
        <v>0</v>
      </c>
      <c r="I158" s="131"/>
      <c r="J158" s="131" t="n">
        <f aca="false">H158</f>
        <v>0</v>
      </c>
      <c r="K158" s="129"/>
      <c r="L158" s="131"/>
      <c r="M158" s="131"/>
      <c r="N158" s="131" t="n">
        <f aca="false">G158+J158+M158+$N$7</f>
        <v>5.2775</v>
      </c>
      <c r="O158" s="131" t="n">
        <f aca="false">Summary!$E$16</f>
        <v>9.81903240236408</v>
      </c>
      <c r="P158" s="131"/>
      <c r="Q158" s="141" t="n">
        <f aca="false">Q157</f>
        <v>0.17</v>
      </c>
      <c r="R158" s="129" t="n">
        <f aca="false">Q158+Summary!$C$26</f>
        <v>0.17</v>
      </c>
      <c r="S158" s="129"/>
      <c r="T158" s="132" t="n">
        <f aca="false">X158</f>
        <v>44682</v>
      </c>
      <c r="U158" s="133" t="n">
        <f aca="false">T158-$C$3</f>
        <v>7677</v>
      </c>
      <c r="W158" s="61" t="n">
        <f aca="false">A159-A158</f>
        <v>31</v>
      </c>
      <c r="X158" s="135" t="n">
        <f aca="false">CHOOSE(F$3,A159+24,A158)</f>
        <v>44682</v>
      </c>
      <c r="Y158" s="61" t="n">
        <f aca="false">X158-C$3</f>
        <v>7677</v>
      </c>
      <c r="Z158" s="136" t="n">
        <f aca="false">VLOOKUP($A158,[1]!CurveTable,MATCH($Z$4,[1]!CurveType,0))</f>
        <v>0.0672611654217161</v>
      </c>
      <c r="AA158" s="137" t="n">
        <f aca="false">1/(1+CHOOSE(F$3,(Z159+($K$3/10000))/2,(Z158+($K$3/10000))/2))^(2*Y158/365.25)</f>
        <v>0.248956985874169</v>
      </c>
      <c r="AB158" s="61" t="n">
        <f aca="false">IF(AND(mthbeg&lt;=A158,mthend&gt;=A158),1,0)</f>
        <v>1</v>
      </c>
      <c r="AC158" s="61" t="n">
        <f aca="false">W158*AB158</f>
        <v>31</v>
      </c>
      <c r="AD158" s="121" t="n">
        <f aca="false">$D158*E158</f>
        <v>8829043.98383191</v>
      </c>
      <c r="AE158" s="121" t="n">
        <f aca="false">$D158*F158</f>
        <v>0</v>
      </c>
      <c r="AF158" s="121" t="n">
        <f aca="false">$D158*G158</f>
        <v>8829043.98383191</v>
      </c>
      <c r="AG158" s="121" t="n">
        <f aca="false">$D158*H158</f>
        <v>0</v>
      </c>
      <c r="AH158" s="121" t="n">
        <f aca="false">$D158*I158</f>
        <v>0</v>
      </c>
      <c r="AI158" s="121" t="n">
        <f aca="false">$D158*J158</f>
        <v>0</v>
      </c>
      <c r="AJ158" s="121" t="n">
        <f aca="false">$D158*K158</f>
        <v>0</v>
      </c>
      <c r="AK158" s="121" t="n">
        <f aca="false">$D158*L158</f>
        <v>0</v>
      </c>
      <c r="AL158" s="121" t="n">
        <f aca="false">$D158*M158</f>
        <v>0</v>
      </c>
      <c r="AM158" s="139"/>
      <c r="AO158" s="75" t="e">
        <f aca="false">EURO(N158,O158,Z158,Z158,R158,U158,1,0)</f>
        <v>#NAME?</v>
      </c>
      <c r="AP158" s="138" t="e">
        <f aca="false">AO158*C158</f>
        <v>#NAME?</v>
      </c>
      <c r="AQ158" s="61" t="e">
        <f aca="false">EURO(N158,O158,Z158,Z158,R158,U158,1,1)</f>
        <v>#NAME?</v>
      </c>
      <c r="AR158" s="61" t="e">
        <f aca="false">AQ158+Put!AQ158</f>
        <v>#NAME?</v>
      </c>
      <c r="AS158" s="138" t="e">
        <f aca="false">AR158*C158</f>
        <v>#NAME?</v>
      </c>
      <c r="AT158" s="120" t="e">
        <f aca="false">AS158/10000</f>
        <v>#NAME?</v>
      </c>
    </row>
    <row r="159" customFormat="false" ht="12.75" hidden="false" customHeight="false" outlineLevel="0" collapsed="false">
      <c r="A159" s="127" t="n">
        <f aca="false">EDATE(A158,1)</f>
        <v>44713</v>
      </c>
      <c r="B159" s="128" t="n">
        <f aca="false">B158</f>
        <v>205479</v>
      </c>
      <c r="C159" s="116" t="n">
        <f aca="false">IF(AB159=0,0,IF(AND(AB159=1,$H$3=1),B159*W159,IF($H$3=2,B159,"N/A")))</f>
        <v>6164370</v>
      </c>
      <c r="D159" s="116" t="n">
        <f aca="false">C159*AA159</f>
        <v>1525853.18245582</v>
      </c>
      <c r="E159" s="129" t="n">
        <f aca="false">VLOOKUP($A159,[1]!CurveTable,MATCH($E$4,[1]!CurveType,0))</f>
        <v>5.6075</v>
      </c>
      <c r="F159" s="130"/>
      <c r="G159" s="131" t="n">
        <f aca="false">E159</f>
        <v>5.6075</v>
      </c>
      <c r="H159" s="129" t="n">
        <f aca="false">H158</f>
        <v>0</v>
      </c>
      <c r="I159" s="131"/>
      <c r="J159" s="131" t="n">
        <f aca="false">H159</f>
        <v>0</v>
      </c>
      <c r="K159" s="129"/>
      <c r="L159" s="131"/>
      <c r="M159" s="131"/>
      <c r="N159" s="131" t="n">
        <f aca="false">G159+J159+M159+$N$7</f>
        <v>5.3175</v>
      </c>
      <c r="O159" s="131" t="n">
        <f aca="false">Summary!$E$16</f>
        <v>9.81903240236408</v>
      </c>
      <c r="P159" s="131"/>
      <c r="Q159" s="141" t="n">
        <f aca="false">Q158</f>
        <v>0.17</v>
      </c>
      <c r="R159" s="129" t="n">
        <f aca="false">Q159+Summary!$C$26</f>
        <v>0.17</v>
      </c>
      <c r="S159" s="129"/>
      <c r="T159" s="132" t="n">
        <f aca="false">X159</f>
        <v>44713</v>
      </c>
      <c r="U159" s="133" t="n">
        <f aca="false">T159-$C$3</f>
        <v>7708</v>
      </c>
      <c r="W159" s="61" t="n">
        <f aca="false">A160-A159</f>
        <v>30</v>
      </c>
      <c r="X159" s="135" t="n">
        <f aca="false">CHOOSE(F$3,A160+24,A159)</f>
        <v>44713</v>
      </c>
      <c r="Y159" s="61" t="n">
        <f aca="false">X159-C$3</f>
        <v>7708</v>
      </c>
      <c r="Z159" s="136" t="n">
        <f aca="false">VLOOKUP($A159,[1]!CurveTable,MATCH($Z$4,[1]!CurveType,0))</f>
        <v>0.0672681347626476</v>
      </c>
      <c r="AA159" s="137" t="n">
        <f aca="false">1/(1+CHOOSE(F$3,(Z160+($K$3/10000))/2,(Z159+($K$3/10000))/2))^(2*Y159/365.25)</f>
        <v>0.247527838604078</v>
      </c>
      <c r="AB159" s="61" t="n">
        <f aca="false">IF(AND(mthbeg&lt;=A159,mthend&gt;=A159),1,0)</f>
        <v>1</v>
      </c>
      <c r="AC159" s="61" t="n">
        <f aca="false">W159*AB159</f>
        <v>30</v>
      </c>
      <c r="AD159" s="121" t="n">
        <f aca="false">$D159*E159</f>
        <v>8556221.72062101</v>
      </c>
      <c r="AE159" s="121" t="n">
        <f aca="false">$D159*F159</f>
        <v>0</v>
      </c>
      <c r="AF159" s="121" t="n">
        <f aca="false">$D159*G159</f>
        <v>8556221.72062101</v>
      </c>
      <c r="AG159" s="121" t="n">
        <f aca="false">$D159*H159</f>
        <v>0</v>
      </c>
      <c r="AH159" s="121" t="n">
        <f aca="false">$D159*I159</f>
        <v>0</v>
      </c>
      <c r="AI159" s="121" t="n">
        <f aca="false">$D159*J159</f>
        <v>0</v>
      </c>
      <c r="AJ159" s="121" t="n">
        <f aca="false">$D159*K159</f>
        <v>0</v>
      </c>
      <c r="AK159" s="121" t="n">
        <f aca="false">$D159*L159</f>
        <v>0</v>
      </c>
      <c r="AL159" s="121" t="n">
        <f aca="false">$D159*M159</f>
        <v>0</v>
      </c>
      <c r="AM159" s="139"/>
      <c r="AO159" s="75" t="e">
        <f aca="false">EURO(N159,O159,Z159,Z159,R159,U159,1,0)</f>
        <v>#NAME?</v>
      </c>
      <c r="AP159" s="138" t="e">
        <f aca="false">AO159*C159</f>
        <v>#NAME?</v>
      </c>
      <c r="AQ159" s="61" t="e">
        <f aca="false">EURO(N159,O159,Z159,Z159,R159,U159,1,1)</f>
        <v>#NAME?</v>
      </c>
      <c r="AR159" s="61" t="e">
        <f aca="false">AQ159+Put!AQ159</f>
        <v>#NAME?</v>
      </c>
      <c r="AS159" s="138" t="e">
        <f aca="false">AR159*C159</f>
        <v>#NAME?</v>
      </c>
      <c r="AT159" s="120" t="e">
        <f aca="false">AS159/10000</f>
        <v>#NAME?</v>
      </c>
    </row>
    <row r="160" customFormat="false" ht="12.75" hidden="false" customHeight="false" outlineLevel="0" collapsed="false">
      <c r="A160" s="127" t="n">
        <f aca="false">EDATE(A159,1)</f>
        <v>44743</v>
      </c>
      <c r="B160" s="128" t="n">
        <f aca="false">B159</f>
        <v>205479</v>
      </c>
      <c r="C160" s="116" t="n">
        <f aca="false">IF(AB160=0,0,IF(AND(AB160=1,$H$3=1),B160*W160,IF($H$3=2,B160,"N/A")))</f>
        <v>6369849</v>
      </c>
      <c r="D160" s="116" t="n">
        <f aca="false">C160*AA160</f>
        <v>1567953.21503587</v>
      </c>
      <c r="E160" s="129" t="n">
        <f aca="false">VLOOKUP($A160,[1]!CurveTable,MATCH($E$4,[1]!CurveType,0))</f>
        <v>5.6525</v>
      </c>
      <c r="F160" s="130"/>
      <c r="G160" s="131" t="n">
        <f aca="false">E160</f>
        <v>5.6525</v>
      </c>
      <c r="H160" s="129" t="n">
        <f aca="false">H159</f>
        <v>0</v>
      </c>
      <c r="I160" s="131"/>
      <c r="J160" s="131" t="n">
        <f aca="false">H160</f>
        <v>0</v>
      </c>
      <c r="K160" s="129"/>
      <c r="L160" s="131"/>
      <c r="M160" s="131"/>
      <c r="N160" s="131" t="n">
        <f aca="false">G160+J160+M160+$N$7</f>
        <v>5.3625</v>
      </c>
      <c r="O160" s="131" t="n">
        <f aca="false">Summary!$E$16</f>
        <v>9.81903240236408</v>
      </c>
      <c r="P160" s="131"/>
      <c r="Q160" s="141" t="n">
        <f aca="false">Q159</f>
        <v>0.17</v>
      </c>
      <c r="R160" s="129" t="n">
        <f aca="false">Q160+Summary!$C$26</f>
        <v>0.17</v>
      </c>
      <c r="S160" s="129"/>
      <c r="T160" s="132" t="n">
        <f aca="false">X160</f>
        <v>44743</v>
      </c>
      <c r="U160" s="133" t="n">
        <f aca="false">T160-$C$3</f>
        <v>7738</v>
      </c>
      <c r="W160" s="61" t="n">
        <f aca="false">A161-A160</f>
        <v>31</v>
      </c>
      <c r="X160" s="135" t="n">
        <f aca="false">CHOOSE(F$3,A161+24,A160)</f>
        <v>44743</v>
      </c>
      <c r="Y160" s="61" t="n">
        <f aca="false">X160-C$3</f>
        <v>7738</v>
      </c>
      <c r="Z160" s="136" t="n">
        <f aca="false">VLOOKUP($A160,[1]!CurveTable,MATCH($Z$4,[1]!CurveType,0))</f>
        <v>0.0672748792861455</v>
      </c>
      <c r="AA160" s="137" t="n">
        <f aca="false">1/(1+CHOOSE(F$3,(Z161+($K$3/10000))/2,(Z160+($K$3/10000))/2))^(2*Y160/365.25)</f>
        <v>0.246152336583783</v>
      </c>
      <c r="AB160" s="61" t="n">
        <f aca="false">IF(AND(mthbeg&lt;=A160,mthend&gt;=A160),1,0)</f>
        <v>1</v>
      </c>
      <c r="AC160" s="61" t="n">
        <f aca="false">W160*AB160</f>
        <v>31</v>
      </c>
      <c r="AD160" s="121" t="n">
        <f aca="false">$D160*E160</f>
        <v>8862855.54799028</v>
      </c>
      <c r="AE160" s="121" t="n">
        <f aca="false">$D160*F160</f>
        <v>0</v>
      </c>
      <c r="AF160" s="121" t="n">
        <f aca="false">$D160*G160</f>
        <v>8862855.54799028</v>
      </c>
      <c r="AG160" s="121" t="n">
        <f aca="false">$D160*H160</f>
        <v>0</v>
      </c>
      <c r="AH160" s="121" t="n">
        <f aca="false">$D160*I160</f>
        <v>0</v>
      </c>
      <c r="AI160" s="121" t="n">
        <f aca="false">$D160*J160</f>
        <v>0</v>
      </c>
      <c r="AJ160" s="121" t="n">
        <f aca="false">$D160*K160</f>
        <v>0</v>
      </c>
      <c r="AK160" s="121" t="n">
        <f aca="false">$D160*L160</f>
        <v>0</v>
      </c>
      <c r="AL160" s="121" t="n">
        <f aca="false">$D160*M160</f>
        <v>0</v>
      </c>
      <c r="AM160" s="139"/>
      <c r="AO160" s="75" t="e">
        <f aca="false">EURO(N160,O160,Z160,Z160,R160,U160,1,0)</f>
        <v>#NAME?</v>
      </c>
      <c r="AP160" s="138" t="e">
        <f aca="false">AO160*C160</f>
        <v>#NAME?</v>
      </c>
      <c r="AQ160" s="61" t="e">
        <f aca="false">EURO(N160,O160,Z160,Z160,R160,U160,1,1)</f>
        <v>#NAME?</v>
      </c>
      <c r="AR160" s="61" t="e">
        <f aca="false">AQ160+Put!AQ160</f>
        <v>#NAME?</v>
      </c>
      <c r="AS160" s="138" t="e">
        <f aca="false">AR160*C160</f>
        <v>#NAME?</v>
      </c>
      <c r="AT160" s="120" t="e">
        <f aca="false">AS160/10000</f>
        <v>#NAME?</v>
      </c>
    </row>
    <row r="161" customFormat="false" ht="13.5" hidden="false" customHeight="false" outlineLevel="0" collapsed="false">
      <c r="A161" s="127" t="n">
        <f aca="false">EDATE(A160,1)</f>
        <v>44774</v>
      </c>
      <c r="B161" s="128" t="n">
        <f aca="false">B160</f>
        <v>205479</v>
      </c>
      <c r="C161" s="116" t="n">
        <f aca="false">IF(AB161=0,0,IF(AND(AB161=1,$H$3=1),B161*W161,IF($H$3=2,B161,"N/A")))</f>
        <v>6369849</v>
      </c>
      <c r="D161" s="116" t="n">
        <f aca="false">C161*AA161</f>
        <v>1558948.80907092</v>
      </c>
      <c r="E161" s="129" t="n">
        <f aca="false">VLOOKUP($A161,[1]!CurveTable,MATCH($E$4,[1]!CurveType,0))</f>
        <v>5.6875</v>
      </c>
      <c r="F161" s="130"/>
      <c r="G161" s="131" t="n">
        <f aca="false">E161</f>
        <v>5.6875</v>
      </c>
      <c r="H161" s="129" t="n">
        <f aca="false">H160</f>
        <v>0</v>
      </c>
      <c r="I161" s="131"/>
      <c r="J161" s="131" t="n">
        <f aca="false">H161</f>
        <v>0</v>
      </c>
      <c r="K161" s="129"/>
      <c r="L161" s="131"/>
      <c r="M161" s="131"/>
      <c r="N161" s="131" t="n">
        <f aca="false">G161+J161+M161+$N$7</f>
        <v>5.3975</v>
      </c>
      <c r="O161" s="131" t="n">
        <f aca="false">Summary!$E$16</f>
        <v>9.81903240236408</v>
      </c>
      <c r="P161" s="131"/>
      <c r="Q161" s="141" t="n">
        <f aca="false">Q160</f>
        <v>0.17</v>
      </c>
      <c r="R161" s="129" t="n">
        <f aca="false">Q161+Summary!$C$26</f>
        <v>0.17</v>
      </c>
      <c r="S161" s="129"/>
      <c r="T161" s="132" t="n">
        <f aca="false">X161</f>
        <v>44774</v>
      </c>
      <c r="U161" s="133" t="n">
        <f aca="false">T161-$C$3</f>
        <v>7769</v>
      </c>
      <c r="W161" s="61" t="n">
        <f aca="false">A162-A161</f>
        <v>31</v>
      </c>
      <c r="X161" s="135" t="n">
        <f aca="false">CHOOSE(F$3,A162+24,A161)</f>
        <v>44774</v>
      </c>
      <c r="Y161" s="61" t="n">
        <f aca="false">X161-C$3</f>
        <v>7769</v>
      </c>
      <c r="Z161" s="136" t="n">
        <f aca="false">VLOOKUP($A161,[1]!CurveTable,MATCH($Z$4,[1]!CurveType,0))</f>
        <v>0.0672818486271085</v>
      </c>
      <c r="AA161" s="137" t="n">
        <f aca="false">1/(1+CHOOSE(F$3,(Z162+($K$3/10000))/2,(Z161+($K$3/10000))/2))^(2*Y161/365.25)</f>
        <v>0.24473873855894</v>
      </c>
      <c r="AB161" s="61" t="n">
        <f aca="false">IF(AND(mthbeg&lt;=A161,mthend&gt;=A161),1,0)</f>
        <v>1</v>
      </c>
      <c r="AC161" s="61" t="n">
        <f aca="false">W161*AB161</f>
        <v>31</v>
      </c>
      <c r="AD161" s="121" t="n">
        <f aca="false">$D161*E161</f>
        <v>8866521.35159088</v>
      </c>
      <c r="AE161" s="121" t="n">
        <f aca="false">$D161*F161</f>
        <v>0</v>
      </c>
      <c r="AF161" s="121" t="n">
        <f aca="false">$D161*G161</f>
        <v>8866521.35159088</v>
      </c>
      <c r="AG161" s="121" t="n">
        <f aca="false">$D161*H161</f>
        <v>0</v>
      </c>
      <c r="AH161" s="121" t="n">
        <f aca="false">$D161*I161</f>
        <v>0</v>
      </c>
      <c r="AI161" s="121" t="n">
        <f aca="false">$D161*J161</f>
        <v>0</v>
      </c>
      <c r="AJ161" s="121" t="n">
        <f aca="false">$D161*K161</f>
        <v>0</v>
      </c>
      <c r="AK161" s="121" t="n">
        <f aca="false">$D161*L161</f>
        <v>0</v>
      </c>
      <c r="AL161" s="121" t="n">
        <f aca="false">$D161*M161</f>
        <v>0</v>
      </c>
      <c r="AM161" s="139"/>
      <c r="AO161" s="75" t="e">
        <f aca="false">EURO(N161,O161,Z161,Z161,R161,U161,1,0)</f>
        <v>#NAME?</v>
      </c>
      <c r="AP161" s="138" t="e">
        <f aca="false">AO161*C161</f>
        <v>#NAME?</v>
      </c>
      <c r="AQ161" s="61" t="e">
        <f aca="false">EURO(N161,O161,Z161,Z161,R161,U161,1,1)</f>
        <v>#NAME?</v>
      </c>
      <c r="AR161" s="61" t="e">
        <f aca="false">AQ161+Put!AQ161</f>
        <v>#NAME?</v>
      </c>
      <c r="AS161" s="138" t="e">
        <f aca="false">AR161*C161</f>
        <v>#NAME?</v>
      </c>
      <c r="AT161" s="120" t="e">
        <f aca="false">AS161/10000</f>
        <v>#NAME?</v>
      </c>
    </row>
    <row r="162" customFormat="false" ht="12.75" hidden="false" customHeight="false" outlineLevel="0" collapsed="false">
      <c r="A162" s="127" t="n">
        <f aca="false">EDATE(A161,1)</f>
        <v>44805</v>
      </c>
      <c r="B162" s="128" t="n">
        <f aca="false">B161</f>
        <v>205479</v>
      </c>
      <c r="C162" s="116" t="n">
        <f aca="false">IF(AB162=0,0,IF(AND(AB162=1,$H$3=1),B162*W162,IF($H$3=2,B162,"N/A")))</f>
        <v>6164370</v>
      </c>
      <c r="D162" s="116" t="n">
        <f aca="false">C162*AA162</f>
        <v>1498661.60502041</v>
      </c>
      <c r="E162" s="140" t="n">
        <f aca="false">E150*1.02</f>
        <v>5.69925</v>
      </c>
      <c r="F162" s="130"/>
      <c r="G162" s="131" t="n">
        <f aca="false">E162</f>
        <v>5.69925</v>
      </c>
      <c r="H162" s="129" t="n">
        <f aca="false">H161</f>
        <v>0</v>
      </c>
      <c r="I162" s="131"/>
      <c r="J162" s="131" t="n">
        <f aca="false">H162</f>
        <v>0</v>
      </c>
      <c r="K162" s="129"/>
      <c r="L162" s="131"/>
      <c r="M162" s="131"/>
      <c r="N162" s="131" t="n">
        <f aca="false">G162+J162+M162+$N$7</f>
        <v>5.40925</v>
      </c>
      <c r="O162" s="131" t="n">
        <f aca="false">Summary!$E$16</f>
        <v>9.81903240236408</v>
      </c>
      <c r="P162" s="131"/>
      <c r="Q162" s="141" t="n">
        <f aca="false">Q161</f>
        <v>0.17</v>
      </c>
      <c r="R162" s="129" t="n">
        <f aca="false">Q162+Summary!$C$26</f>
        <v>0.17</v>
      </c>
      <c r="S162" s="129"/>
      <c r="T162" s="132" t="n">
        <f aca="false">X162</f>
        <v>44805</v>
      </c>
      <c r="U162" s="133" t="n">
        <f aca="false">T162-$C$3</f>
        <v>7800</v>
      </c>
      <c r="W162" s="61" t="n">
        <f aca="false">A163-A162</f>
        <v>30</v>
      </c>
      <c r="X162" s="135" t="n">
        <f aca="false">CHOOSE(F$3,A163+24,A162)</f>
        <v>44805</v>
      </c>
      <c r="Y162" s="61" t="n">
        <f aca="false">X162-C$3</f>
        <v>7800</v>
      </c>
      <c r="Z162" s="140" t="n">
        <f aca="false">Z161+0.00005</f>
        <v>0.0673318486271085</v>
      </c>
      <c r="AA162" s="137" t="n">
        <f aca="false">1/(1+CHOOSE(F$3,(Z163+($K$3/10000))/2,(Z162+($K$3/10000))/2))^(2*Y162/365.25)</f>
        <v>0.243116750782384</v>
      </c>
      <c r="AB162" s="61" t="n">
        <f aca="false">IF(AND(mthbeg&lt;=A162,mthend&gt;=A162),1,0)</f>
        <v>1</v>
      </c>
      <c r="AC162" s="61" t="n">
        <f aca="false">W162*AB162</f>
        <v>30</v>
      </c>
      <c r="AD162" s="121" t="n">
        <f aca="false">$D162*E162</f>
        <v>8541247.15241255</v>
      </c>
      <c r="AE162" s="121" t="n">
        <f aca="false">$D162*F162</f>
        <v>0</v>
      </c>
      <c r="AF162" s="121" t="n">
        <f aca="false">$D162*G162</f>
        <v>8541247.15241255</v>
      </c>
      <c r="AG162" s="121" t="n">
        <f aca="false">$D162*H162</f>
        <v>0</v>
      </c>
      <c r="AH162" s="121" t="n">
        <f aca="false">$D162*I162</f>
        <v>0</v>
      </c>
      <c r="AI162" s="121" t="n">
        <f aca="false">$D162*J162</f>
        <v>0</v>
      </c>
      <c r="AJ162" s="121" t="n">
        <f aca="false">$D162*K162</f>
        <v>0</v>
      </c>
      <c r="AK162" s="121" t="n">
        <f aca="false">$D162*L162</f>
        <v>0</v>
      </c>
      <c r="AL162" s="121" t="n">
        <f aca="false">$D162*M162</f>
        <v>0</v>
      </c>
      <c r="AM162" s="139"/>
      <c r="AO162" s="75" t="e">
        <f aca="false">EURO(N162,O162,Z162,Z162,R162,U162,1,0)</f>
        <v>#NAME?</v>
      </c>
      <c r="AP162" s="138" t="e">
        <f aca="false">AO162*C162</f>
        <v>#NAME?</v>
      </c>
      <c r="AQ162" s="61" t="e">
        <f aca="false">EURO(N162,O162,Z162,Z162,R162,U162,1,1)</f>
        <v>#NAME?</v>
      </c>
      <c r="AR162" s="61" t="e">
        <f aca="false">AQ162+Put!AQ162</f>
        <v>#NAME?</v>
      </c>
      <c r="AS162" s="138" t="e">
        <f aca="false">AR162*C162</f>
        <v>#NAME?</v>
      </c>
      <c r="AT162" s="120" t="e">
        <f aca="false">AS162/10000</f>
        <v>#NAME?</v>
      </c>
    </row>
    <row r="163" customFormat="false" ht="12.75" hidden="false" customHeight="false" outlineLevel="0" collapsed="false">
      <c r="A163" s="127" t="n">
        <f aca="false">EDATE(A162,1)</f>
        <v>44835</v>
      </c>
      <c r="B163" s="128" t="n">
        <f aca="false">B162</f>
        <v>205479</v>
      </c>
      <c r="C163" s="116" t="n">
        <f aca="false">IF(AB163=0,0,IF(AND(AB163=1,$H$3=1),B163*W163,IF($H$3=2,B163,"N/A")))</f>
        <v>6369849</v>
      </c>
      <c r="D163" s="116" t="n">
        <f aca="false">C163*AA163</f>
        <v>1538620.19996798</v>
      </c>
      <c r="E163" s="141" t="n">
        <f aca="false">E151*1.02</f>
        <v>5.72985</v>
      </c>
      <c r="F163" s="130"/>
      <c r="G163" s="131" t="n">
        <f aca="false">E163</f>
        <v>5.72985</v>
      </c>
      <c r="H163" s="129" t="n">
        <f aca="false">H162</f>
        <v>0</v>
      </c>
      <c r="I163" s="131"/>
      <c r="J163" s="131" t="n">
        <f aca="false">H163</f>
        <v>0</v>
      </c>
      <c r="K163" s="129"/>
      <c r="L163" s="131"/>
      <c r="M163" s="131"/>
      <c r="N163" s="131" t="n">
        <f aca="false">G163+J163+M163+$N$7</f>
        <v>5.43985</v>
      </c>
      <c r="O163" s="131" t="n">
        <f aca="false">Summary!$E$16</f>
        <v>9.81903240236408</v>
      </c>
      <c r="P163" s="131"/>
      <c r="Q163" s="141" t="n">
        <f aca="false">Q162</f>
        <v>0.17</v>
      </c>
      <c r="R163" s="129" t="n">
        <f aca="false">Q163+Summary!$C$26</f>
        <v>0.17</v>
      </c>
      <c r="S163" s="129"/>
      <c r="T163" s="132" t="n">
        <f aca="false">X163</f>
        <v>44835</v>
      </c>
      <c r="U163" s="133" t="n">
        <f aca="false">T163-$C$3</f>
        <v>7830</v>
      </c>
      <c r="W163" s="61" t="n">
        <f aca="false">A164-A163</f>
        <v>31</v>
      </c>
      <c r="X163" s="135" t="n">
        <f aca="false">CHOOSE(F$3,A164+24,A163)</f>
        <v>44835</v>
      </c>
      <c r="Y163" s="61" t="n">
        <f aca="false">X163-C$3</f>
        <v>7830</v>
      </c>
      <c r="Z163" s="141" t="n">
        <f aca="false">Z162+0.00005</f>
        <v>0.0673818486271085</v>
      </c>
      <c r="AA163" s="137" t="n">
        <f aca="false">1/(1+CHOOSE(F$3,(Z164+($K$3/10000))/2,(Z163+($K$3/10000))/2))^(2*Y163/365.25)</f>
        <v>0.241547358495937</v>
      </c>
      <c r="AB163" s="61" t="n">
        <f aca="false">IF(AND(mthbeg&lt;=A163,mthend&gt;=A163),1,0)</f>
        <v>1</v>
      </c>
      <c r="AC163" s="61" t="n">
        <f aca="false">W163*AB163</f>
        <v>31</v>
      </c>
      <c r="AD163" s="121" t="n">
        <f aca="false">$D163*E163</f>
        <v>8816062.95278655</v>
      </c>
      <c r="AE163" s="121" t="n">
        <f aca="false">$D163*F163</f>
        <v>0</v>
      </c>
      <c r="AF163" s="121" t="n">
        <f aca="false">$D163*G163</f>
        <v>8816062.95278655</v>
      </c>
      <c r="AG163" s="121" t="n">
        <f aca="false">$D163*H163</f>
        <v>0</v>
      </c>
      <c r="AH163" s="121" t="n">
        <f aca="false">$D163*I163</f>
        <v>0</v>
      </c>
      <c r="AI163" s="121" t="n">
        <f aca="false">$D163*J163</f>
        <v>0</v>
      </c>
      <c r="AJ163" s="121" t="n">
        <f aca="false">$D163*K163</f>
        <v>0</v>
      </c>
      <c r="AK163" s="121" t="n">
        <f aca="false">$D163*L163</f>
        <v>0</v>
      </c>
      <c r="AL163" s="121" t="n">
        <f aca="false">$D163*M163</f>
        <v>0</v>
      </c>
      <c r="AM163" s="139"/>
      <c r="AO163" s="75" t="e">
        <f aca="false">EURO(N163,O163,Z163,Z163,R163,U163,1,0)</f>
        <v>#NAME?</v>
      </c>
      <c r="AP163" s="138" t="e">
        <f aca="false">AO163*C163</f>
        <v>#NAME?</v>
      </c>
      <c r="AQ163" s="61" t="e">
        <f aca="false">EURO(N163,O163,Z163,Z163,R163,U163,1,1)</f>
        <v>#NAME?</v>
      </c>
      <c r="AR163" s="61" t="e">
        <f aca="false">AQ163+Put!AQ163</f>
        <v>#NAME?</v>
      </c>
      <c r="AS163" s="138" t="e">
        <f aca="false">AR163*C163</f>
        <v>#NAME?</v>
      </c>
      <c r="AT163" s="120" t="e">
        <f aca="false">AS163/10000</f>
        <v>#NAME?</v>
      </c>
    </row>
    <row r="164" customFormat="false" ht="12.75" hidden="false" customHeight="false" outlineLevel="0" collapsed="false">
      <c r="A164" s="127" t="n">
        <f aca="false">EDATE(A163,1)</f>
        <v>44866</v>
      </c>
      <c r="B164" s="128" t="n">
        <f aca="false">B163</f>
        <v>205479</v>
      </c>
      <c r="C164" s="116" t="n">
        <f aca="false">IF(AB164=0,0,IF(AND(AB164=1,$H$3=1),B164*W164,IF($H$3=2,B164,"N/A")))</f>
        <v>6164370</v>
      </c>
      <c r="D164" s="116" t="n">
        <f aca="false">C164*AA164</f>
        <v>1479095.118427</v>
      </c>
      <c r="E164" s="141" t="n">
        <f aca="false">E152*1.02</f>
        <v>5.84205</v>
      </c>
      <c r="F164" s="130"/>
      <c r="G164" s="131" t="n">
        <f aca="false">E164</f>
        <v>5.84205</v>
      </c>
      <c r="H164" s="129" t="n">
        <f aca="false">H163</f>
        <v>0</v>
      </c>
      <c r="I164" s="131"/>
      <c r="J164" s="131" t="n">
        <f aca="false">H164</f>
        <v>0</v>
      </c>
      <c r="K164" s="129"/>
      <c r="L164" s="131"/>
      <c r="M164" s="131"/>
      <c r="N164" s="131" t="n">
        <f aca="false">G164+J164+M164+$N$7</f>
        <v>5.55205</v>
      </c>
      <c r="O164" s="131" t="n">
        <f aca="false">Summary!$E$16</f>
        <v>9.81903240236408</v>
      </c>
      <c r="P164" s="131"/>
      <c r="Q164" s="141" t="n">
        <f aca="false">Q163</f>
        <v>0.17</v>
      </c>
      <c r="R164" s="129" t="n">
        <f aca="false">Q164+Summary!$C$26</f>
        <v>0.17</v>
      </c>
      <c r="S164" s="129"/>
      <c r="T164" s="132" t="n">
        <f aca="false">X164</f>
        <v>44866</v>
      </c>
      <c r="U164" s="133" t="n">
        <f aca="false">T164-$C$3</f>
        <v>7861</v>
      </c>
      <c r="W164" s="61" t="n">
        <f aca="false">A165-A164</f>
        <v>30</v>
      </c>
      <c r="X164" s="135" t="n">
        <f aca="false">CHOOSE(F$3,A165+24,A164)</f>
        <v>44866</v>
      </c>
      <c r="Y164" s="61" t="n">
        <f aca="false">X164-C$3</f>
        <v>7861</v>
      </c>
      <c r="Z164" s="141" t="n">
        <f aca="false">Z163+0.00005</f>
        <v>0.0674318486271085</v>
      </c>
      <c r="AA164" s="137" t="n">
        <f aca="false">1/(1+CHOOSE(F$3,(Z165+($K$3/10000))/2,(Z164+($K$3/10000))/2))^(2*Y164/365.25)</f>
        <v>0.239942624863044</v>
      </c>
      <c r="AB164" s="61" t="n">
        <f aca="false">IF(AND(mthbeg&lt;=A164,mthend&gt;=A164),1,0)</f>
        <v>1</v>
      </c>
      <c r="AC164" s="61" t="n">
        <f aca="false">W164*AB164</f>
        <v>30</v>
      </c>
      <c r="AD164" s="121" t="n">
        <f aca="false">$D164*E164</f>
        <v>8640947.63660647</v>
      </c>
      <c r="AE164" s="121" t="n">
        <f aca="false">$D164*F164</f>
        <v>0</v>
      </c>
      <c r="AF164" s="121" t="n">
        <f aca="false">$D164*G164</f>
        <v>8640947.63660647</v>
      </c>
      <c r="AG164" s="121" t="n">
        <f aca="false">$D164*H164</f>
        <v>0</v>
      </c>
      <c r="AH164" s="121" t="n">
        <f aca="false">$D164*I164</f>
        <v>0</v>
      </c>
      <c r="AI164" s="121" t="n">
        <f aca="false">$D164*J164</f>
        <v>0</v>
      </c>
      <c r="AJ164" s="121" t="n">
        <f aca="false">$D164*K164</f>
        <v>0</v>
      </c>
      <c r="AK164" s="121" t="n">
        <f aca="false">$D164*L164</f>
        <v>0</v>
      </c>
      <c r="AL164" s="121" t="n">
        <f aca="false">$D164*M164</f>
        <v>0</v>
      </c>
      <c r="AM164" s="139"/>
      <c r="AO164" s="75" t="e">
        <f aca="false">EURO(N164,O164,Z164,Z164,R164,U164,1,0)</f>
        <v>#NAME?</v>
      </c>
      <c r="AP164" s="138" t="e">
        <f aca="false">AO164*C164</f>
        <v>#NAME?</v>
      </c>
      <c r="AQ164" s="61" t="e">
        <f aca="false">EURO(N164,O164,Z164,Z164,R164,U164,1,1)</f>
        <v>#NAME?</v>
      </c>
      <c r="AR164" s="61" t="e">
        <f aca="false">AQ164+Put!AQ164</f>
        <v>#NAME?</v>
      </c>
      <c r="AS164" s="138" t="e">
        <f aca="false">AR164*C164</f>
        <v>#NAME?</v>
      </c>
      <c r="AT164" s="120" t="e">
        <f aca="false">AS164/10000</f>
        <v>#NAME?</v>
      </c>
    </row>
    <row r="165" customFormat="false" ht="12.75" hidden="false" customHeight="false" outlineLevel="0" collapsed="false">
      <c r="A165" s="127" t="n">
        <f aca="false">EDATE(A164,1)</f>
        <v>44896</v>
      </c>
      <c r="B165" s="128" t="n">
        <f aca="false">B164</f>
        <v>205479</v>
      </c>
      <c r="C165" s="116" t="n">
        <f aca="false">IF(AB165=0,0,IF(AND(AB165=1,$H$3=1),B165*W165,IF($H$3=2,B165,"N/A")))</f>
        <v>6369849</v>
      </c>
      <c r="D165" s="116" t="n">
        <f aca="false">C165*AA165</f>
        <v>1518507.75865533</v>
      </c>
      <c r="E165" s="141" t="n">
        <f aca="false">E153*1.02</f>
        <v>5.96445</v>
      </c>
      <c r="F165" s="130"/>
      <c r="G165" s="131" t="n">
        <f aca="false">E165</f>
        <v>5.96445</v>
      </c>
      <c r="H165" s="129" t="n">
        <f aca="false">H164</f>
        <v>0</v>
      </c>
      <c r="I165" s="131"/>
      <c r="J165" s="131" t="n">
        <f aca="false">H165</f>
        <v>0</v>
      </c>
      <c r="K165" s="129"/>
      <c r="L165" s="131"/>
      <c r="M165" s="131"/>
      <c r="N165" s="131" t="n">
        <f aca="false">G165+J165+M165+$N$7</f>
        <v>5.67445</v>
      </c>
      <c r="O165" s="131" t="n">
        <f aca="false">Summary!$E$16</f>
        <v>9.81903240236408</v>
      </c>
      <c r="P165" s="131"/>
      <c r="Q165" s="141" t="n">
        <f aca="false">Q164</f>
        <v>0.17</v>
      </c>
      <c r="R165" s="129" t="n">
        <f aca="false">Q165+Summary!$C$26</f>
        <v>0.17</v>
      </c>
      <c r="S165" s="129"/>
      <c r="T165" s="132" t="n">
        <f aca="false">X165</f>
        <v>44896</v>
      </c>
      <c r="U165" s="133" t="n">
        <f aca="false">T165-$C$3</f>
        <v>7891</v>
      </c>
      <c r="W165" s="61" t="n">
        <f aca="false">A166-A165</f>
        <v>31</v>
      </c>
      <c r="X165" s="135" t="n">
        <f aca="false">CHOOSE(F$3,A166+24,A165)</f>
        <v>44896</v>
      </c>
      <c r="Y165" s="61" t="n">
        <f aca="false">X165-C$3</f>
        <v>7891</v>
      </c>
      <c r="Z165" s="141" t="n">
        <f aca="false">Z164+0.00005</f>
        <v>0.0674818486271085</v>
      </c>
      <c r="AA165" s="137" t="n">
        <f aca="false">1/(1+CHOOSE(F$3,(Z166+($K$3/10000))/2,(Z165+($K$3/10000))/2))^(2*Y165/365.25)</f>
        <v>0.238389914526283</v>
      </c>
      <c r="AB165" s="61" t="n">
        <f aca="false">IF(AND(mthbeg&lt;=A165,mthend&gt;=A165),1,0)</f>
        <v>1</v>
      </c>
      <c r="AC165" s="61" t="n">
        <f aca="false">W165*AB165</f>
        <v>31</v>
      </c>
      <c r="AD165" s="121" t="n">
        <f aca="false">$D165*E165</f>
        <v>9057063.60111179</v>
      </c>
      <c r="AE165" s="121" t="n">
        <f aca="false">$D165*F165</f>
        <v>0</v>
      </c>
      <c r="AF165" s="121" t="n">
        <f aca="false">$D165*G165</f>
        <v>9057063.60111179</v>
      </c>
      <c r="AG165" s="121" t="n">
        <f aca="false">$D165*H165</f>
        <v>0</v>
      </c>
      <c r="AH165" s="121" t="n">
        <f aca="false">$D165*I165</f>
        <v>0</v>
      </c>
      <c r="AI165" s="121" t="n">
        <f aca="false">$D165*J165</f>
        <v>0</v>
      </c>
      <c r="AJ165" s="121" t="n">
        <f aca="false">$D165*K165</f>
        <v>0</v>
      </c>
      <c r="AK165" s="121" t="n">
        <f aca="false">$D165*L165</f>
        <v>0</v>
      </c>
      <c r="AL165" s="121" t="n">
        <f aca="false">$D165*M165</f>
        <v>0</v>
      </c>
      <c r="AM165" s="139"/>
      <c r="AO165" s="75" t="e">
        <f aca="false">EURO(N165,O165,Z165,Z165,R165,U165,1,0)</f>
        <v>#NAME?</v>
      </c>
      <c r="AP165" s="138" t="e">
        <f aca="false">AO165*C165</f>
        <v>#NAME?</v>
      </c>
      <c r="AQ165" s="61" t="e">
        <f aca="false">EURO(N165,O165,Z165,Z165,R165,U165,1,1)</f>
        <v>#NAME?</v>
      </c>
      <c r="AR165" s="61" t="e">
        <f aca="false">AQ165+Put!AQ165</f>
        <v>#NAME?</v>
      </c>
      <c r="AS165" s="138" t="e">
        <f aca="false">AR165*C165</f>
        <v>#NAME?</v>
      </c>
      <c r="AT165" s="120" t="e">
        <f aca="false">AS165/10000</f>
        <v>#NAME?</v>
      </c>
    </row>
    <row r="166" customFormat="false" ht="12.75" hidden="false" customHeight="false" outlineLevel="0" collapsed="false">
      <c r="A166" s="127" t="n">
        <f aca="false">EDATE(A165,1)</f>
        <v>44927</v>
      </c>
      <c r="B166" s="128" t="n">
        <f aca="false">B165</f>
        <v>205479</v>
      </c>
      <c r="C166" s="116" t="n">
        <f aca="false">IF(AB166=0,0,IF(AND(AB166=1,$H$3=1),B166*W166,IF($H$3=2,B166,"N/A")))</f>
        <v>6369849</v>
      </c>
      <c r="D166" s="116" t="n">
        <f aca="false">C166*AA166</f>
        <v>1508394.97243324</v>
      </c>
      <c r="E166" s="141" t="n">
        <f aca="false">E154*1.02</f>
        <v>6.05625</v>
      </c>
      <c r="F166" s="130"/>
      <c r="G166" s="131" t="n">
        <f aca="false">E166</f>
        <v>6.05625</v>
      </c>
      <c r="H166" s="129" t="n">
        <f aca="false">H165</f>
        <v>0</v>
      </c>
      <c r="I166" s="131"/>
      <c r="J166" s="131" t="n">
        <f aca="false">H166</f>
        <v>0</v>
      </c>
      <c r="K166" s="129"/>
      <c r="L166" s="131"/>
      <c r="M166" s="131"/>
      <c r="N166" s="131" t="n">
        <f aca="false">G166+J166+M166+$N$7</f>
        <v>5.76625</v>
      </c>
      <c r="O166" s="131" t="n">
        <f aca="false">Summary!$E$16</f>
        <v>9.81903240236408</v>
      </c>
      <c r="P166" s="131"/>
      <c r="Q166" s="141" t="n">
        <f aca="false">Q165</f>
        <v>0.17</v>
      </c>
      <c r="R166" s="129" t="n">
        <f aca="false">Q166+Summary!$C$26</f>
        <v>0.17</v>
      </c>
      <c r="S166" s="129"/>
      <c r="T166" s="132" t="n">
        <f aca="false">X166</f>
        <v>44927</v>
      </c>
      <c r="U166" s="133" t="n">
        <f aca="false">T166-$C$3</f>
        <v>7922</v>
      </c>
      <c r="W166" s="61" t="n">
        <f aca="false">A167-A166</f>
        <v>31</v>
      </c>
      <c r="X166" s="135" t="n">
        <f aca="false">CHOOSE(F$3,A167+24,A166)</f>
        <v>44927</v>
      </c>
      <c r="Y166" s="61" t="n">
        <f aca="false">X166-C$3</f>
        <v>7922</v>
      </c>
      <c r="Z166" s="141" t="n">
        <f aca="false">Z165+0.00005</f>
        <v>0.0675318486271085</v>
      </c>
      <c r="AA166" s="137" t="n">
        <f aca="false">1/(1+CHOOSE(F$3,(Z167+($K$3/10000))/2,(Z166+($K$3/10000))/2))^(2*Y166/365.25)</f>
        <v>0.236802312336327</v>
      </c>
      <c r="AB166" s="61" t="n">
        <f aca="false">IF(AND(mthbeg&lt;=A166,mthend&gt;=A166),1,0)</f>
        <v>1</v>
      </c>
      <c r="AC166" s="61" t="n">
        <f aca="false">W166*AB166</f>
        <v>31</v>
      </c>
      <c r="AD166" s="121" t="n">
        <f aca="false">$D166*E166</f>
        <v>9135217.05179879</v>
      </c>
      <c r="AE166" s="121" t="n">
        <f aca="false">$D166*F166</f>
        <v>0</v>
      </c>
      <c r="AF166" s="121" t="n">
        <f aca="false">$D166*G166</f>
        <v>9135217.05179879</v>
      </c>
      <c r="AG166" s="121" t="n">
        <f aca="false">$D166*H166</f>
        <v>0</v>
      </c>
      <c r="AH166" s="121" t="n">
        <f aca="false">$D166*I166</f>
        <v>0</v>
      </c>
      <c r="AI166" s="121" t="n">
        <f aca="false">$D166*J166</f>
        <v>0</v>
      </c>
      <c r="AJ166" s="121" t="n">
        <f aca="false">$D166*K166</f>
        <v>0</v>
      </c>
      <c r="AK166" s="121" t="n">
        <f aca="false">$D166*L166</f>
        <v>0</v>
      </c>
      <c r="AL166" s="121" t="n">
        <f aca="false">$D166*M166</f>
        <v>0</v>
      </c>
      <c r="AM166" s="139"/>
      <c r="AO166" s="75" t="e">
        <f aca="false">EURO(N166,O166,Z166,Z166,R166,U166,1,0)</f>
        <v>#NAME?</v>
      </c>
      <c r="AP166" s="138" t="e">
        <f aca="false">AO166*C166</f>
        <v>#NAME?</v>
      </c>
      <c r="AQ166" s="61" t="e">
        <f aca="false">EURO(N166,O166,Z166,Z166,R166,U166,1,1)</f>
        <v>#NAME?</v>
      </c>
      <c r="AR166" s="61" t="e">
        <f aca="false">AQ166+Put!AQ166</f>
        <v>#NAME?</v>
      </c>
      <c r="AS166" s="138" t="e">
        <f aca="false">AR166*C166</f>
        <v>#NAME?</v>
      </c>
      <c r="AT166" s="120" t="e">
        <f aca="false">AS166/10000</f>
        <v>#NAME?</v>
      </c>
    </row>
    <row r="167" customFormat="false" ht="12.75" hidden="false" customHeight="false" outlineLevel="0" collapsed="false">
      <c r="A167" s="127" t="n">
        <f aca="false">EDATE(A166,1)</f>
        <v>44958</v>
      </c>
      <c r="B167" s="128" t="n">
        <f aca="false">B166</f>
        <v>205479</v>
      </c>
      <c r="C167" s="116" t="n">
        <f aca="false">IF(AB167=0,0,IF(AND(AB167=1,$H$3=1),B167*W167,IF($H$3=2,B167,"N/A")))</f>
        <v>5753412</v>
      </c>
      <c r="D167" s="116" t="n">
        <f aca="false">C167*AA167</f>
        <v>1353336.88961122</v>
      </c>
      <c r="E167" s="141" t="n">
        <f aca="false">E155*1.02</f>
        <v>5.93385</v>
      </c>
      <c r="F167" s="130"/>
      <c r="G167" s="131" t="n">
        <f aca="false">E167</f>
        <v>5.93385</v>
      </c>
      <c r="H167" s="129" t="n">
        <f aca="false">H166</f>
        <v>0</v>
      </c>
      <c r="I167" s="131"/>
      <c r="J167" s="131" t="n">
        <f aca="false">H167</f>
        <v>0</v>
      </c>
      <c r="K167" s="129"/>
      <c r="L167" s="131"/>
      <c r="M167" s="131"/>
      <c r="N167" s="131" t="n">
        <f aca="false">G167+J167+M167+$N$7</f>
        <v>5.64385</v>
      </c>
      <c r="O167" s="131" t="n">
        <f aca="false">Summary!$E$16</f>
        <v>9.81903240236408</v>
      </c>
      <c r="P167" s="131"/>
      <c r="Q167" s="141" t="n">
        <f aca="false">Q166</f>
        <v>0.17</v>
      </c>
      <c r="R167" s="129" t="n">
        <f aca="false">Q167+Summary!$C$26</f>
        <v>0.17</v>
      </c>
      <c r="S167" s="129"/>
      <c r="T167" s="132" t="n">
        <f aca="false">X167</f>
        <v>44958</v>
      </c>
      <c r="U167" s="133" t="n">
        <f aca="false">T167-$C$3</f>
        <v>7953</v>
      </c>
      <c r="W167" s="61" t="n">
        <f aca="false">A168-A167</f>
        <v>28</v>
      </c>
      <c r="X167" s="135" t="n">
        <f aca="false">CHOOSE(F$3,A168+24,A167)</f>
        <v>44958</v>
      </c>
      <c r="Y167" s="61" t="n">
        <f aca="false">X167-C$3</f>
        <v>7953</v>
      </c>
      <c r="Z167" s="141" t="n">
        <f aca="false">Z166+0.00005</f>
        <v>0.0675818486271085</v>
      </c>
      <c r="AA167" s="137" t="n">
        <f aca="false">1/(1+CHOOSE(F$3,(Z168+($K$3/10000))/2,(Z167+($K$3/10000))/2))^(2*Y167/365.25)</f>
        <v>0.235223357828576</v>
      </c>
      <c r="AB167" s="61" t="n">
        <f aca="false">IF(AND(mthbeg&lt;=A167,mthend&gt;=A167),1,0)</f>
        <v>1</v>
      </c>
      <c r="AC167" s="61" t="n">
        <f aca="false">W167*AB167</f>
        <v>28</v>
      </c>
      <c r="AD167" s="121" t="n">
        <f aca="false">$D167*E167</f>
        <v>8030498.10241956</v>
      </c>
      <c r="AE167" s="121" t="n">
        <f aca="false">$D167*F167</f>
        <v>0</v>
      </c>
      <c r="AF167" s="121" t="n">
        <f aca="false">$D167*G167</f>
        <v>8030498.10241956</v>
      </c>
      <c r="AG167" s="121" t="n">
        <f aca="false">$D167*H167</f>
        <v>0</v>
      </c>
      <c r="AH167" s="121" t="n">
        <f aca="false">$D167*I167</f>
        <v>0</v>
      </c>
      <c r="AI167" s="121" t="n">
        <f aca="false">$D167*J167</f>
        <v>0</v>
      </c>
      <c r="AJ167" s="121" t="n">
        <f aca="false">$D167*K167</f>
        <v>0</v>
      </c>
      <c r="AK167" s="121" t="n">
        <f aca="false">$D167*L167</f>
        <v>0</v>
      </c>
      <c r="AL167" s="121" t="n">
        <f aca="false">$D167*M167</f>
        <v>0</v>
      </c>
      <c r="AM167" s="139"/>
      <c r="AO167" s="75" t="e">
        <f aca="false">EURO(N167,O167,Z167,Z167,R167,U167,1,0)</f>
        <v>#NAME?</v>
      </c>
      <c r="AP167" s="138" t="e">
        <f aca="false">AO167*C167</f>
        <v>#NAME?</v>
      </c>
      <c r="AQ167" s="61" t="e">
        <f aca="false">EURO(N167,O167,Z167,Z167,R167,U167,1,1)</f>
        <v>#NAME?</v>
      </c>
      <c r="AR167" s="61" t="e">
        <f aca="false">AQ167+Put!AQ167</f>
        <v>#NAME?</v>
      </c>
      <c r="AS167" s="138" t="e">
        <f aca="false">AR167*C167</f>
        <v>#NAME?</v>
      </c>
      <c r="AT167" s="120" t="e">
        <f aca="false">AS167/10000</f>
        <v>#NAME?</v>
      </c>
    </row>
    <row r="168" customFormat="false" ht="12.75" hidden="false" customHeight="false" outlineLevel="0" collapsed="false">
      <c r="A168" s="127" t="n">
        <f aca="false">EDATE(A167,1)</f>
        <v>44986</v>
      </c>
      <c r="B168" s="128" t="n">
        <f aca="false">B167</f>
        <v>205479</v>
      </c>
      <c r="C168" s="116" t="n">
        <f aca="false">IF(AB168=0,0,IF(AND(AB168=1,$H$3=1),B168*W168,IF($H$3=2,B168,"N/A")))</f>
        <v>6369849</v>
      </c>
      <c r="D168" s="116" t="n">
        <f aca="false">C168*AA168</f>
        <v>1489147.76749088</v>
      </c>
      <c r="E168" s="141" t="n">
        <f aca="false">E156*1.02</f>
        <v>5.79207</v>
      </c>
      <c r="F168" s="130"/>
      <c r="G168" s="131" t="n">
        <f aca="false">E168</f>
        <v>5.79207</v>
      </c>
      <c r="H168" s="129" t="n">
        <f aca="false">H167</f>
        <v>0</v>
      </c>
      <c r="I168" s="131"/>
      <c r="J168" s="131" t="n">
        <f aca="false">H168</f>
        <v>0</v>
      </c>
      <c r="K168" s="129"/>
      <c r="L168" s="131"/>
      <c r="M168" s="131"/>
      <c r="N168" s="131" t="n">
        <f aca="false">G168+J168+M168+$N$7</f>
        <v>5.50207</v>
      </c>
      <c r="O168" s="131" t="n">
        <f aca="false">Summary!$E$16</f>
        <v>9.81903240236408</v>
      </c>
      <c r="P168" s="131"/>
      <c r="Q168" s="141" t="n">
        <f aca="false">Q167</f>
        <v>0.17</v>
      </c>
      <c r="R168" s="129" t="n">
        <f aca="false">Q168+Summary!$C$26</f>
        <v>0.17</v>
      </c>
      <c r="S168" s="129"/>
      <c r="T168" s="132" t="n">
        <f aca="false">X168</f>
        <v>44986</v>
      </c>
      <c r="U168" s="133" t="n">
        <f aca="false">T168-$C$3</f>
        <v>7981</v>
      </c>
      <c r="W168" s="61" t="n">
        <f aca="false">A169-A168</f>
        <v>31</v>
      </c>
      <c r="X168" s="135" t="n">
        <f aca="false">CHOOSE(F$3,A169+24,A168)</f>
        <v>44986</v>
      </c>
      <c r="Y168" s="61" t="n">
        <f aca="false">X168-C$3</f>
        <v>7981</v>
      </c>
      <c r="Z168" s="141" t="n">
        <f aca="false">Z167+0.00005</f>
        <v>0.0676318486271085</v>
      </c>
      <c r="AA168" s="137" t="n">
        <f aca="false">1/(1+CHOOSE(F$3,(Z169+($K$3/10000))/2,(Z168+($K$3/10000))/2))^(2*Y168/365.25)</f>
        <v>0.233780701472026</v>
      </c>
      <c r="AB168" s="61" t="n">
        <f aca="false">IF(AND(mthbeg&lt;=A168,mthend&gt;=A168),1,0)</f>
        <v>1</v>
      </c>
      <c r="AC168" s="61" t="n">
        <f aca="false">W168*AB168</f>
        <v>31</v>
      </c>
      <c r="AD168" s="121" t="n">
        <f aca="false">$D168*E168</f>
        <v>8625248.10965093</v>
      </c>
      <c r="AE168" s="121" t="n">
        <f aca="false">$D168*F168</f>
        <v>0</v>
      </c>
      <c r="AF168" s="121" t="n">
        <f aca="false">$D168*G168</f>
        <v>8625248.10965093</v>
      </c>
      <c r="AG168" s="121" t="n">
        <f aca="false">$D168*H168</f>
        <v>0</v>
      </c>
      <c r="AH168" s="121" t="n">
        <f aca="false">$D168*I168</f>
        <v>0</v>
      </c>
      <c r="AI168" s="121" t="n">
        <f aca="false">$D168*J168</f>
        <v>0</v>
      </c>
      <c r="AJ168" s="121" t="n">
        <f aca="false">$D168*K168</f>
        <v>0</v>
      </c>
      <c r="AK168" s="121" t="n">
        <f aca="false">$D168*L168</f>
        <v>0</v>
      </c>
      <c r="AL168" s="121" t="n">
        <f aca="false">$D168*M168</f>
        <v>0</v>
      </c>
      <c r="AM168" s="139"/>
      <c r="AO168" s="75" t="e">
        <f aca="false">EURO(N168,O168,Z168,Z168,R168,U168,1,0)</f>
        <v>#NAME?</v>
      </c>
      <c r="AP168" s="138" t="e">
        <f aca="false">AO168*C168</f>
        <v>#NAME?</v>
      </c>
      <c r="AQ168" s="61" t="e">
        <f aca="false">EURO(N168,O168,Z168,Z168,R168,U168,1,1)</f>
        <v>#NAME?</v>
      </c>
      <c r="AR168" s="61" t="e">
        <f aca="false">AQ168+Put!AQ168</f>
        <v>#NAME?</v>
      </c>
      <c r="AS168" s="138" t="e">
        <f aca="false">AR168*C168</f>
        <v>#NAME?</v>
      </c>
      <c r="AT168" s="120" t="e">
        <f aca="false">AS168/10000</f>
        <v>#NAME?</v>
      </c>
    </row>
    <row r="169" customFormat="false" ht="12.75" hidden="false" customHeight="false" outlineLevel="0" collapsed="false">
      <c r="A169" s="127" t="n">
        <f aca="false">EDATE(A168,1)</f>
        <v>45017</v>
      </c>
      <c r="B169" s="128" t="n">
        <f aca="false">B168</f>
        <v>205479</v>
      </c>
      <c r="C169" s="116" t="n">
        <f aca="false">IF(AB169=0,0,IF(AND(AB169=1,$H$3=1),B169*W169,IF($H$3=2,B169,"N/A")))</f>
        <v>6164370</v>
      </c>
      <c r="D169" s="116" t="n">
        <f aca="false">C169*AA169</f>
        <v>1431478.81702869</v>
      </c>
      <c r="E169" s="141" t="n">
        <f aca="false">E157*1.02</f>
        <v>5.61867</v>
      </c>
      <c r="F169" s="130"/>
      <c r="G169" s="131" t="n">
        <f aca="false">E169</f>
        <v>5.61867</v>
      </c>
      <c r="H169" s="129" t="n">
        <f aca="false">H168</f>
        <v>0</v>
      </c>
      <c r="I169" s="131"/>
      <c r="J169" s="131" t="n">
        <f aca="false">H169</f>
        <v>0</v>
      </c>
      <c r="K169" s="129"/>
      <c r="L169" s="131"/>
      <c r="M169" s="131"/>
      <c r="N169" s="131" t="n">
        <f aca="false">G169+J169+M169+$N$7</f>
        <v>5.32867</v>
      </c>
      <c r="O169" s="131" t="n">
        <f aca="false">Summary!$E$16</f>
        <v>9.81903240236408</v>
      </c>
      <c r="P169" s="131"/>
      <c r="Q169" s="141" t="n">
        <f aca="false">Q168</f>
        <v>0.17</v>
      </c>
      <c r="R169" s="129" t="n">
        <f aca="false">Q169+Summary!$C$26</f>
        <v>0.17</v>
      </c>
      <c r="S169" s="129"/>
      <c r="T169" s="132" t="n">
        <f aca="false">X169</f>
        <v>45017</v>
      </c>
      <c r="U169" s="133" t="n">
        <f aca="false">T169-$C$3</f>
        <v>8012</v>
      </c>
      <c r="W169" s="61" t="n">
        <f aca="false">A170-A169</f>
        <v>30</v>
      </c>
      <c r="X169" s="135" t="n">
        <f aca="false">CHOOSE(F$3,A170+24,A169)</f>
        <v>45017</v>
      </c>
      <c r="Y169" s="61" t="n">
        <f aca="false">X169-C$3</f>
        <v>8012</v>
      </c>
      <c r="Z169" s="141" t="n">
        <f aca="false">Z168+0.00005</f>
        <v>0.0676818486271085</v>
      </c>
      <c r="AA169" s="137" t="n">
        <f aca="false">1/(1+CHOOSE(F$3,(Z170+($K$3/10000))/2,(Z169+($K$3/10000))/2))^(2*Y169/365.25)</f>
        <v>0.232218185642441</v>
      </c>
      <c r="AB169" s="61" t="n">
        <f aca="false">IF(AND(mthbeg&lt;=A169,mthend&gt;=A169),1,0)</f>
        <v>1</v>
      </c>
      <c r="AC169" s="61" t="n">
        <f aca="false">W169*AB169</f>
        <v>30</v>
      </c>
      <c r="AD169" s="121" t="n">
        <f aca="false">$D169*E169</f>
        <v>8043007.08487461</v>
      </c>
      <c r="AE169" s="121" t="n">
        <f aca="false">$D169*F169</f>
        <v>0</v>
      </c>
      <c r="AF169" s="121" t="n">
        <f aca="false">$D169*G169</f>
        <v>8043007.08487461</v>
      </c>
      <c r="AG169" s="121" t="n">
        <f aca="false">$D169*H169</f>
        <v>0</v>
      </c>
      <c r="AH169" s="121" t="n">
        <f aca="false">$D169*I169</f>
        <v>0</v>
      </c>
      <c r="AI169" s="121" t="n">
        <f aca="false">$D169*J169</f>
        <v>0</v>
      </c>
      <c r="AJ169" s="121" t="n">
        <f aca="false">$D169*K169</f>
        <v>0</v>
      </c>
      <c r="AK169" s="121" t="n">
        <f aca="false">$D169*L169</f>
        <v>0</v>
      </c>
      <c r="AL169" s="121" t="n">
        <f aca="false">$D169*M169</f>
        <v>0</v>
      </c>
      <c r="AM169" s="139"/>
      <c r="AO169" s="75" t="e">
        <f aca="false">EURO(N169,O169,Z169,Z169,R169,U169,1,0)</f>
        <v>#NAME?</v>
      </c>
      <c r="AP169" s="138" t="e">
        <f aca="false">AO169*C169</f>
        <v>#NAME?</v>
      </c>
      <c r="AQ169" s="61" t="e">
        <f aca="false">EURO(N169,O169,Z169,Z169,R169,U169,1,1)</f>
        <v>#NAME?</v>
      </c>
      <c r="AR169" s="61" t="e">
        <f aca="false">AQ169+Put!AQ169</f>
        <v>#NAME?</v>
      </c>
      <c r="AS169" s="138" t="e">
        <f aca="false">AR169*C169</f>
        <v>#NAME?</v>
      </c>
      <c r="AT169" s="120" t="e">
        <f aca="false">AS169/10000</f>
        <v>#NAME?</v>
      </c>
    </row>
    <row r="170" customFormat="false" ht="12.75" hidden="false" customHeight="false" outlineLevel="0" collapsed="false">
      <c r="A170" s="127" t="n">
        <f aca="false">EDATE(A169,1)</f>
        <v>45047</v>
      </c>
      <c r="B170" s="128" t="n">
        <f aca="false">B169</f>
        <v>205479</v>
      </c>
      <c r="C170" s="116" t="n">
        <f aca="false">IF(AB170=0,0,IF(AND(AB170=1,$H$3=1),B170*W170,IF($H$3=2,B170,"N/A")))</f>
        <v>6369849</v>
      </c>
      <c r="D170" s="116" t="n">
        <f aca="false">C170*AA170</f>
        <v>1469564.26397041</v>
      </c>
      <c r="E170" s="141" t="n">
        <f aca="false">E158*1.02</f>
        <v>5.67885</v>
      </c>
      <c r="F170" s="130"/>
      <c r="G170" s="131" t="n">
        <f aca="false">E170</f>
        <v>5.67885</v>
      </c>
      <c r="H170" s="129" t="n">
        <f aca="false">H169</f>
        <v>0</v>
      </c>
      <c r="I170" s="131"/>
      <c r="J170" s="131" t="n">
        <f aca="false">H170</f>
        <v>0</v>
      </c>
      <c r="K170" s="129"/>
      <c r="L170" s="131"/>
      <c r="M170" s="131"/>
      <c r="N170" s="131" t="n">
        <f aca="false">G170+J170+M170+$N$7</f>
        <v>5.38885</v>
      </c>
      <c r="O170" s="131" t="n">
        <f aca="false">Summary!$E$16</f>
        <v>9.81903240236408</v>
      </c>
      <c r="P170" s="131"/>
      <c r="Q170" s="141" t="n">
        <f aca="false">Q169</f>
        <v>0.17</v>
      </c>
      <c r="R170" s="129" t="n">
        <f aca="false">Q170+Summary!$C$26</f>
        <v>0.17</v>
      </c>
      <c r="S170" s="129"/>
      <c r="T170" s="132" t="n">
        <f aca="false">X170</f>
        <v>45047</v>
      </c>
      <c r="U170" s="133" t="n">
        <f aca="false">T170-$C$3</f>
        <v>8042</v>
      </c>
      <c r="W170" s="61" t="n">
        <f aca="false">A171-A170</f>
        <v>31</v>
      </c>
      <c r="X170" s="135" t="n">
        <f aca="false">CHOOSE(F$3,A171+24,A170)</f>
        <v>45047</v>
      </c>
      <c r="Y170" s="61" t="n">
        <f aca="false">X170-C$3</f>
        <v>8042</v>
      </c>
      <c r="Z170" s="141" t="n">
        <f aca="false">Z169+0.00005</f>
        <v>0.0677318486271085</v>
      </c>
      <c r="AA170" s="137" t="n">
        <f aca="false">1/(1+CHOOSE(F$3,(Z171+($K$3/10000))/2,(Z170+($K$3/10000))/2))^(2*Y170/365.25)</f>
        <v>0.230706295230924</v>
      </c>
      <c r="AB170" s="61" t="n">
        <f aca="false">IF(AND(mthbeg&lt;=A170,mthend&gt;=A170),1,0)</f>
        <v>1</v>
      </c>
      <c r="AC170" s="61" t="n">
        <f aca="false">W170*AB170</f>
        <v>31</v>
      </c>
      <c r="AD170" s="121" t="n">
        <f aca="false">$D170*E170</f>
        <v>8345435.02044833</v>
      </c>
      <c r="AE170" s="121" t="n">
        <f aca="false">$D170*F170</f>
        <v>0</v>
      </c>
      <c r="AF170" s="121" t="n">
        <f aca="false">$D170*G170</f>
        <v>8345435.02044833</v>
      </c>
      <c r="AG170" s="121" t="n">
        <f aca="false">$D170*H170</f>
        <v>0</v>
      </c>
      <c r="AH170" s="121" t="n">
        <f aca="false">$D170*I170</f>
        <v>0</v>
      </c>
      <c r="AI170" s="121" t="n">
        <f aca="false">$D170*J170</f>
        <v>0</v>
      </c>
      <c r="AJ170" s="121" t="n">
        <f aca="false">$D170*K170</f>
        <v>0</v>
      </c>
      <c r="AK170" s="121" t="n">
        <f aca="false">$D170*L170</f>
        <v>0</v>
      </c>
      <c r="AL170" s="121" t="n">
        <f aca="false">$D170*M170</f>
        <v>0</v>
      </c>
      <c r="AM170" s="139"/>
      <c r="AO170" s="75" t="e">
        <f aca="false">EURO(N170,O170,Z170,Z170,R170,U170,1,0)</f>
        <v>#NAME?</v>
      </c>
      <c r="AP170" s="138" t="e">
        <f aca="false">AO170*C170</f>
        <v>#NAME?</v>
      </c>
      <c r="AQ170" s="61" t="e">
        <f aca="false">EURO(N170,O170,Z170,Z170,R170,U170,1,1)</f>
        <v>#NAME?</v>
      </c>
      <c r="AR170" s="61" t="e">
        <f aca="false">AQ170+Put!AQ170</f>
        <v>#NAME?</v>
      </c>
      <c r="AS170" s="138" t="e">
        <f aca="false">AR170*C170</f>
        <v>#NAME?</v>
      </c>
      <c r="AT170" s="120" t="e">
        <f aca="false">AS170/10000</f>
        <v>#NAME?</v>
      </c>
    </row>
    <row r="171" customFormat="false" ht="12.75" hidden="false" customHeight="false" outlineLevel="0" collapsed="false">
      <c r="A171" s="127" t="n">
        <f aca="false">EDATE(A170,1)</f>
        <v>45078</v>
      </c>
      <c r="B171" s="128" t="n">
        <f aca="false">B170</f>
        <v>205479</v>
      </c>
      <c r="C171" s="116" t="n">
        <f aca="false">IF(AB171=0,0,IF(AND(AB171=1,$H$3=1),B171*W171,IF($H$3=2,B171,"N/A")))</f>
        <v>6164370</v>
      </c>
      <c r="D171" s="116" t="n">
        <f aca="false">C171*AA171</f>
        <v>1412630.77279333</v>
      </c>
      <c r="E171" s="141" t="n">
        <f aca="false">E159*1.02</f>
        <v>5.71965</v>
      </c>
      <c r="F171" s="130"/>
      <c r="G171" s="131" t="n">
        <f aca="false">E171</f>
        <v>5.71965</v>
      </c>
      <c r="H171" s="129" t="n">
        <f aca="false">H170</f>
        <v>0</v>
      </c>
      <c r="I171" s="131"/>
      <c r="J171" s="131" t="n">
        <f aca="false">H171</f>
        <v>0</v>
      </c>
      <c r="K171" s="129"/>
      <c r="L171" s="131"/>
      <c r="M171" s="131"/>
      <c r="N171" s="131" t="n">
        <f aca="false">G171+J171+M171+$N$7</f>
        <v>5.42965</v>
      </c>
      <c r="O171" s="131" t="n">
        <f aca="false">Summary!$E$16</f>
        <v>9.81903240236408</v>
      </c>
      <c r="P171" s="131"/>
      <c r="Q171" s="141" t="n">
        <f aca="false">Q170</f>
        <v>0.17</v>
      </c>
      <c r="R171" s="129" t="n">
        <f aca="false">Q171+Summary!$C$26</f>
        <v>0.17</v>
      </c>
      <c r="S171" s="129"/>
      <c r="T171" s="132" t="n">
        <f aca="false">X171</f>
        <v>45078</v>
      </c>
      <c r="U171" s="133" t="n">
        <f aca="false">T171-$C$3</f>
        <v>8073</v>
      </c>
      <c r="W171" s="61" t="n">
        <f aca="false">A172-A171</f>
        <v>30</v>
      </c>
      <c r="X171" s="135" t="n">
        <f aca="false">CHOOSE(F$3,A172+24,A171)</f>
        <v>45078</v>
      </c>
      <c r="Y171" s="61" t="n">
        <f aca="false">X171-C$3</f>
        <v>8073</v>
      </c>
      <c r="Z171" s="141" t="n">
        <f aca="false">Z170+0.00005</f>
        <v>0.0677818486271084</v>
      </c>
      <c r="AA171" s="137" t="n">
        <f aca="false">1/(1+CHOOSE(F$3,(Z172+($K$3/10000))/2,(Z171+($K$3/10000))/2))^(2*Y171/365.25)</f>
        <v>0.229160607295366</v>
      </c>
      <c r="AB171" s="61" t="n">
        <f aca="false">IF(AND(mthbeg&lt;=A171,mthend&gt;=A171),1,0)</f>
        <v>1</v>
      </c>
      <c r="AC171" s="61" t="n">
        <f aca="false">W171*AB171</f>
        <v>30</v>
      </c>
      <c r="AD171" s="121" t="n">
        <f aca="false">$D171*E171</f>
        <v>8079753.59960739</v>
      </c>
      <c r="AE171" s="121" t="n">
        <f aca="false">$D171*F171</f>
        <v>0</v>
      </c>
      <c r="AF171" s="121" t="n">
        <f aca="false">$D171*G171</f>
        <v>8079753.59960739</v>
      </c>
      <c r="AG171" s="121" t="n">
        <f aca="false">$D171*H171</f>
        <v>0</v>
      </c>
      <c r="AH171" s="121" t="n">
        <f aca="false">$D171*I171</f>
        <v>0</v>
      </c>
      <c r="AI171" s="121" t="n">
        <f aca="false">$D171*J171</f>
        <v>0</v>
      </c>
      <c r="AJ171" s="121" t="n">
        <f aca="false">$D171*K171</f>
        <v>0</v>
      </c>
      <c r="AK171" s="121" t="n">
        <f aca="false">$D171*L171</f>
        <v>0</v>
      </c>
      <c r="AL171" s="121" t="n">
        <f aca="false">$D171*M171</f>
        <v>0</v>
      </c>
      <c r="AM171" s="139"/>
      <c r="AO171" s="75" t="e">
        <f aca="false">EURO(N171,O171,Z171,Z171,R171,U171,1,0)</f>
        <v>#NAME?</v>
      </c>
      <c r="AP171" s="138" t="e">
        <f aca="false">AO171*C171</f>
        <v>#NAME?</v>
      </c>
      <c r="AQ171" s="61" t="e">
        <f aca="false">EURO(N171,O171,Z171,Z171,R171,U171,1,1)</f>
        <v>#NAME?</v>
      </c>
      <c r="AR171" s="61" t="e">
        <f aca="false">AQ171+Put!AQ171</f>
        <v>#NAME?</v>
      </c>
      <c r="AS171" s="138" t="e">
        <f aca="false">AR171*C171</f>
        <v>#NAME?</v>
      </c>
      <c r="AT171" s="120" t="e">
        <f aca="false">AS171/10000</f>
        <v>#NAME?</v>
      </c>
    </row>
    <row r="172" customFormat="false" ht="12.75" hidden="false" customHeight="false" outlineLevel="0" collapsed="false">
      <c r="A172" s="127" t="n">
        <f aca="false">EDATE(A171,1)</f>
        <v>45108</v>
      </c>
      <c r="B172" s="128" t="n">
        <f aca="false">B171</f>
        <v>205479</v>
      </c>
      <c r="C172" s="116" t="n">
        <f aca="false">IF(AB172=0,0,IF(AND(AB172=1,$H$3=1),B172*W172,IF($H$3=2,B172,"N/A")))</f>
        <v>6369849</v>
      </c>
      <c r="D172" s="116" t="n">
        <f aca="false">C172*AA172</f>
        <v>1450191.59576467</v>
      </c>
      <c r="E172" s="141" t="n">
        <f aca="false">E160*1.02</f>
        <v>5.76555</v>
      </c>
      <c r="F172" s="130"/>
      <c r="G172" s="131" t="n">
        <f aca="false">E172</f>
        <v>5.76555</v>
      </c>
      <c r="H172" s="129" t="n">
        <f aca="false">H171</f>
        <v>0</v>
      </c>
      <c r="I172" s="131"/>
      <c r="J172" s="131" t="n">
        <f aca="false">H172</f>
        <v>0</v>
      </c>
      <c r="K172" s="129"/>
      <c r="L172" s="131"/>
      <c r="M172" s="131"/>
      <c r="N172" s="131" t="n">
        <f aca="false">G172+J172+M172+$N$7</f>
        <v>5.47555</v>
      </c>
      <c r="O172" s="131" t="n">
        <f aca="false">Summary!$E$16</f>
        <v>9.81903240236408</v>
      </c>
      <c r="P172" s="131"/>
      <c r="Q172" s="141" t="n">
        <f aca="false">Q171</f>
        <v>0.17</v>
      </c>
      <c r="R172" s="129" t="n">
        <f aca="false">Q172+Summary!$C$26</f>
        <v>0.17</v>
      </c>
      <c r="S172" s="129"/>
      <c r="T172" s="132" t="n">
        <f aca="false">X172</f>
        <v>45108</v>
      </c>
      <c r="U172" s="133" t="n">
        <f aca="false">T172-$C$3</f>
        <v>8103</v>
      </c>
      <c r="W172" s="61" t="n">
        <f aca="false">A173-A172</f>
        <v>31</v>
      </c>
      <c r="X172" s="135" t="n">
        <f aca="false">CHOOSE(F$3,A173+24,A172)</f>
        <v>45108</v>
      </c>
      <c r="Y172" s="61" t="n">
        <f aca="false">X172-C$3</f>
        <v>8103</v>
      </c>
      <c r="Z172" s="141" t="n">
        <f aca="false">Z171+0.00005</f>
        <v>0.0678318486271084</v>
      </c>
      <c r="AA172" s="137" t="n">
        <f aca="false">1/(1+CHOOSE(F$3,(Z173+($K$3/10000))/2,(Z172+($K$3/10000))/2))^(2*Y172/365.25)</f>
        <v>0.227664987940007</v>
      </c>
      <c r="AB172" s="61" t="n">
        <f aca="false">IF(AND(mthbeg&lt;=A172,mthend&gt;=A172),1,0)</f>
        <v>1</v>
      </c>
      <c r="AC172" s="61" t="n">
        <f aca="false">W172*AB172</f>
        <v>31</v>
      </c>
      <c r="AD172" s="121" t="n">
        <f aca="false">$D172*E172</f>
        <v>8361152.15496098</v>
      </c>
      <c r="AE172" s="121" t="n">
        <f aca="false">$D172*F172</f>
        <v>0</v>
      </c>
      <c r="AF172" s="121" t="n">
        <f aca="false">$D172*G172</f>
        <v>8361152.15496098</v>
      </c>
      <c r="AG172" s="121" t="n">
        <f aca="false">$D172*H172</f>
        <v>0</v>
      </c>
      <c r="AH172" s="121" t="n">
        <f aca="false">$D172*I172</f>
        <v>0</v>
      </c>
      <c r="AI172" s="121" t="n">
        <f aca="false">$D172*J172</f>
        <v>0</v>
      </c>
      <c r="AJ172" s="121" t="n">
        <f aca="false">$D172*K172</f>
        <v>0</v>
      </c>
      <c r="AK172" s="121" t="n">
        <f aca="false">$D172*L172</f>
        <v>0</v>
      </c>
      <c r="AL172" s="121" t="n">
        <f aca="false">$D172*M172</f>
        <v>0</v>
      </c>
      <c r="AM172" s="139"/>
      <c r="AO172" s="75" t="e">
        <f aca="false">EURO(N172,O172,Z172,Z172,R172,U172,1,0)</f>
        <v>#NAME?</v>
      </c>
      <c r="AP172" s="138" t="e">
        <f aca="false">AO172*C172</f>
        <v>#NAME?</v>
      </c>
      <c r="AQ172" s="61" t="e">
        <f aca="false">EURO(N172,O172,Z172,Z172,R172,U172,1,1)</f>
        <v>#NAME?</v>
      </c>
      <c r="AR172" s="61" t="e">
        <f aca="false">AQ172+Put!AQ172</f>
        <v>#NAME?</v>
      </c>
      <c r="AS172" s="138" t="e">
        <f aca="false">AR172*C172</f>
        <v>#NAME?</v>
      </c>
      <c r="AT172" s="120" t="e">
        <f aca="false">AS172/10000</f>
        <v>#NAME?</v>
      </c>
    </row>
    <row r="173" customFormat="false" ht="12.75" hidden="false" customHeight="false" outlineLevel="0" collapsed="false">
      <c r="A173" s="127" t="n">
        <f aca="false">EDATE(A172,1)</f>
        <v>45139</v>
      </c>
      <c r="B173" s="128" t="n">
        <f aca="false">B172</f>
        <v>205479</v>
      </c>
      <c r="C173" s="116" t="n">
        <f aca="false">IF(AB173=0,0,IF(AND(AB173=1,$H$3=1),B173*W173,IF($H$3=2,B173,"N/A")))</f>
        <v>6369849</v>
      </c>
      <c r="D173" s="116" t="n">
        <f aca="false">C173*AA173</f>
        <v>1440452.20589379</v>
      </c>
      <c r="E173" s="141" t="n">
        <f aca="false">E161*1.02</f>
        <v>5.80125</v>
      </c>
      <c r="F173" s="130"/>
      <c r="G173" s="131" t="n">
        <f aca="false">E173</f>
        <v>5.80125</v>
      </c>
      <c r="H173" s="129" t="n">
        <f aca="false">H172</f>
        <v>0</v>
      </c>
      <c r="I173" s="131"/>
      <c r="J173" s="131" t="n">
        <f aca="false">H173</f>
        <v>0</v>
      </c>
      <c r="K173" s="129"/>
      <c r="L173" s="131"/>
      <c r="M173" s="131"/>
      <c r="N173" s="131" t="n">
        <f aca="false">G173+J173+M173+$N$7</f>
        <v>5.51125</v>
      </c>
      <c r="O173" s="131" t="n">
        <f aca="false">Summary!$E$16</f>
        <v>9.81903240236408</v>
      </c>
      <c r="P173" s="131"/>
      <c r="Q173" s="141" t="n">
        <f aca="false">Q172</f>
        <v>0.17</v>
      </c>
      <c r="R173" s="129" t="n">
        <f aca="false">Q173+Summary!$C$26</f>
        <v>0.17</v>
      </c>
      <c r="S173" s="129"/>
      <c r="T173" s="132" t="n">
        <f aca="false">X173</f>
        <v>45139</v>
      </c>
      <c r="U173" s="133" t="n">
        <f aca="false">T173-$C$3</f>
        <v>8134</v>
      </c>
      <c r="W173" s="61" t="n">
        <f aca="false">A174-A173</f>
        <v>31</v>
      </c>
      <c r="X173" s="135" t="n">
        <f aca="false">CHOOSE(F$3,A174+24,A173)</f>
        <v>45139</v>
      </c>
      <c r="Y173" s="61" t="n">
        <f aca="false">X173-C$3</f>
        <v>8134</v>
      </c>
      <c r="Z173" s="141" t="n">
        <f aca="false">Z172+0.00005</f>
        <v>0.0678818486271084</v>
      </c>
      <c r="AA173" s="137" t="n">
        <f aca="false">1/(1+CHOOSE(F$3,(Z174+($K$3/10000))/2,(Z173+($K$3/10000))/2))^(2*Y173/365.25)</f>
        <v>0.22613600509114</v>
      </c>
      <c r="AB173" s="61" t="n">
        <f aca="false">IF(AND(mthbeg&lt;=A173,mthend&gt;=A173),1,0)</f>
        <v>1</v>
      </c>
      <c r="AC173" s="61" t="n">
        <f aca="false">W173*AB173</f>
        <v>31</v>
      </c>
      <c r="AD173" s="121" t="n">
        <f aca="false">$D173*E173</f>
        <v>8356423.35944137</v>
      </c>
      <c r="AE173" s="121" t="n">
        <f aca="false">$D173*F173</f>
        <v>0</v>
      </c>
      <c r="AF173" s="121" t="n">
        <f aca="false">$D173*G173</f>
        <v>8356423.35944137</v>
      </c>
      <c r="AG173" s="121" t="n">
        <f aca="false">$D173*H173</f>
        <v>0</v>
      </c>
      <c r="AH173" s="121" t="n">
        <f aca="false">$D173*I173</f>
        <v>0</v>
      </c>
      <c r="AI173" s="121" t="n">
        <f aca="false">$D173*J173</f>
        <v>0</v>
      </c>
      <c r="AJ173" s="121" t="n">
        <f aca="false">$D173*K173</f>
        <v>0</v>
      </c>
      <c r="AK173" s="121" t="n">
        <f aca="false">$D173*L173</f>
        <v>0</v>
      </c>
      <c r="AL173" s="121" t="n">
        <f aca="false">$D173*M173</f>
        <v>0</v>
      </c>
      <c r="AM173" s="139"/>
      <c r="AO173" s="75" t="e">
        <f aca="false">EURO(N173,O173,Z173,Z173,R173,U173,1,0)</f>
        <v>#NAME?</v>
      </c>
      <c r="AP173" s="138" t="e">
        <f aca="false">AO173*C173</f>
        <v>#NAME?</v>
      </c>
      <c r="AQ173" s="61" t="e">
        <f aca="false">EURO(N173,O173,Z173,Z173,R173,U173,1,1)</f>
        <v>#NAME?</v>
      </c>
      <c r="AR173" s="61" t="e">
        <f aca="false">AQ173+Put!AQ173</f>
        <v>#NAME?</v>
      </c>
      <c r="AS173" s="138" t="e">
        <f aca="false">AR173*C173</f>
        <v>#NAME?</v>
      </c>
      <c r="AT173" s="120" t="e">
        <f aca="false">AS173/10000</f>
        <v>#NAME?</v>
      </c>
    </row>
    <row r="174" customFormat="false" ht="12.75" hidden="false" customHeight="false" outlineLevel="0" collapsed="false">
      <c r="A174" s="127" t="n">
        <f aca="false">EDATE(A173,1)</f>
        <v>45170</v>
      </c>
      <c r="B174" s="128" t="n">
        <f aca="false">B173</f>
        <v>205479</v>
      </c>
      <c r="C174" s="116" t="n">
        <f aca="false">IF(AB174=0,0,IF(AND(AB174=1,$H$3=1),B174*W174,IF($H$3=2,B174,"N/A")))</f>
        <v>6164370</v>
      </c>
      <c r="D174" s="116" t="n">
        <f aca="false">C174*AA174</f>
        <v>1384612.7589225</v>
      </c>
      <c r="E174" s="141" t="n">
        <f aca="false">E162*1.02</f>
        <v>5.813235</v>
      </c>
      <c r="F174" s="130"/>
      <c r="G174" s="131" t="n">
        <f aca="false">E174</f>
        <v>5.813235</v>
      </c>
      <c r="H174" s="129" t="n">
        <f aca="false">H173</f>
        <v>0</v>
      </c>
      <c r="I174" s="131"/>
      <c r="J174" s="131" t="n">
        <f aca="false">H174</f>
        <v>0</v>
      </c>
      <c r="K174" s="129"/>
      <c r="L174" s="131"/>
      <c r="M174" s="131"/>
      <c r="N174" s="131" t="n">
        <f aca="false">G174+J174+M174+$N$7</f>
        <v>5.523235</v>
      </c>
      <c r="O174" s="131" t="n">
        <f aca="false">Summary!$E$16</f>
        <v>9.81903240236408</v>
      </c>
      <c r="P174" s="131"/>
      <c r="Q174" s="141" t="n">
        <f aca="false">Q173</f>
        <v>0.17</v>
      </c>
      <c r="R174" s="129" t="n">
        <f aca="false">Q174+Summary!$C$26</f>
        <v>0.17</v>
      </c>
      <c r="S174" s="129"/>
      <c r="T174" s="132" t="n">
        <f aca="false">X174</f>
        <v>45170</v>
      </c>
      <c r="U174" s="133" t="n">
        <f aca="false">T174-$C$3</f>
        <v>8165</v>
      </c>
      <c r="W174" s="61" t="n">
        <f aca="false">A175-A174</f>
        <v>30</v>
      </c>
      <c r="X174" s="135" t="n">
        <f aca="false">CHOOSE(F$3,A175+24,A174)</f>
        <v>45170</v>
      </c>
      <c r="Y174" s="61" t="n">
        <f aca="false">X174-C$3</f>
        <v>8165</v>
      </c>
      <c r="Z174" s="141" t="n">
        <f aca="false">Z173+0.00005</f>
        <v>0.0679318486271084</v>
      </c>
      <c r="AA174" s="137" t="n">
        <f aca="false">1/(1+CHOOSE(F$3,(Z175+($K$3/10000))/2,(Z174+($K$3/10000))/2))^(2*Y174/365.25)</f>
        <v>0.224615452823647</v>
      </c>
      <c r="AB174" s="61" t="n">
        <f aca="false">IF(AND(mthbeg&lt;=A174,mthend&gt;=A174),1,0)</f>
        <v>1</v>
      </c>
      <c r="AC174" s="61" t="n">
        <f aca="false">W174*AB174</f>
        <v>30</v>
      </c>
      <c r="AD174" s="121" t="n">
        <f aca="false">$D174*E174</f>
        <v>8049079.35161487</v>
      </c>
      <c r="AE174" s="121" t="n">
        <f aca="false">$D174*F174</f>
        <v>0</v>
      </c>
      <c r="AF174" s="121" t="n">
        <f aca="false">$D174*G174</f>
        <v>8049079.35161487</v>
      </c>
      <c r="AG174" s="121" t="n">
        <f aca="false">$D174*H174</f>
        <v>0</v>
      </c>
      <c r="AH174" s="121" t="n">
        <f aca="false">$D174*I174</f>
        <v>0</v>
      </c>
      <c r="AI174" s="121" t="n">
        <f aca="false">$D174*J174</f>
        <v>0</v>
      </c>
      <c r="AJ174" s="121" t="n">
        <f aca="false">$D174*K174</f>
        <v>0</v>
      </c>
      <c r="AK174" s="121" t="n">
        <f aca="false">$D174*L174</f>
        <v>0</v>
      </c>
      <c r="AL174" s="121" t="n">
        <f aca="false">$D174*M174</f>
        <v>0</v>
      </c>
      <c r="AM174" s="139"/>
      <c r="AO174" s="75" t="e">
        <f aca="false">EURO(N174,O174,Z174,Z174,R174,U174,1,0)</f>
        <v>#NAME?</v>
      </c>
      <c r="AP174" s="138" t="e">
        <f aca="false">AO174*C174</f>
        <v>#NAME?</v>
      </c>
      <c r="AQ174" s="61" t="e">
        <f aca="false">EURO(N174,O174,Z174,Z174,R174,U174,1,1)</f>
        <v>#NAME?</v>
      </c>
      <c r="AR174" s="61" t="e">
        <f aca="false">AQ174+Put!AQ174</f>
        <v>#NAME?</v>
      </c>
      <c r="AS174" s="138" t="e">
        <f aca="false">AR174*C174</f>
        <v>#NAME?</v>
      </c>
      <c r="AT174" s="120" t="e">
        <f aca="false">AS174/10000</f>
        <v>#NAME?</v>
      </c>
    </row>
    <row r="175" customFormat="false" ht="12.75" hidden="false" customHeight="false" outlineLevel="0" collapsed="false">
      <c r="A175" s="127" t="n">
        <f aca="false">EDATE(A174,1)</f>
        <v>45200</v>
      </c>
      <c r="B175" s="128" t="n">
        <f aca="false">B174</f>
        <v>205479</v>
      </c>
      <c r="C175" s="116" t="n">
        <f aca="false">IF(AB175=0,0,IF(AND(AB175=1,$H$3=1),B175*W175,IF($H$3=2,B175,"N/A")))</f>
        <v>6369849</v>
      </c>
      <c r="D175" s="116" t="n">
        <f aca="false">C175*AA175</f>
        <v>1421394.46319868</v>
      </c>
      <c r="E175" s="141" t="n">
        <f aca="false">E163*1.02</f>
        <v>5.844447</v>
      </c>
      <c r="F175" s="130"/>
      <c r="G175" s="131" t="n">
        <f aca="false">E175</f>
        <v>5.844447</v>
      </c>
      <c r="H175" s="129" t="n">
        <f aca="false">H174</f>
        <v>0</v>
      </c>
      <c r="I175" s="131"/>
      <c r="J175" s="131" t="n">
        <f aca="false">H175</f>
        <v>0</v>
      </c>
      <c r="K175" s="129"/>
      <c r="L175" s="131"/>
      <c r="M175" s="131"/>
      <c r="N175" s="131" t="n">
        <f aca="false">G175+J175+M175+$N$7</f>
        <v>5.554447</v>
      </c>
      <c r="O175" s="131" t="n">
        <f aca="false">Summary!$E$16</f>
        <v>9.81903240236408</v>
      </c>
      <c r="P175" s="131"/>
      <c r="Q175" s="141" t="n">
        <f aca="false">Q174</f>
        <v>0.17</v>
      </c>
      <c r="R175" s="129" t="n">
        <f aca="false">Q175+Summary!$C$26</f>
        <v>0.17</v>
      </c>
      <c r="S175" s="129"/>
      <c r="T175" s="132" t="n">
        <f aca="false">X175</f>
        <v>45200</v>
      </c>
      <c r="U175" s="133" t="n">
        <f aca="false">T175-$C$3</f>
        <v>8195</v>
      </c>
      <c r="W175" s="61" t="n">
        <f aca="false">A176-A175</f>
        <v>31</v>
      </c>
      <c r="X175" s="135" t="n">
        <f aca="false">CHOOSE(F$3,A176+24,A175)</f>
        <v>45200</v>
      </c>
      <c r="Y175" s="61" t="n">
        <f aca="false">X175-C$3</f>
        <v>8195</v>
      </c>
      <c r="Z175" s="141" t="n">
        <f aca="false">Z174+0.00005</f>
        <v>0.0679818486271084</v>
      </c>
      <c r="AA175" s="137" t="n">
        <f aca="false">1/(1+CHOOSE(F$3,(Z176+($K$3/10000))/2,(Z175+($K$3/10000))/2))^(2*Y175/365.25)</f>
        <v>0.223144137827864</v>
      </c>
      <c r="AB175" s="61" t="n">
        <f aca="false">IF(AND(mthbeg&lt;=A175,mthend&gt;=A175),1,0)</f>
        <v>1</v>
      </c>
      <c r="AC175" s="61" t="n">
        <f aca="false">W175*AB175</f>
        <v>31</v>
      </c>
      <c r="AD175" s="121" t="n">
        <f aca="false">$D175*E175</f>
        <v>8307264.60625814</v>
      </c>
      <c r="AE175" s="121" t="n">
        <f aca="false">$D175*F175</f>
        <v>0</v>
      </c>
      <c r="AF175" s="121" t="n">
        <f aca="false">$D175*G175</f>
        <v>8307264.60625814</v>
      </c>
      <c r="AG175" s="121" t="n">
        <f aca="false">$D175*H175</f>
        <v>0</v>
      </c>
      <c r="AH175" s="121" t="n">
        <f aca="false">$D175*I175</f>
        <v>0</v>
      </c>
      <c r="AI175" s="121" t="n">
        <f aca="false">$D175*J175</f>
        <v>0</v>
      </c>
      <c r="AJ175" s="121" t="n">
        <f aca="false">$D175*K175</f>
        <v>0</v>
      </c>
      <c r="AK175" s="121" t="n">
        <f aca="false">$D175*L175</f>
        <v>0</v>
      </c>
      <c r="AL175" s="121" t="n">
        <f aca="false">$D175*M175</f>
        <v>0</v>
      </c>
      <c r="AM175" s="139"/>
      <c r="AO175" s="75" t="e">
        <f aca="false">EURO(N175,O175,Z175,Z175,R175,U175,1,0)</f>
        <v>#NAME?</v>
      </c>
      <c r="AP175" s="138" t="e">
        <f aca="false">AO175*C175</f>
        <v>#NAME?</v>
      </c>
      <c r="AQ175" s="61" t="e">
        <f aca="false">EURO(N175,O175,Z175,Z175,R175,U175,1,1)</f>
        <v>#NAME?</v>
      </c>
      <c r="AR175" s="61" t="e">
        <f aca="false">AQ175+Put!AQ175</f>
        <v>#NAME?</v>
      </c>
      <c r="AS175" s="138" t="e">
        <f aca="false">AR175*C175</f>
        <v>#NAME?</v>
      </c>
      <c r="AT175" s="120" t="e">
        <f aca="false">AS175/10000</f>
        <v>#NAME?</v>
      </c>
    </row>
    <row r="176" customFormat="false" ht="12.75" hidden="false" customHeight="false" outlineLevel="0" collapsed="false">
      <c r="A176" s="127" t="n">
        <f aca="false">EDATE(A175,1)</f>
        <v>45231</v>
      </c>
      <c r="B176" s="128" t="n">
        <f aca="false">B175</f>
        <v>205479</v>
      </c>
      <c r="C176" s="116" t="n">
        <f aca="false">IF(AB176=0,0,IF(AND(AB176=1,$H$3=1),B176*W176,IF($H$3=2,B176,"N/A")))</f>
        <v>6164370</v>
      </c>
      <c r="D176" s="116" t="n">
        <f aca="false">C176*AA176</f>
        <v>1366271.61619281</v>
      </c>
      <c r="E176" s="141" t="n">
        <f aca="false">E164*1.02</f>
        <v>5.958891</v>
      </c>
      <c r="F176" s="130"/>
      <c r="G176" s="131" t="n">
        <f aca="false">E176</f>
        <v>5.958891</v>
      </c>
      <c r="H176" s="129" t="n">
        <f aca="false">H175</f>
        <v>0</v>
      </c>
      <c r="I176" s="131"/>
      <c r="J176" s="131" t="n">
        <f aca="false">H176</f>
        <v>0</v>
      </c>
      <c r="K176" s="129"/>
      <c r="L176" s="131"/>
      <c r="M176" s="131"/>
      <c r="N176" s="131" t="n">
        <f aca="false">G176+J176+M176+$N$7</f>
        <v>5.668891</v>
      </c>
      <c r="O176" s="131" t="n">
        <f aca="false">Summary!$E$16</f>
        <v>9.81903240236408</v>
      </c>
      <c r="P176" s="131"/>
      <c r="Q176" s="141" t="n">
        <f aca="false">Q175</f>
        <v>0.17</v>
      </c>
      <c r="R176" s="129" t="n">
        <f aca="false">Q176+Summary!$C$26</f>
        <v>0.17</v>
      </c>
      <c r="S176" s="129"/>
      <c r="T176" s="132" t="n">
        <f aca="false">X176</f>
        <v>45231</v>
      </c>
      <c r="U176" s="133" t="n">
        <f aca="false">T176-$C$3</f>
        <v>8226</v>
      </c>
      <c r="W176" s="61" t="n">
        <f aca="false">A177-A176</f>
        <v>30</v>
      </c>
      <c r="X176" s="135" t="n">
        <f aca="false">CHOOSE(F$3,A177+24,A176)</f>
        <v>45231</v>
      </c>
      <c r="Y176" s="61" t="n">
        <f aca="false">X176-C$3</f>
        <v>8226</v>
      </c>
      <c r="Z176" s="141" t="n">
        <f aca="false">Z175+0.00005</f>
        <v>0.0680318486271084</v>
      </c>
      <c r="AA176" s="137" t="n">
        <f aca="false">1/(1+CHOOSE(F$3,(Z177+($K$3/10000))/2,(Z176+($K$3/10000))/2))^(2*Y176/365.25)</f>
        <v>0.221640105346177</v>
      </c>
      <c r="AB176" s="61" t="n">
        <f aca="false">IF(AND(mthbeg&lt;=A176,mthend&gt;=A176),1,0)</f>
        <v>1</v>
      </c>
      <c r="AC176" s="61" t="n">
        <f aca="false">W176*AB176</f>
        <v>30</v>
      </c>
      <c r="AD176" s="121" t="n">
        <f aca="false">$D176*E176</f>
        <v>8141463.63728679</v>
      </c>
      <c r="AE176" s="121" t="n">
        <f aca="false">$D176*F176</f>
        <v>0</v>
      </c>
      <c r="AF176" s="121" t="n">
        <f aca="false">$D176*G176</f>
        <v>8141463.63728679</v>
      </c>
      <c r="AG176" s="121" t="n">
        <f aca="false">$D176*H176</f>
        <v>0</v>
      </c>
      <c r="AH176" s="121" t="n">
        <f aca="false">$D176*I176</f>
        <v>0</v>
      </c>
      <c r="AI176" s="121" t="n">
        <f aca="false">$D176*J176</f>
        <v>0</v>
      </c>
      <c r="AJ176" s="121" t="n">
        <f aca="false">$D176*K176</f>
        <v>0</v>
      </c>
      <c r="AK176" s="121" t="n">
        <f aca="false">$D176*L176</f>
        <v>0</v>
      </c>
      <c r="AL176" s="121" t="n">
        <f aca="false">$D176*M176</f>
        <v>0</v>
      </c>
      <c r="AM176" s="139"/>
      <c r="AO176" s="75" t="e">
        <f aca="false">EURO(N176,O176,Z176,Z176,R176,U176,1,0)</f>
        <v>#NAME?</v>
      </c>
      <c r="AP176" s="138" t="e">
        <f aca="false">AO176*C176</f>
        <v>#NAME?</v>
      </c>
      <c r="AQ176" s="61" t="e">
        <f aca="false">EURO(N176,O176,Z176,Z176,R176,U176,1,1)</f>
        <v>#NAME?</v>
      </c>
      <c r="AR176" s="61" t="e">
        <f aca="false">AQ176+Put!AQ176</f>
        <v>#NAME?</v>
      </c>
      <c r="AS176" s="138" t="e">
        <f aca="false">AR176*C176</f>
        <v>#NAME?</v>
      </c>
      <c r="AT176" s="120" t="e">
        <f aca="false">AS176/10000</f>
        <v>#NAME?</v>
      </c>
    </row>
    <row r="177" customFormat="false" ht="12.75" hidden="false" customHeight="false" outlineLevel="0" collapsed="false">
      <c r="A177" s="127" t="n">
        <f aca="false">EDATE(A176,1)</f>
        <v>45261</v>
      </c>
      <c r="B177" s="128" t="n">
        <f aca="false">B176</f>
        <v>205479</v>
      </c>
      <c r="C177" s="116" t="n">
        <f aca="false">IF(AB177=0,0,IF(AND(AB177=1,$H$3=1),B177*W177,IF($H$3=2,B177,"N/A")))</f>
        <v>6369849</v>
      </c>
      <c r="D177" s="116" t="n">
        <f aca="false">C177*AA177</f>
        <v>1402543.70087423</v>
      </c>
      <c r="E177" s="141" t="n">
        <f aca="false">E165*1.02</f>
        <v>6.083739</v>
      </c>
      <c r="F177" s="130"/>
      <c r="G177" s="131" t="n">
        <f aca="false">E177</f>
        <v>6.083739</v>
      </c>
      <c r="H177" s="129" t="n">
        <f aca="false">H176</f>
        <v>0</v>
      </c>
      <c r="I177" s="131"/>
      <c r="J177" s="131" t="n">
        <f aca="false">H177</f>
        <v>0</v>
      </c>
      <c r="K177" s="129"/>
      <c r="L177" s="131"/>
      <c r="M177" s="131"/>
      <c r="N177" s="131" t="n">
        <f aca="false">G177+J177+M177+$N$7</f>
        <v>5.793739</v>
      </c>
      <c r="O177" s="131" t="n">
        <f aca="false">Summary!$E$16</f>
        <v>9.81903240236408</v>
      </c>
      <c r="P177" s="131"/>
      <c r="Q177" s="141" t="n">
        <f aca="false">Q176</f>
        <v>0.17</v>
      </c>
      <c r="R177" s="129" t="n">
        <f aca="false">Q177+Summary!$C$26</f>
        <v>0.17</v>
      </c>
      <c r="S177" s="129"/>
      <c r="T177" s="132" t="n">
        <f aca="false">X177</f>
        <v>45261</v>
      </c>
      <c r="U177" s="133" t="n">
        <f aca="false">T177-$C$3</f>
        <v>8256</v>
      </c>
      <c r="W177" s="61" t="n">
        <f aca="false">A178-A177</f>
        <v>31</v>
      </c>
      <c r="X177" s="135" t="n">
        <f aca="false">CHOOSE(F$3,A178+24,A177)</f>
        <v>45261</v>
      </c>
      <c r="Y177" s="61" t="n">
        <f aca="false">X177-C$3</f>
        <v>8256</v>
      </c>
      <c r="Z177" s="141" t="n">
        <f aca="false">Z176+0.00005</f>
        <v>0.0680818486271084</v>
      </c>
      <c r="AA177" s="137" t="n">
        <f aca="false">1/(1+CHOOSE(F$3,(Z178+($K$3/10000))/2,(Z177+($K$3/10000))/2))^(2*Y177/365.25)</f>
        <v>0.220184764328672</v>
      </c>
      <c r="AB177" s="61" t="n">
        <f aca="false">IF(AND(mthbeg&lt;=A177,mthend&gt;=A177),1,0)</f>
        <v>1</v>
      </c>
      <c r="AC177" s="61" t="n">
        <f aca="false">W177*AB177</f>
        <v>31</v>
      </c>
      <c r="AD177" s="121" t="n">
        <f aca="false">$D177*E177</f>
        <v>8532709.81221286</v>
      </c>
      <c r="AE177" s="121" t="n">
        <f aca="false">$D177*F177</f>
        <v>0</v>
      </c>
      <c r="AF177" s="121" t="n">
        <f aca="false">$D177*G177</f>
        <v>8532709.81221286</v>
      </c>
      <c r="AG177" s="121" t="n">
        <f aca="false">$D177*H177</f>
        <v>0</v>
      </c>
      <c r="AH177" s="121" t="n">
        <f aca="false">$D177*I177</f>
        <v>0</v>
      </c>
      <c r="AI177" s="121" t="n">
        <f aca="false">$D177*J177</f>
        <v>0</v>
      </c>
      <c r="AJ177" s="121" t="n">
        <f aca="false">$D177*K177</f>
        <v>0</v>
      </c>
      <c r="AK177" s="121" t="n">
        <f aca="false">$D177*L177</f>
        <v>0</v>
      </c>
      <c r="AL177" s="121" t="n">
        <f aca="false">$D177*M177</f>
        <v>0</v>
      </c>
      <c r="AM177" s="139"/>
      <c r="AO177" s="75" t="e">
        <f aca="false">EURO(N177,O177,Z177,Z177,R177,U177,1,0)</f>
        <v>#NAME?</v>
      </c>
      <c r="AP177" s="138" t="e">
        <f aca="false">AO177*C177</f>
        <v>#NAME?</v>
      </c>
      <c r="AQ177" s="61" t="e">
        <f aca="false">EURO(N177,O177,Z177,Z177,R177,U177,1,1)</f>
        <v>#NAME?</v>
      </c>
      <c r="AR177" s="61" t="e">
        <f aca="false">AQ177+Put!AQ177</f>
        <v>#NAME?</v>
      </c>
      <c r="AS177" s="138" t="e">
        <f aca="false">AR177*C177</f>
        <v>#NAME?</v>
      </c>
      <c r="AT177" s="120" t="e">
        <f aca="false">AS177/10000</f>
        <v>#NAME?</v>
      </c>
    </row>
    <row r="178" customFormat="false" ht="12.75" hidden="false" customHeight="false" outlineLevel="0" collapsed="false">
      <c r="A178" s="127" t="n">
        <f aca="false">EDATE(A177,1)</f>
        <v>45292</v>
      </c>
      <c r="B178" s="128" t="n">
        <f aca="false">B177</f>
        <v>205479</v>
      </c>
      <c r="C178" s="116" t="n">
        <f aca="false">IF(AB178=0,0,IF(AND(AB178=1,$H$3=1),B178*W178,IF($H$3=2,B178,"N/A")))</f>
        <v>6369849</v>
      </c>
      <c r="D178" s="116" t="n">
        <f aca="false">C178*AA178</f>
        <v>1393067.68772295</v>
      </c>
      <c r="E178" s="141" t="n">
        <f aca="false">E166*1.02</f>
        <v>6.177375</v>
      </c>
      <c r="F178" s="130"/>
      <c r="G178" s="131" t="n">
        <f aca="false">E178</f>
        <v>6.177375</v>
      </c>
      <c r="H178" s="129" t="n">
        <f aca="false">H177</f>
        <v>0</v>
      </c>
      <c r="I178" s="131"/>
      <c r="J178" s="131" t="n">
        <f aca="false">H178</f>
        <v>0</v>
      </c>
      <c r="K178" s="129"/>
      <c r="L178" s="131"/>
      <c r="M178" s="131"/>
      <c r="N178" s="131" t="n">
        <f aca="false">G178+J178+M178+$N$7</f>
        <v>5.887375</v>
      </c>
      <c r="O178" s="131" t="n">
        <f aca="false">Summary!$E$16</f>
        <v>9.81903240236408</v>
      </c>
      <c r="P178" s="131"/>
      <c r="Q178" s="141" t="n">
        <f aca="false">Q177</f>
        <v>0.17</v>
      </c>
      <c r="R178" s="129" t="n">
        <f aca="false">Q178+Summary!$C$26</f>
        <v>0.17</v>
      </c>
      <c r="S178" s="129"/>
      <c r="T178" s="132" t="n">
        <f aca="false">X178</f>
        <v>45292</v>
      </c>
      <c r="U178" s="133" t="n">
        <f aca="false">T178-$C$3</f>
        <v>8287</v>
      </c>
      <c r="W178" s="61" t="n">
        <f aca="false">A179-A178</f>
        <v>31</v>
      </c>
      <c r="X178" s="135" t="n">
        <f aca="false">CHOOSE(F$3,A179+24,A178)</f>
        <v>45292</v>
      </c>
      <c r="Y178" s="61" t="n">
        <f aca="false">X178-C$3</f>
        <v>8287</v>
      </c>
      <c r="Z178" s="141" t="n">
        <f aca="false">Z177+0.00005</f>
        <v>0.0681318486271084</v>
      </c>
      <c r="AA178" s="137" t="n">
        <f aca="false">1/(1+CHOOSE(F$3,(Z179+($K$3/10000))/2,(Z178+($K$3/10000))/2))^(2*Y178/365.25)</f>
        <v>0.218697128883739</v>
      </c>
      <c r="AB178" s="61" t="n">
        <f aca="false">IF(AND(mthbeg&lt;=A178,mthend&gt;=A178),1,0)</f>
        <v>1</v>
      </c>
      <c r="AC178" s="61" t="n">
        <f aca="false">W178*AB178</f>
        <v>31</v>
      </c>
      <c r="AD178" s="121" t="n">
        <f aca="false">$D178*E178</f>
        <v>8605501.50744758</v>
      </c>
      <c r="AE178" s="121" t="n">
        <f aca="false">$D178*F178</f>
        <v>0</v>
      </c>
      <c r="AF178" s="121" t="n">
        <f aca="false">$D178*G178</f>
        <v>8605501.50744758</v>
      </c>
      <c r="AG178" s="121" t="n">
        <f aca="false">$D178*H178</f>
        <v>0</v>
      </c>
      <c r="AH178" s="121" t="n">
        <f aca="false">$D178*I178</f>
        <v>0</v>
      </c>
      <c r="AI178" s="121" t="n">
        <f aca="false">$D178*J178</f>
        <v>0</v>
      </c>
      <c r="AJ178" s="121" t="n">
        <f aca="false">$D178*K178</f>
        <v>0</v>
      </c>
      <c r="AK178" s="121" t="n">
        <f aca="false">$D178*L178</f>
        <v>0</v>
      </c>
      <c r="AL178" s="121" t="n">
        <f aca="false">$D178*M178</f>
        <v>0</v>
      </c>
      <c r="AM178" s="139"/>
      <c r="AO178" s="75" t="e">
        <f aca="false">EURO(N178,O178,Z178,Z178,R178,U178,1,0)</f>
        <v>#NAME?</v>
      </c>
      <c r="AP178" s="138" t="e">
        <f aca="false">AO178*C178</f>
        <v>#NAME?</v>
      </c>
      <c r="AQ178" s="61" t="e">
        <f aca="false">EURO(N178,O178,Z178,Z178,R178,U178,1,1)</f>
        <v>#NAME?</v>
      </c>
      <c r="AR178" s="61" t="e">
        <f aca="false">AQ178+Put!AQ178</f>
        <v>#NAME?</v>
      </c>
      <c r="AS178" s="138" t="e">
        <f aca="false">AR178*C178</f>
        <v>#NAME?</v>
      </c>
      <c r="AT178" s="120" t="e">
        <f aca="false">AS178/10000</f>
        <v>#NAME?</v>
      </c>
    </row>
    <row r="179" customFormat="false" ht="12.75" hidden="false" customHeight="false" outlineLevel="0" collapsed="false">
      <c r="A179" s="127" t="n">
        <f aca="false">EDATE(A178,1)</f>
        <v>45323</v>
      </c>
      <c r="B179" s="128" t="n">
        <f aca="false">B178</f>
        <v>205479</v>
      </c>
      <c r="C179" s="116" t="n">
        <f aca="false">IF(AB179=0,0,IF(AND(AB179=1,$H$3=1),B179*W179,IF($H$3=2,B179,"N/A")))</f>
        <v>5958891</v>
      </c>
      <c r="D179" s="116" t="n">
        <f aca="false">C179*AA179</f>
        <v>1294376.99828339</v>
      </c>
      <c r="E179" s="141" t="n">
        <f aca="false">E167*1.02</f>
        <v>6.052527</v>
      </c>
      <c r="F179" s="130"/>
      <c r="G179" s="131" t="n">
        <f aca="false">E179</f>
        <v>6.052527</v>
      </c>
      <c r="H179" s="129" t="n">
        <f aca="false">H178</f>
        <v>0</v>
      </c>
      <c r="I179" s="131"/>
      <c r="J179" s="131" t="n">
        <f aca="false">H179</f>
        <v>0</v>
      </c>
      <c r="K179" s="129"/>
      <c r="L179" s="131"/>
      <c r="M179" s="131"/>
      <c r="N179" s="131" t="n">
        <f aca="false">G179+J179+M179+$N$7</f>
        <v>5.762527</v>
      </c>
      <c r="O179" s="131" t="n">
        <f aca="false">Summary!$E$16</f>
        <v>9.81903240236408</v>
      </c>
      <c r="P179" s="131"/>
      <c r="Q179" s="141" t="n">
        <f aca="false">Q178</f>
        <v>0.17</v>
      </c>
      <c r="R179" s="129" t="n">
        <f aca="false">Q179+Summary!$C$26</f>
        <v>0.17</v>
      </c>
      <c r="S179" s="129"/>
      <c r="T179" s="132" t="n">
        <f aca="false">X179</f>
        <v>45323</v>
      </c>
      <c r="U179" s="133" t="n">
        <f aca="false">T179-$C$3</f>
        <v>8318</v>
      </c>
      <c r="W179" s="61" t="n">
        <f aca="false">A180-A179</f>
        <v>29</v>
      </c>
      <c r="X179" s="135" t="n">
        <f aca="false">CHOOSE(F$3,A180+24,A179)</f>
        <v>45323</v>
      </c>
      <c r="Y179" s="61" t="n">
        <f aca="false">X179-C$3</f>
        <v>8318</v>
      </c>
      <c r="Z179" s="141" t="n">
        <f aca="false">Z178+0.00005</f>
        <v>0.0681818486271084</v>
      </c>
      <c r="AA179" s="137" t="n">
        <f aca="false">1/(1+CHOOSE(F$3,(Z180+($K$3/10000))/2,(Z179+($K$3/10000))/2))^(2*Y179/365.25)</f>
        <v>0.217217767246185</v>
      </c>
      <c r="AB179" s="61" t="n">
        <f aca="false">IF(AND(mthbeg&lt;=A179,mthend&gt;=A179),1,0)</f>
        <v>1</v>
      </c>
      <c r="AC179" s="61" t="n">
        <f aca="false">W179*AB179</f>
        <v>29</v>
      </c>
      <c r="AD179" s="121" t="n">
        <f aca="false">$D179*E179</f>
        <v>7834251.73028915</v>
      </c>
      <c r="AE179" s="121" t="n">
        <f aca="false">$D179*F179</f>
        <v>0</v>
      </c>
      <c r="AF179" s="121" t="n">
        <f aca="false">$D179*G179</f>
        <v>7834251.73028915</v>
      </c>
      <c r="AG179" s="121" t="n">
        <f aca="false">$D179*H179</f>
        <v>0</v>
      </c>
      <c r="AH179" s="121" t="n">
        <f aca="false">$D179*I179</f>
        <v>0</v>
      </c>
      <c r="AI179" s="121" t="n">
        <f aca="false">$D179*J179</f>
        <v>0</v>
      </c>
      <c r="AJ179" s="121" t="n">
        <f aca="false">$D179*K179</f>
        <v>0</v>
      </c>
      <c r="AK179" s="121" t="n">
        <f aca="false">$D179*L179</f>
        <v>0</v>
      </c>
      <c r="AL179" s="121" t="n">
        <f aca="false">$D179*M179</f>
        <v>0</v>
      </c>
      <c r="AM179" s="139"/>
      <c r="AO179" s="75" t="e">
        <f aca="false">EURO(N179,O179,Z179,Z179,R179,U179,1,0)</f>
        <v>#NAME?</v>
      </c>
      <c r="AP179" s="138" t="e">
        <f aca="false">AO179*C179</f>
        <v>#NAME?</v>
      </c>
      <c r="AQ179" s="61" t="e">
        <f aca="false">EURO(N179,O179,Z179,Z179,R179,U179,1,1)</f>
        <v>#NAME?</v>
      </c>
      <c r="AR179" s="61" t="e">
        <f aca="false">AQ179+Put!AQ179</f>
        <v>#NAME?</v>
      </c>
      <c r="AS179" s="138" t="e">
        <f aca="false">AR179*C179</f>
        <v>#NAME?</v>
      </c>
      <c r="AT179" s="120" t="e">
        <f aca="false">AS179/10000</f>
        <v>#NAME?</v>
      </c>
    </row>
    <row r="180" customFormat="false" ht="12.75" hidden="false" customHeight="false" outlineLevel="0" collapsed="false">
      <c r="A180" s="127" t="n">
        <f aca="false">EDATE(A179,1)</f>
        <v>45352</v>
      </c>
      <c r="B180" s="128" t="n">
        <f aca="false">B179</f>
        <v>205479</v>
      </c>
      <c r="C180" s="116" t="n">
        <f aca="false">IF(AB180=0,0,IF(AND(AB180=1,$H$3=1),B180*W180,IF($H$3=2,B180,"N/A")))</f>
        <v>6369849</v>
      </c>
      <c r="D180" s="116" t="n">
        <f aca="false">C180*AA180</f>
        <v>1374778.548544</v>
      </c>
      <c r="E180" s="141" t="n">
        <f aca="false">E168*1.02</f>
        <v>5.9079114</v>
      </c>
      <c r="F180" s="130"/>
      <c r="G180" s="131" t="n">
        <f aca="false">E180</f>
        <v>5.9079114</v>
      </c>
      <c r="H180" s="129" t="n">
        <f aca="false">H179</f>
        <v>0</v>
      </c>
      <c r="I180" s="131"/>
      <c r="J180" s="131" t="n">
        <f aca="false">H180</f>
        <v>0</v>
      </c>
      <c r="K180" s="129"/>
      <c r="L180" s="131"/>
      <c r="M180" s="131"/>
      <c r="N180" s="131" t="n">
        <f aca="false">G180+J180+M180+$N$7</f>
        <v>5.6179114</v>
      </c>
      <c r="O180" s="131" t="n">
        <f aca="false">Summary!$E$16</f>
        <v>9.81903240236408</v>
      </c>
      <c r="P180" s="131"/>
      <c r="Q180" s="141" t="n">
        <f aca="false">Q179</f>
        <v>0.17</v>
      </c>
      <c r="R180" s="129" t="n">
        <f aca="false">Q180+Summary!$C$26</f>
        <v>0.17</v>
      </c>
      <c r="S180" s="129"/>
      <c r="T180" s="132" t="n">
        <f aca="false">X180</f>
        <v>45352</v>
      </c>
      <c r="U180" s="133" t="n">
        <f aca="false">T180-$C$3</f>
        <v>8347</v>
      </c>
      <c r="W180" s="61" t="n">
        <f aca="false">A181-A180</f>
        <v>31</v>
      </c>
      <c r="X180" s="135" t="n">
        <f aca="false">CHOOSE(F$3,A181+24,A180)</f>
        <v>45352</v>
      </c>
      <c r="Y180" s="61" t="n">
        <f aca="false">X180-C$3</f>
        <v>8347</v>
      </c>
      <c r="Z180" s="141" t="n">
        <f aca="false">Z179+0.00005</f>
        <v>0.0682318486271084</v>
      </c>
      <c r="AA180" s="137" t="n">
        <f aca="false">1/(1+CHOOSE(F$3,(Z181+($K$3/10000))/2,(Z180+($K$3/10000))/2))^(2*Y180/365.25)</f>
        <v>0.215825924373404</v>
      </c>
      <c r="AB180" s="61" t="n">
        <f aca="false">IF(AND(mthbeg&lt;=A180,mthend&gt;=A180),1,0)</f>
        <v>1</v>
      </c>
      <c r="AC180" s="61" t="n">
        <f aca="false">W180*AB180</f>
        <v>31</v>
      </c>
      <c r="AD180" s="121" t="n">
        <f aca="false">$D180*E180</f>
        <v>8122069.85941857</v>
      </c>
      <c r="AE180" s="121" t="n">
        <f aca="false">$D180*F180</f>
        <v>0</v>
      </c>
      <c r="AF180" s="121" t="n">
        <f aca="false">$D180*G180</f>
        <v>8122069.85941857</v>
      </c>
      <c r="AG180" s="121" t="n">
        <f aca="false">$D180*H180</f>
        <v>0</v>
      </c>
      <c r="AH180" s="121" t="n">
        <f aca="false">$D180*I180</f>
        <v>0</v>
      </c>
      <c r="AI180" s="121" t="n">
        <f aca="false">$D180*J180</f>
        <v>0</v>
      </c>
      <c r="AJ180" s="121" t="n">
        <f aca="false">$D180*K180</f>
        <v>0</v>
      </c>
      <c r="AK180" s="121" t="n">
        <f aca="false">$D180*L180</f>
        <v>0</v>
      </c>
      <c r="AL180" s="121" t="n">
        <f aca="false">$D180*M180</f>
        <v>0</v>
      </c>
      <c r="AM180" s="139"/>
      <c r="AO180" s="75" t="e">
        <f aca="false">EURO(N180,O180,Z180,Z180,R180,U180,1,0)</f>
        <v>#NAME?</v>
      </c>
      <c r="AP180" s="138" t="e">
        <f aca="false">AO180*C180</f>
        <v>#NAME?</v>
      </c>
      <c r="AQ180" s="61" t="e">
        <f aca="false">EURO(N180,O180,Z180,Z180,R180,U180,1,1)</f>
        <v>#NAME?</v>
      </c>
      <c r="AR180" s="61" t="e">
        <f aca="false">AQ180+Put!AQ180</f>
        <v>#NAME?</v>
      </c>
      <c r="AS180" s="138" t="e">
        <f aca="false">AR180*C180</f>
        <v>#NAME?</v>
      </c>
      <c r="AT180" s="120" t="e">
        <f aca="false">AS180/10000</f>
        <v>#NAME?</v>
      </c>
    </row>
    <row r="181" customFormat="false" ht="12.75" hidden="false" customHeight="false" outlineLevel="0" collapsed="false">
      <c r="A181" s="127" t="n">
        <f aca="false">EDATE(A180,1)</f>
        <v>45383</v>
      </c>
      <c r="B181" s="128" t="n">
        <f aca="false">B180</f>
        <v>205479</v>
      </c>
      <c r="C181" s="116" t="n">
        <f aca="false">IF(AB181=0,0,IF(AND(AB181=1,$H$3=1),B181*W181,IF($H$3=2,B181,"N/A")))</f>
        <v>6164370</v>
      </c>
      <c r="D181" s="116" t="n">
        <f aca="false">C181*AA181</f>
        <v>1321409.97510545</v>
      </c>
      <c r="E181" s="141" t="n">
        <f aca="false">E169*1.02</f>
        <v>5.7310434</v>
      </c>
      <c r="F181" s="130"/>
      <c r="G181" s="131" t="n">
        <f aca="false">E181</f>
        <v>5.7310434</v>
      </c>
      <c r="H181" s="129" t="n">
        <f aca="false">H180</f>
        <v>0</v>
      </c>
      <c r="I181" s="131"/>
      <c r="J181" s="131" t="n">
        <f aca="false">H181</f>
        <v>0</v>
      </c>
      <c r="K181" s="129"/>
      <c r="L181" s="131"/>
      <c r="M181" s="131"/>
      <c r="N181" s="131" t="n">
        <f aca="false">G181+J181+M181+$N$7</f>
        <v>5.4410434</v>
      </c>
      <c r="O181" s="131" t="n">
        <f aca="false">Summary!$E$16</f>
        <v>9.81903240236408</v>
      </c>
      <c r="P181" s="131"/>
      <c r="Q181" s="141" t="n">
        <f aca="false">Q180</f>
        <v>0.17</v>
      </c>
      <c r="R181" s="129" t="n">
        <f aca="false">Q181+Summary!$C$26</f>
        <v>0.17</v>
      </c>
      <c r="S181" s="129"/>
      <c r="T181" s="132" t="n">
        <f aca="false">X181</f>
        <v>45383</v>
      </c>
      <c r="U181" s="133" t="n">
        <f aca="false">T181-$C$3</f>
        <v>8378</v>
      </c>
      <c r="W181" s="61" t="n">
        <f aca="false">A182-A181</f>
        <v>30</v>
      </c>
      <c r="X181" s="135" t="n">
        <f aca="false">CHOOSE(F$3,A182+24,A181)</f>
        <v>45383</v>
      </c>
      <c r="Y181" s="61" t="n">
        <f aca="false">X181-C$3</f>
        <v>8378</v>
      </c>
      <c r="Z181" s="141" t="n">
        <f aca="false">Z180+0.00005</f>
        <v>0.0682818486271084</v>
      </c>
      <c r="AA181" s="137" t="n">
        <f aca="false">1/(1+CHOOSE(F$3,(Z182+($K$3/10000))/2,(Z181+($K$3/10000))/2))^(2*Y181/365.25)</f>
        <v>0.214362534225793</v>
      </c>
      <c r="AB181" s="61" t="n">
        <f aca="false">IF(AND(mthbeg&lt;=A181,mthend&gt;=A181),1,0)</f>
        <v>1</v>
      </c>
      <c r="AC181" s="61" t="n">
        <f aca="false">W181*AB181</f>
        <v>30</v>
      </c>
      <c r="AD181" s="121" t="n">
        <f aca="false">$D181*E181</f>
        <v>7573057.91652227</v>
      </c>
      <c r="AE181" s="121" t="n">
        <f aca="false">$D181*F181</f>
        <v>0</v>
      </c>
      <c r="AF181" s="121" t="n">
        <f aca="false">$D181*G181</f>
        <v>7573057.91652227</v>
      </c>
      <c r="AG181" s="121" t="n">
        <f aca="false">$D181*H181</f>
        <v>0</v>
      </c>
      <c r="AH181" s="121" t="n">
        <f aca="false">$D181*I181</f>
        <v>0</v>
      </c>
      <c r="AI181" s="121" t="n">
        <f aca="false">$D181*J181</f>
        <v>0</v>
      </c>
      <c r="AJ181" s="121" t="n">
        <f aca="false">$D181*K181</f>
        <v>0</v>
      </c>
      <c r="AK181" s="121" t="n">
        <f aca="false">$D181*L181</f>
        <v>0</v>
      </c>
      <c r="AL181" s="121" t="n">
        <f aca="false">$D181*M181</f>
        <v>0</v>
      </c>
      <c r="AM181" s="139"/>
      <c r="AO181" s="75" t="e">
        <f aca="false">EURO(N181,O181,Z181,Z181,R181,U181,1,0)</f>
        <v>#NAME?</v>
      </c>
      <c r="AP181" s="138" t="e">
        <f aca="false">AO181*C181</f>
        <v>#NAME?</v>
      </c>
      <c r="AQ181" s="61" t="e">
        <f aca="false">EURO(N181,O181,Z181,Z181,R181,U181,1,1)</f>
        <v>#NAME?</v>
      </c>
      <c r="AR181" s="61" t="e">
        <f aca="false">AQ181+Put!AQ181</f>
        <v>#NAME?</v>
      </c>
      <c r="AS181" s="138" t="e">
        <f aca="false">AR181*C181</f>
        <v>#NAME?</v>
      </c>
      <c r="AT181" s="120" t="e">
        <f aca="false">AS181/10000</f>
        <v>#NAME?</v>
      </c>
    </row>
    <row r="182" customFormat="false" ht="12.75" hidden="false" customHeight="false" outlineLevel="0" collapsed="false">
      <c r="A182" s="127" t="n">
        <f aca="false">EDATE(A181,1)</f>
        <v>45413</v>
      </c>
      <c r="B182" s="128" t="n">
        <f aca="false">B181</f>
        <v>205479</v>
      </c>
      <c r="C182" s="116" t="n">
        <f aca="false">IF(AB182=0,0,IF(AND(AB182=1,$H$3=1),B182*W182,IF($H$3=2,B182,"N/A")))</f>
        <v>6369849</v>
      </c>
      <c r="D182" s="116" t="n">
        <f aca="false">C182*AA182</f>
        <v>1356437.01384188</v>
      </c>
      <c r="E182" s="141" t="n">
        <f aca="false">E170*1.02</f>
        <v>5.792427</v>
      </c>
      <c r="F182" s="130"/>
      <c r="G182" s="131" t="n">
        <f aca="false">E182</f>
        <v>5.792427</v>
      </c>
      <c r="H182" s="129" t="n">
        <f aca="false">H181</f>
        <v>0</v>
      </c>
      <c r="I182" s="131"/>
      <c r="J182" s="131" t="n">
        <f aca="false">H182</f>
        <v>0</v>
      </c>
      <c r="K182" s="129"/>
      <c r="L182" s="131"/>
      <c r="M182" s="131"/>
      <c r="N182" s="131" t="n">
        <f aca="false">G182+J182+M182+$N$7</f>
        <v>5.502427</v>
      </c>
      <c r="O182" s="131" t="n">
        <f aca="false">Summary!$E$16</f>
        <v>9.81903240236408</v>
      </c>
      <c r="P182" s="131"/>
      <c r="Q182" s="141" t="n">
        <f aca="false">Q181</f>
        <v>0.17</v>
      </c>
      <c r="R182" s="129" t="n">
        <f aca="false">Q182+Summary!$C$26</f>
        <v>0.17</v>
      </c>
      <c r="S182" s="129"/>
      <c r="T182" s="132" t="n">
        <f aca="false">X182</f>
        <v>45413</v>
      </c>
      <c r="U182" s="133" t="n">
        <f aca="false">T182-$C$3</f>
        <v>8408</v>
      </c>
      <c r="W182" s="61" t="n">
        <f aca="false">A183-A182</f>
        <v>31</v>
      </c>
      <c r="X182" s="135" t="n">
        <f aca="false">CHOOSE(F$3,A183+24,A182)</f>
        <v>45413</v>
      </c>
      <c r="Y182" s="61" t="n">
        <f aca="false">X182-C$3</f>
        <v>8408</v>
      </c>
      <c r="Z182" s="141" t="n">
        <f aca="false">Z181+0.00005</f>
        <v>0.0683318486271084</v>
      </c>
      <c r="AA182" s="137" t="n">
        <f aca="false">1/(1+CHOOSE(F$3,(Z183+($K$3/10000))/2,(Z182+($K$3/10000))/2))^(2*Y182/365.25)</f>
        <v>0.212946494311228</v>
      </c>
      <c r="AB182" s="61" t="n">
        <f aca="false">IF(AND(mthbeg&lt;=A182,mthend&gt;=A182),1,0)</f>
        <v>1</v>
      </c>
      <c r="AC182" s="61" t="n">
        <f aca="false">W182*AB182</f>
        <v>31</v>
      </c>
      <c r="AD182" s="121" t="n">
        <f aca="false">$D182*E182</f>
        <v>7857062.38277708</v>
      </c>
      <c r="AE182" s="121" t="n">
        <f aca="false">$D182*F182</f>
        <v>0</v>
      </c>
      <c r="AF182" s="121" t="n">
        <f aca="false">$D182*G182</f>
        <v>7857062.38277708</v>
      </c>
      <c r="AG182" s="121" t="n">
        <f aca="false">$D182*H182</f>
        <v>0</v>
      </c>
      <c r="AH182" s="121" t="n">
        <f aca="false">$D182*I182</f>
        <v>0</v>
      </c>
      <c r="AI182" s="121" t="n">
        <f aca="false">$D182*J182</f>
        <v>0</v>
      </c>
      <c r="AJ182" s="121" t="n">
        <f aca="false">$D182*K182</f>
        <v>0</v>
      </c>
      <c r="AK182" s="121" t="n">
        <f aca="false">$D182*L182</f>
        <v>0</v>
      </c>
      <c r="AL182" s="121" t="n">
        <f aca="false">$D182*M182</f>
        <v>0</v>
      </c>
      <c r="AM182" s="139"/>
      <c r="AO182" s="75" t="e">
        <f aca="false">EURO(N182,O182,Z182,Z182,R182,U182,1,0)</f>
        <v>#NAME?</v>
      </c>
      <c r="AP182" s="138" t="e">
        <f aca="false">AO182*C182</f>
        <v>#NAME?</v>
      </c>
      <c r="AQ182" s="61" t="e">
        <f aca="false">EURO(N182,O182,Z182,Z182,R182,U182,1,1)</f>
        <v>#NAME?</v>
      </c>
      <c r="AR182" s="61" t="e">
        <f aca="false">AQ182+Put!AQ182</f>
        <v>#NAME?</v>
      </c>
      <c r="AS182" s="138" t="e">
        <f aca="false">AR182*C182</f>
        <v>#NAME?</v>
      </c>
      <c r="AT182" s="120" t="e">
        <f aca="false">AS182/10000</f>
        <v>#NAME?</v>
      </c>
    </row>
    <row r="183" customFormat="false" ht="12.75" hidden="false" customHeight="false" outlineLevel="0" collapsed="false">
      <c r="A183" s="127" t="n">
        <f aca="false">EDATE(A182,1)</f>
        <v>45444</v>
      </c>
      <c r="B183" s="128" t="n">
        <f aca="false">B182</f>
        <v>205479</v>
      </c>
      <c r="C183" s="116" t="n">
        <f aca="false">IF(AB183=0,0,IF(AND(AB183=1,$H$3=1),B183*W183,IF($H$3=2,B183,"N/A")))</f>
        <v>6164370</v>
      </c>
      <c r="D183" s="116" t="n">
        <f aca="false">C183*AA183</f>
        <v>1303759.29681425</v>
      </c>
      <c r="E183" s="141" t="n">
        <f aca="false">E171*1.02</f>
        <v>5.834043</v>
      </c>
      <c r="F183" s="130"/>
      <c r="G183" s="131" t="n">
        <f aca="false">E183</f>
        <v>5.834043</v>
      </c>
      <c r="H183" s="129" t="n">
        <f aca="false">H182</f>
        <v>0</v>
      </c>
      <c r="I183" s="131"/>
      <c r="J183" s="131" t="n">
        <f aca="false">H183</f>
        <v>0</v>
      </c>
      <c r="K183" s="129"/>
      <c r="L183" s="131"/>
      <c r="M183" s="131"/>
      <c r="N183" s="131" t="n">
        <f aca="false">G183+J183+M183+$N$7</f>
        <v>5.544043</v>
      </c>
      <c r="O183" s="131" t="n">
        <f aca="false">Summary!$E$16</f>
        <v>9.81903240236408</v>
      </c>
      <c r="P183" s="131"/>
      <c r="Q183" s="141" t="n">
        <f aca="false">Q182</f>
        <v>0.17</v>
      </c>
      <c r="R183" s="129" t="n">
        <f aca="false">Q183+Summary!$C$26</f>
        <v>0.17</v>
      </c>
      <c r="S183" s="129"/>
      <c r="T183" s="132" t="n">
        <f aca="false">X183</f>
        <v>45444</v>
      </c>
      <c r="U183" s="133" t="n">
        <f aca="false">T183-$C$3</f>
        <v>8439</v>
      </c>
      <c r="W183" s="61" t="n">
        <f aca="false">A184-A183</f>
        <v>30</v>
      </c>
      <c r="X183" s="135" t="n">
        <f aca="false">CHOOSE(F$3,A184+24,A183)</f>
        <v>45444</v>
      </c>
      <c r="Y183" s="61" t="n">
        <f aca="false">X183-C$3</f>
        <v>8439</v>
      </c>
      <c r="Z183" s="141" t="n">
        <f aca="false">Z182+0.00005</f>
        <v>0.0683818486271084</v>
      </c>
      <c r="AA183" s="137" t="n">
        <f aca="false">1/(1+CHOOSE(F$3,(Z184+($K$3/10000))/2,(Z183+($K$3/10000))/2))^(2*Y183/365.25)</f>
        <v>0.211499195670321</v>
      </c>
      <c r="AB183" s="61" t="n">
        <f aca="false">IF(AND(mthbeg&lt;=A183,mthend&gt;=A183),1,0)</f>
        <v>1</v>
      </c>
      <c r="AC183" s="61" t="n">
        <f aca="false">W183*AB183</f>
        <v>30</v>
      </c>
      <c r="AD183" s="121" t="n">
        <f aca="false">$D183*E183</f>
        <v>7606187.79926412</v>
      </c>
      <c r="AE183" s="121" t="n">
        <f aca="false">$D183*F183</f>
        <v>0</v>
      </c>
      <c r="AF183" s="121" t="n">
        <f aca="false">$D183*G183</f>
        <v>7606187.79926412</v>
      </c>
      <c r="AG183" s="121" t="n">
        <f aca="false">$D183*H183</f>
        <v>0</v>
      </c>
      <c r="AH183" s="121" t="n">
        <f aca="false">$D183*I183</f>
        <v>0</v>
      </c>
      <c r="AI183" s="121" t="n">
        <f aca="false">$D183*J183</f>
        <v>0</v>
      </c>
      <c r="AJ183" s="121" t="n">
        <f aca="false">$D183*K183</f>
        <v>0</v>
      </c>
      <c r="AK183" s="121" t="n">
        <f aca="false">$D183*L183</f>
        <v>0</v>
      </c>
      <c r="AL183" s="121" t="n">
        <f aca="false">$D183*M183</f>
        <v>0</v>
      </c>
      <c r="AM183" s="139"/>
      <c r="AO183" s="75" t="e">
        <f aca="false">EURO(N183,O183,Z183,Z183,R183,U183,1,0)</f>
        <v>#NAME?</v>
      </c>
      <c r="AP183" s="138" t="e">
        <f aca="false">AO183*C183</f>
        <v>#NAME?</v>
      </c>
      <c r="AQ183" s="61" t="e">
        <f aca="false">EURO(N183,O183,Z183,Z183,R183,U183,1,1)</f>
        <v>#NAME?</v>
      </c>
      <c r="AR183" s="61" t="e">
        <f aca="false">AQ183+Put!AQ183</f>
        <v>#NAME?</v>
      </c>
      <c r="AS183" s="138" t="e">
        <f aca="false">AR183*C183</f>
        <v>#NAME?</v>
      </c>
      <c r="AT183" s="120" t="e">
        <f aca="false">AS183/10000</f>
        <v>#NAME?</v>
      </c>
    </row>
    <row r="184" customFormat="false" ht="12.75" hidden="false" customHeight="false" outlineLevel="0" collapsed="false">
      <c r="A184" s="127" t="n">
        <f aca="false">EDATE(A183,1)</f>
        <v>45474</v>
      </c>
      <c r="B184" s="128" t="n">
        <f aca="false">B183</f>
        <v>205479</v>
      </c>
      <c r="C184" s="116" t="n">
        <f aca="false">IF(AB184=0,0,IF(AND(AB184=1,$H$3=1),B184*W184,IF($H$3=2,B184,"N/A")))</f>
        <v>6369849</v>
      </c>
      <c r="D184" s="116" t="n">
        <f aca="false">C184*AA184</f>
        <v>1338297.10038759</v>
      </c>
      <c r="E184" s="141" t="n">
        <f aca="false">E172*1.02</f>
        <v>5.880861</v>
      </c>
      <c r="F184" s="130"/>
      <c r="G184" s="131" t="n">
        <f aca="false">E184</f>
        <v>5.880861</v>
      </c>
      <c r="H184" s="129" t="n">
        <f aca="false">H183</f>
        <v>0</v>
      </c>
      <c r="I184" s="131"/>
      <c r="J184" s="131" t="n">
        <f aca="false">H184</f>
        <v>0</v>
      </c>
      <c r="K184" s="129"/>
      <c r="L184" s="131"/>
      <c r="M184" s="131"/>
      <c r="N184" s="131" t="n">
        <f aca="false">G184+J184+M184+$N$7</f>
        <v>5.590861</v>
      </c>
      <c r="O184" s="131" t="n">
        <f aca="false">Summary!$E$16</f>
        <v>9.81903240236408</v>
      </c>
      <c r="P184" s="131"/>
      <c r="Q184" s="141" t="n">
        <f aca="false">Q183</f>
        <v>0.17</v>
      </c>
      <c r="R184" s="129" t="n">
        <f aca="false">Q184+Summary!$C$26</f>
        <v>0.17</v>
      </c>
      <c r="S184" s="129"/>
      <c r="T184" s="132" t="n">
        <f aca="false">X184</f>
        <v>45474</v>
      </c>
      <c r="U184" s="133" t="n">
        <f aca="false">T184-$C$3</f>
        <v>8469</v>
      </c>
      <c r="W184" s="61" t="n">
        <f aca="false">A185-A184</f>
        <v>31</v>
      </c>
      <c r="X184" s="135" t="n">
        <f aca="false">CHOOSE(F$3,A185+24,A184)</f>
        <v>45474</v>
      </c>
      <c r="Y184" s="61" t="n">
        <f aca="false">X184-C$3</f>
        <v>8469</v>
      </c>
      <c r="Z184" s="141" t="n">
        <f aca="false">Z183+0.00005</f>
        <v>0.0684318486271084</v>
      </c>
      <c r="AA184" s="137" t="n">
        <f aca="false">1/(1+CHOOSE(F$3,(Z185+($K$3/10000))/2,(Z184+($K$3/10000))/2))^(2*Y184/365.25)</f>
        <v>0.210098716686626</v>
      </c>
      <c r="AB184" s="61" t="n">
        <f aca="false">IF(AND(mthbeg&lt;=A184,mthend&gt;=A184),1,0)</f>
        <v>1</v>
      </c>
      <c r="AC184" s="61" t="n">
        <f aca="false">W184*AB184</f>
        <v>31</v>
      </c>
      <c r="AD184" s="121" t="n">
        <f aca="false">$D184*E184</f>
        <v>7870339.22408244</v>
      </c>
      <c r="AE184" s="121" t="n">
        <f aca="false">$D184*F184</f>
        <v>0</v>
      </c>
      <c r="AF184" s="121" t="n">
        <f aca="false">$D184*G184</f>
        <v>7870339.22408244</v>
      </c>
      <c r="AG184" s="121" t="n">
        <f aca="false">$D184*H184</f>
        <v>0</v>
      </c>
      <c r="AH184" s="121" t="n">
        <f aca="false">$D184*I184</f>
        <v>0</v>
      </c>
      <c r="AI184" s="121" t="n">
        <f aca="false">$D184*J184</f>
        <v>0</v>
      </c>
      <c r="AJ184" s="121" t="n">
        <f aca="false">$D184*K184</f>
        <v>0</v>
      </c>
      <c r="AK184" s="121" t="n">
        <f aca="false">$D184*L184</f>
        <v>0</v>
      </c>
      <c r="AL184" s="121" t="n">
        <f aca="false">$D184*M184</f>
        <v>0</v>
      </c>
      <c r="AM184" s="139"/>
      <c r="AO184" s="75" t="e">
        <f aca="false">EURO(N184,O184,Z184,Z184,R184,U184,1,0)</f>
        <v>#NAME?</v>
      </c>
      <c r="AP184" s="138" t="e">
        <f aca="false">AO184*C184</f>
        <v>#NAME?</v>
      </c>
      <c r="AQ184" s="61" t="e">
        <f aca="false">EURO(N184,O184,Z184,Z184,R184,U184,1,1)</f>
        <v>#NAME?</v>
      </c>
      <c r="AR184" s="61" t="e">
        <f aca="false">AQ184+Put!AQ184</f>
        <v>#NAME?</v>
      </c>
      <c r="AS184" s="138" t="e">
        <f aca="false">AR184*C184</f>
        <v>#NAME?</v>
      </c>
      <c r="AT184" s="120" t="e">
        <f aca="false">AS184/10000</f>
        <v>#NAME?</v>
      </c>
    </row>
    <row r="185" customFormat="false" ht="12.75" hidden="false" customHeight="false" outlineLevel="0" collapsed="false">
      <c r="A185" s="127" t="n">
        <f aca="false">EDATE(A184,1)</f>
        <v>45505</v>
      </c>
      <c r="B185" s="128" t="n">
        <f aca="false">B184</f>
        <v>205479</v>
      </c>
      <c r="C185" s="116" t="n">
        <f aca="false">IF(AB185=0,0,IF(AND(AB185=1,$H$3=1),B185*W185,IF($H$3=2,B185,"N/A")))</f>
        <v>6369849</v>
      </c>
      <c r="D185" s="116" t="n">
        <f aca="false">C185*AA185</f>
        <v>1329179.74663877</v>
      </c>
      <c r="E185" s="141" t="n">
        <f aca="false">E173*1.02</f>
        <v>5.917275</v>
      </c>
      <c r="F185" s="130"/>
      <c r="G185" s="131" t="n">
        <f aca="false">E185</f>
        <v>5.917275</v>
      </c>
      <c r="H185" s="129" t="n">
        <f aca="false">H184</f>
        <v>0</v>
      </c>
      <c r="I185" s="131"/>
      <c r="J185" s="131" t="n">
        <f aca="false">H185</f>
        <v>0</v>
      </c>
      <c r="K185" s="129"/>
      <c r="L185" s="131"/>
      <c r="M185" s="131"/>
      <c r="N185" s="131" t="n">
        <f aca="false">G185+J185+M185+$N$7</f>
        <v>5.627275</v>
      </c>
      <c r="O185" s="131" t="n">
        <f aca="false">Summary!$E$16</f>
        <v>9.81903240236408</v>
      </c>
      <c r="P185" s="131"/>
      <c r="Q185" s="141" t="n">
        <f aca="false">Q184</f>
        <v>0.17</v>
      </c>
      <c r="R185" s="129" t="n">
        <f aca="false">Q185+Summary!$C$26</f>
        <v>0.17</v>
      </c>
      <c r="S185" s="129"/>
      <c r="T185" s="132" t="n">
        <f aca="false">X185</f>
        <v>45505</v>
      </c>
      <c r="U185" s="133" t="n">
        <f aca="false">T185-$C$3</f>
        <v>8500</v>
      </c>
      <c r="W185" s="61" t="n">
        <f aca="false">A186-A185</f>
        <v>31</v>
      </c>
      <c r="X185" s="135" t="n">
        <f aca="false">CHOOSE(F$3,A186+24,A185)</f>
        <v>45505</v>
      </c>
      <c r="Y185" s="61" t="n">
        <f aca="false">X185-C$3</f>
        <v>8500</v>
      </c>
      <c r="Z185" s="141" t="n">
        <f aca="false">Z184+0.00005</f>
        <v>0.0684818486271084</v>
      </c>
      <c r="AA185" s="137" t="n">
        <f aca="false">1/(1+CHOOSE(F$3,(Z186+($K$3/10000))/2,(Z185+($K$3/10000))/2))^(2*Y185/365.25)</f>
        <v>0.208667387035199</v>
      </c>
      <c r="AB185" s="61" t="n">
        <f aca="false">IF(AND(mthbeg&lt;=A185,mthend&gt;=A185),1,0)</f>
        <v>1</v>
      </c>
      <c r="AC185" s="61" t="n">
        <f aca="false">W185*AB185</f>
        <v>31</v>
      </c>
      <c r="AD185" s="121" t="n">
        <f aca="false">$D185*E185</f>
        <v>7865122.08529195</v>
      </c>
      <c r="AE185" s="121" t="n">
        <f aca="false">$D185*F185</f>
        <v>0</v>
      </c>
      <c r="AF185" s="121" t="n">
        <f aca="false">$D185*G185</f>
        <v>7865122.08529195</v>
      </c>
      <c r="AG185" s="121" t="n">
        <f aca="false">$D185*H185</f>
        <v>0</v>
      </c>
      <c r="AH185" s="121" t="n">
        <f aca="false">$D185*I185</f>
        <v>0</v>
      </c>
      <c r="AI185" s="121" t="n">
        <f aca="false">$D185*J185</f>
        <v>0</v>
      </c>
      <c r="AJ185" s="121" t="n">
        <f aca="false">$D185*K185</f>
        <v>0</v>
      </c>
      <c r="AK185" s="121" t="n">
        <f aca="false">$D185*L185</f>
        <v>0</v>
      </c>
      <c r="AL185" s="121" t="n">
        <f aca="false">$D185*M185</f>
        <v>0</v>
      </c>
      <c r="AM185" s="139"/>
      <c r="AO185" s="75" t="e">
        <f aca="false">EURO(N185,O185,Z185,Z185,R185,U185,1,0)</f>
        <v>#NAME?</v>
      </c>
      <c r="AP185" s="138" t="e">
        <f aca="false">AO185*C185</f>
        <v>#NAME?</v>
      </c>
      <c r="AQ185" s="61" t="e">
        <f aca="false">EURO(N185,O185,Z185,Z185,R185,U185,1,1)</f>
        <v>#NAME?</v>
      </c>
      <c r="AR185" s="61" t="e">
        <f aca="false">AQ185+Put!AQ185</f>
        <v>#NAME?</v>
      </c>
      <c r="AS185" s="138" t="e">
        <f aca="false">AR185*C185</f>
        <v>#NAME?</v>
      </c>
      <c r="AT185" s="120" t="e">
        <f aca="false">AS185/10000</f>
        <v>#NAME?</v>
      </c>
    </row>
    <row r="186" customFormat="false" ht="12.75" hidden="false" customHeight="false" outlineLevel="0" collapsed="false">
      <c r="A186" s="127" t="n">
        <f aca="false">EDATE(A185,1)</f>
        <v>45536</v>
      </c>
      <c r="B186" s="128" t="n">
        <f aca="false">B185</f>
        <v>205479</v>
      </c>
      <c r="C186" s="116" t="n">
        <f aca="false">IF(AB186=0,0,IF(AND(AB186=1,$H$3=1),B186*W186,IF($H$3=2,B186,"N/A")))</f>
        <v>6164370</v>
      </c>
      <c r="D186" s="116" t="n">
        <f aca="false">C186*AA186</f>
        <v>1277529.39561881</v>
      </c>
      <c r="E186" s="141" t="n">
        <f aca="false">E174*1.02</f>
        <v>5.9294997</v>
      </c>
      <c r="F186" s="130"/>
      <c r="G186" s="131" t="n">
        <f aca="false">E186</f>
        <v>5.9294997</v>
      </c>
      <c r="H186" s="129" t="n">
        <f aca="false">H185</f>
        <v>0</v>
      </c>
      <c r="I186" s="131"/>
      <c r="J186" s="131" t="n">
        <f aca="false">H186</f>
        <v>0</v>
      </c>
      <c r="K186" s="129"/>
      <c r="L186" s="131"/>
      <c r="M186" s="131"/>
      <c r="N186" s="131" t="n">
        <f aca="false">G186+J186+M186+$N$7</f>
        <v>5.6394997</v>
      </c>
      <c r="O186" s="131" t="n">
        <f aca="false">Summary!$E$16</f>
        <v>9.81903240236408</v>
      </c>
      <c r="P186" s="131"/>
      <c r="Q186" s="141" t="n">
        <f aca="false">Q185</f>
        <v>0.17</v>
      </c>
      <c r="R186" s="129" t="n">
        <f aca="false">Q186+Summary!$C$26</f>
        <v>0.17</v>
      </c>
      <c r="S186" s="129"/>
      <c r="T186" s="132" t="n">
        <f aca="false">X186</f>
        <v>45536</v>
      </c>
      <c r="U186" s="133" t="n">
        <f aca="false">T186-$C$3</f>
        <v>8531</v>
      </c>
      <c r="W186" s="61" t="n">
        <f aca="false">A187-A186</f>
        <v>30</v>
      </c>
      <c r="X186" s="135" t="n">
        <f aca="false">CHOOSE(F$3,A187+24,A186)</f>
        <v>45536</v>
      </c>
      <c r="Y186" s="61" t="n">
        <f aca="false">X186-C$3</f>
        <v>8531</v>
      </c>
      <c r="Z186" s="141" t="n">
        <f aca="false">Z185+0.00005</f>
        <v>0.0685318486271084</v>
      </c>
      <c r="AA186" s="137" t="n">
        <f aca="false">1/(1+CHOOSE(F$3,(Z187+($K$3/10000))/2,(Z186+($K$3/10000))/2))^(2*Y186/365.25)</f>
        <v>0.207244113448546</v>
      </c>
      <c r="AB186" s="61" t="n">
        <f aca="false">IF(AND(mthbeg&lt;=A186,mthend&gt;=A186),1,0)</f>
        <v>1</v>
      </c>
      <c r="AC186" s="61" t="n">
        <f aca="false">W186*AB186</f>
        <v>30</v>
      </c>
      <c r="AD186" s="121" t="n">
        <f aca="false">$D186*E186</f>
        <v>7575110.16806292</v>
      </c>
      <c r="AE186" s="121" t="n">
        <f aca="false">$D186*F186</f>
        <v>0</v>
      </c>
      <c r="AF186" s="121" t="n">
        <f aca="false">$D186*G186</f>
        <v>7575110.16806292</v>
      </c>
      <c r="AG186" s="121" t="n">
        <f aca="false">$D186*H186</f>
        <v>0</v>
      </c>
      <c r="AH186" s="121" t="n">
        <f aca="false">$D186*I186</f>
        <v>0</v>
      </c>
      <c r="AI186" s="121" t="n">
        <f aca="false">$D186*J186</f>
        <v>0</v>
      </c>
      <c r="AJ186" s="121" t="n">
        <f aca="false">$D186*K186</f>
        <v>0</v>
      </c>
      <c r="AK186" s="121" t="n">
        <f aca="false">$D186*L186</f>
        <v>0</v>
      </c>
      <c r="AL186" s="121" t="n">
        <f aca="false">$D186*M186</f>
        <v>0</v>
      </c>
      <c r="AM186" s="139"/>
      <c r="AO186" s="75" t="e">
        <f aca="false">EURO(N186,O186,Z186,Z186,R186,U186,1,0)</f>
        <v>#NAME?</v>
      </c>
      <c r="AP186" s="138" t="e">
        <f aca="false">AO186*C186</f>
        <v>#NAME?</v>
      </c>
      <c r="AQ186" s="61" t="e">
        <f aca="false">EURO(N186,O186,Z186,Z186,R186,U186,1,1)</f>
        <v>#NAME?</v>
      </c>
      <c r="AR186" s="61" t="e">
        <f aca="false">AQ186+Put!AQ186</f>
        <v>#NAME?</v>
      </c>
      <c r="AS186" s="138" t="e">
        <f aca="false">AR186*C186</f>
        <v>#NAME?</v>
      </c>
      <c r="AT186" s="120" t="e">
        <f aca="false">AS186/10000</f>
        <v>#NAME?</v>
      </c>
    </row>
    <row r="187" customFormat="false" ht="12.75" hidden="false" customHeight="false" outlineLevel="0" collapsed="false">
      <c r="A187" s="127" t="n">
        <f aca="false">EDATE(A186,1)</f>
        <v>45566</v>
      </c>
      <c r="B187" s="128" t="n">
        <f aca="false">B186</f>
        <v>205479</v>
      </c>
      <c r="C187" s="116" t="n">
        <f aca="false">IF(AB187=0,0,IF(AND(AB187=1,$H$3=1),B187*W187,IF($H$3=2,B187,"N/A")))</f>
        <v>6369849</v>
      </c>
      <c r="D187" s="116" t="n">
        <f aca="false">C187*AA187</f>
        <v>1311340.86151138</v>
      </c>
      <c r="E187" s="141" t="n">
        <f aca="false">E175*1.02</f>
        <v>5.96133594</v>
      </c>
      <c r="F187" s="130"/>
      <c r="G187" s="131" t="n">
        <f aca="false">E187</f>
        <v>5.96133594</v>
      </c>
      <c r="H187" s="129" t="n">
        <f aca="false">H186</f>
        <v>0</v>
      </c>
      <c r="I187" s="131"/>
      <c r="J187" s="131" t="n">
        <f aca="false">H187</f>
        <v>0</v>
      </c>
      <c r="K187" s="129"/>
      <c r="L187" s="131"/>
      <c r="M187" s="131"/>
      <c r="N187" s="131" t="n">
        <f aca="false">G187+J187+M187+$N$7</f>
        <v>5.67133594</v>
      </c>
      <c r="O187" s="131" t="n">
        <f aca="false">Summary!$E$16</f>
        <v>9.81903240236408</v>
      </c>
      <c r="P187" s="131"/>
      <c r="Q187" s="141" t="n">
        <f aca="false">Q186</f>
        <v>0.17</v>
      </c>
      <c r="R187" s="129" t="n">
        <f aca="false">Q187+Summary!$C$26</f>
        <v>0.17</v>
      </c>
      <c r="S187" s="129"/>
      <c r="T187" s="132" t="n">
        <f aca="false">X187</f>
        <v>45566</v>
      </c>
      <c r="U187" s="133" t="n">
        <f aca="false">T187-$C$3</f>
        <v>8561</v>
      </c>
      <c r="W187" s="61" t="n">
        <f aca="false">A188-A187</f>
        <v>31</v>
      </c>
      <c r="X187" s="135" t="n">
        <f aca="false">CHOOSE(F$3,A188+24,A187)</f>
        <v>45566</v>
      </c>
      <c r="Y187" s="61" t="n">
        <f aca="false">X187-C$3</f>
        <v>8561</v>
      </c>
      <c r="Z187" s="141" t="n">
        <f aca="false">Z186+0.00005</f>
        <v>0.0685818486271084</v>
      </c>
      <c r="AA187" s="137" t="n">
        <f aca="false">1/(1+CHOOSE(F$3,(Z188+($K$3/10000))/2,(Z187+($K$3/10000))/2))^(2*Y187/365.25)</f>
        <v>0.205866867725025</v>
      </c>
      <c r="AB187" s="61" t="n">
        <f aca="false">IF(AND(mthbeg&lt;=A187,mthend&gt;=A187),1,0)</f>
        <v>1</v>
      </c>
      <c r="AC187" s="61" t="n">
        <f aca="false">W187*AB187</f>
        <v>31</v>
      </c>
      <c r="AD187" s="121" t="n">
        <f aca="false">$D187*E187</f>
        <v>7817343.40731836</v>
      </c>
      <c r="AE187" s="121" t="n">
        <f aca="false">$D187*F187</f>
        <v>0</v>
      </c>
      <c r="AF187" s="121" t="n">
        <f aca="false">$D187*G187</f>
        <v>7817343.40731836</v>
      </c>
      <c r="AG187" s="121" t="n">
        <f aca="false">$D187*H187</f>
        <v>0</v>
      </c>
      <c r="AH187" s="121" t="n">
        <f aca="false">$D187*I187</f>
        <v>0</v>
      </c>
      <c r="AI187" s="121" t="n">
        <f aca="false">$D187*J187</f>
        <v>0</v>
      </c>
      <c r="AJ187" s="121" t="n">
        <f aca="false">$D187*K187</f>
        <v>0</v>
      </c>
      <c r="AK187" s="121" t="n">
        <f aca="false">$D187*L187</f>
        <v>0</v>
      </c>
      <c r="AL187" s="121" t="n">
        <f aca="false">$D187*M187</f>
        <v>0</v>
      </c>
      <c r="AM187" s="139"/>
      <c r="AO187" s="75" t="e">
        <f aca="false">EURO(N187,O187,Z187,Z187,R187,U187,1,0)</f>
        <v>#NAME?</v>
      </c>
      <c r="AP187" s="138" t="e">
        <f aca="false">AO187*C187</f>
        <v>#NAME?</v>
      </c>
      <c r="AQ187" s="61" t="e">
        <f aca="false">EURO(N187,O187,Z187,Z187,R187,U187,1,1)</f>
        <v>#NAME?</v>
      </c>
      <c r="AR187" s="61" t="e">
        <f aca="false">AQ187+Put!AQ187</f>
        <v>#NAME?</v>
      </c>
      <c r="AS187" s="138" t="e">
        <f aca="false">AR187*C187</f>
        <v>#NAME?</v>
      </c>
      <c r="AT187" s="120" t="e">
        <f aca="false">AS187/10000</f>
        <v>#NAME?</v>
      </c>
    </row>
    <row r="188" customFormat="false" ht="12.75" hidden="false" customHeight="false" outlineLevel="0" collapsed="false">
      <c r="A188" s="127" t="n">
        <f aca="false">EDATE(A187,1)</f>
        <v>45597</v>
      </c>
      <c r="B188" s="128" t="n">
        <f aca="false">B187</f>
        <v>205479</v>
      </c>
      <c r="C188" s="116" t="n">
        <f aca="false">IF(AB188=0,0,IF(AND(AB188=1,$H$3=1),B188*W188,IF($H$3=2,B188,"N/A")))</f>
        <v>6164370</v>
      </c>
      <c r="D188" s="116" t="n">
        <f aca="false">C188*AA188</f>
        <v>1260363.25881161</v>
      </c>
      <c r="E188" s="141" t="n">
        <f aca="false">E176*1.02</f>
        <v>6.07806882</v>
      </c>
      <c r="F188" s="130"/>
      <c r="G188" s="131" t="n">
        <f aca="false">E188</f>
        <v>6.07806882</v>
      </c>
      <c r="H188" s="129" t="n">
        <f aca="false">H187</f>
        <v>0</v>
      </c>
      <c r="I188" s="131"/>
      <c r="J188" s="131" t="n">
        <f aca="false">H188</f>
        <v>0</v>
      </c>
      <c r="K188" s="129"/>
      <c r="L188" s="131"/>
      <c r="M188" s="131"/>
      <c r="N188" s="131" t="n">
        <f aca="false">G188+J188+M188+$N$7</f>
        <v>5.78806882</v>
      </c>
      <c r="O188" s="131" t="n">
        <f aca="false">Summary!$E$16</f>
        <v>9.81903240236408</v>
      </c>
      <c r="P188" s="131"/>
      <c r="Q188" s="141" t="n">
        <f aca="false">Q187</f>
        <v>0.17</v>
      </c>
      <c r="R188" s="129" t="n">
        <f aca="false">Q188+Summary!$C$26</f>
        <v>0.17</v>
      </c>
      <c r="S188" s="129"/>
      <c r="T188" s="132" t="n">
        <f aca="false">X188</f>
        <v>45597</v>
      </c>
      <c r="U188" s="133" t="n">
        <f aca="false">T188-$C$3</f>
        <v>8592</v>
      </c>
      <c r="W188" s="61" t="n">
        <f aca="false">A189-A188</f>
        <v>30</v>
      </c>
      <c r="X188" s="135" t="n">
        <f aca="false">CHOOSE(F$3,A189+24,A188)</f>
        <v>45597</v>
      </c>
      <c r="Y188" s="61" t="n">
        <f aca="false">X188-C$3</f>
        <v>8592</v>
      </c>
      <c r="Z188" s="141" t="n">
        <f aca="false">Z187+0.00005</f>
        <v>0.0686318486271084</v>
      </c>
      <c r="AA188" s="137" t="n">
        <f aca="false">1/(1+CHOOSE(F$3,(Z189+($K$3/10000))/2,(Z188+($K$3/10000))/2))^(2*Y188/365.25)</f>
        <v>0.204459378462293</v>
      </c>
      <c r="AB188" s="61" t="n">
        <f aca="false">IF(AND(mthbeg&lt;=A188,mthend&gt;=A188),1,0)</f>
        <v>1</v>
      </c>
      <c r="AC188" s="61" t="n">
        <f aca="false">W188*AB188</f>
        <v>30</v>
      </c>
      <c r="AD188" s="121" t="n">
        <f aca="false">$D188*E188</f>
        <v>7660574.62525643</v>
      </c>
      <c r="AE188" s="121" t="n">
        <f aca="false">$D188*F188</f>
        <v>0</v>
      </c>
      <c r="AF188" s="121" t="n">
        <f aca="false">$D188*G188</f>
        <v>7660574.62525643</v>
      </c>
      <c r="AG188" s="121" t="n">
        <f aca="false">$D188*H188</f>
        <v>0</v>
      </c>
      <c r="AH188" s="121" t="n">
        <f aca="false">$D188*I188</f>
        <v>0</v>
      </c>
      <c r="AI188" s="121" t="n">
        <f aca="false">$D188*J188</f>
        <v>0</v>
      </c>
      <c r="AJ188" s="121" t="n">
        <f aca="false">$D188*K188</f>
        <v>0</v>
      </c>
      <c r="AK188" s="121" t="n">
        <f aca="false">$D188*L188</f>
        <v>0</v>
      </c>
      <c r="AL188" s="121" t="n">
        <f aca="false">$D188*M188</f>
        <v>0</v>
      </c>
      <c r="AM188" s="139"/>
      <c r="AO188" s="75" t="e">
        <f aca="false">EURO(N188,O188,Z188,Z188,R188,U188,1,0)</f>
        <v>#NAME?</v>
      </c>
      <c r="AP188" s="138" t="e">
        <f aca="false">AO188*C188</f>
        <v>#NAME?</v>
      </c>
      <c r="AQ188" s="61" t="e">
        <f aca="false">EURO(N188,O188,Z188,Z188,R188,U188,1,1)</f>
        <v>#NAME?</v>
      </c>
      <c r="AR188" s="61" t="e">
        <f aca="false">AQ188+Put!AQ188</f>
        <v>#NAME?</v>
      </c>
      <c r="AS188" s="138" t="e">
        <f aca="false">AR188*C188</f>
        <v>#NAME?</v>
      </c>
      <c r="AT188" s="120" t="e">
        <f aca="false">AS188/10000</f>
        <v>#NAME?</v>
      </c>
    </row>
    <row r="189" customFormat="false" ht="13.5" hidden="false" customHeight="false" outlineLevel="0" collapsed="false">
      <c r="A189" s="127" t="n">
        <f aca="false">EDATE(A188,1)</f>
        <v>45627</v>
      </c>
      <c r="B189" s="128" t="n">
        <f aca="false">B188</f>
        <v>205479</v>
      </c>
      <c r="C189" s="116" t="n">
        <f aca="false">IF(AB189=0,0,IF(AND(AB189=1,$H$3=1),B189*W189,IF($H$3=2,B189,"N/A")))</f>
        <v>6369849</v>
      </c>
      <c r="D189" s="116" t="n">
        <f aca="false">C189*AA189</f>
        <v>1293699.75340579</v>
      </c>
      <c r="E189" s="143" t="n">
        <f aca="false">E177*1.02</f>
        <v>6.20541378</v>
      </c>
      <c r="F189" s="130"/>
      <c r="G189" s="131" t="n">
        <f aca="false">E189</f>
        <v>6.20541378</v>
      </c>
      <c r="H189" s="129" t="n">
        <f aca="false">H188</f>
        <v>0</v>
      </c>
      <c r="I189" s="131"/>
      <c r="J189" s="131" t="n">
        <f aca="false">H189</f>
        <v>0</v>
      </c>
      <c r="K189" s="129"/>
      <c r="L189" s="131"/>
      <c r="M189" s="131"/>
      <c r="N189" s="131" t="n">
        <f aca="false">G189+J189+M189+$N$7</f>
        <v>5.91541378</v>
      </c>
      <c r="O189" s="131" t="n">
        <f aca="false">Summary!$E$16</f>
        <v>9.81903240236408</v>
      </c>
      <c r="P189" s="131"/>
      <c r="Q189" s="143" t="n">
        <f aca="false">Q188</f>
        <v>0.17</v>
      </c>
      <c r="R189" s="129" t="n">
        <f aca="false">Q189+Summary!$C$26</f>
        <v>0.17</v>
      </c>
      <c r="S189" s="129"/>
      <c r="T189" s="132" t="n">
        <f aca="false">X189</f>
        <v>45627</v>
      </c>
      <c r="U189" s="133" t="n">
        <f aca="false">T189-$C$3</f>
        <v>8622</v>
      </c>
      <c r="W189" s="61" t="n">
        <f aca="false">A190-A189</f>
        <v>31</v>
      </c>
      <c r="X189" s="135" t="n">
        <f aca="false">CHOOSE(F$3,A190+24,A189)</f>
        <v>45627</v>
      </c>
      <c r="Y189" s="61" t="n">
        <f aca="false">X189-C$3</f>
        <v>8622</v>
      </c>
      <c r="Z189" s="143" t="n">
        <f aca="false">Z188+0.00005</f>
        <v>0.0686818486271083</v>
      </c>
      <c r="AA189" s="137" t="n">
        <f aca="false">1/(1+CHOOSE(F$3,(Z190+($K$3/10000))/2,(Z189+($K$3/10000))/2))^(2*Y189/365.25)</f>
        <v>0.203097397348947</v>
      </c>
      <c r="AB189" s="61" t="n">
        <f aca="false">IF(AND(mthbeg&lt;=A189,mthend&gt;=A189),1,0)</f>
        <v>1</v>
      </c>
      <c r="AC189" s="61" t="n">
        <f aca="false">W189*AB189</f>
        <v>31</v>
      </c>
      <c r="AD189" s="121" t="n">
        <f aca="false">$D189*E189</f>
        <v>8027942.27696691</v>
      </c>
      <c r="AE189" s="121" t="n">
        <f aca="false">$D189*F189</f>
        <v>0</v>
      </c>
      <c r="AF189" s="121" t="n">
        <f aca="false">$D189*G189</f>
        <v>8027942.27696691</v>
      </c>
      <c r="AG189" s="121" t="n">
        <f aca="false">$D189*H189</f>
        <v>0</v>
      </c>
      <c r="AH189" s="121" t="n">
        <f aca="false">$D189*I189</f>
        <v>0</v>
      </c>
      <c r="AI189" s="121" t="n">
        <f aca="false">$D189*J189</f>
        <v>0</v>
      </c>
      <c r="AJ189" s="121" t="n">
        <f aca="false">$D189*K189</f>
        <v>0</v>
      </c>
      <c r="AK189" s="121" t="n">
        <f aca="false">$D189*L189</f>
        <v>0</v>
      </c>
      <c r="AL189" s="121" t="n">
        <f aca="false">$D189*M189</f>
        <v>0</v>
      </c>
      <c r="AM189" s="139"/>
      <c r="AO189" s="75" t="e">
        <f aca="false">EURO(N189,O189,Z189,Z189,R189,U189,1,0)</f>
        <v>#NAME?</v>
      </c>
      <c r="AP189" s="138" t="e">
        <f aca="false">AO189*C189</f>
        <v>#NAME?</v>
      </c>
      <c r="AQ189" s="61" t="e">
        <f aca="false">EURO(N189,O189,Z189,Z189,R189,U189,1,1)</f>
        <v>#NAME?</v>
      </c>
      <c r="AR189" s="61" t="e">
        <f aca="false">AQ189+Put!AQ189</f>
        <v>#NAME?</v>
      </c>
      <c r="AS189" s="138" t="e">
        <f aca="false">AR189*C189</f>
        <v>#NAME?</v>
      </c>
      <c r="AT189" s="120" t="e">
        <f aca="false">AS189/10000</f>
        <v>#NAME?</v>
      </c>
    </row>
    <row r="190" customFormat="false" ht="12.75" hidden="false" customHeight="false" outlineLevel="0" collapsed="false">
      <c r="A190" s="127" t="n">
        <f aca="false">EDATE(A189,1)</f>
        <v>45658</v>
      </c>
      <c r="B190" s="128"/>
      <c r="C190" s="116"/>
      <c r="D190" s="116"/>
      <c r="E190" s="129"/>
      <c r="F190" s="130"/>
      <c r="G190" s="131"/>
      <c r="H190" s="129"/>
      <c r="I190" s="131"/>
      <c r="J190" s="131"/>
      <c r="K190" s="129"/>
      <c r="L190" s="131"/>
      <c r="M190" s="131"/>
      <c r="N190" s="131"/>
      <c r="O190" s="131"/>
      <c r="P190" s="131"/>
      <c r="Q190" s="129"/>
      <c r="R190" s="129"/>
      <c r="S190" s="129"/>
      <c r="T190" s="132"/>
      <c r="U190" s="133"/>
      <c r="X190" s="135"/>
      <c r="Z190" s="144"/>
      <c r="AA190" s="137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39"/>
      <c r="AO190" s="75"/>
      <c r="AP190" s="138"/>
      <c r="AQ190" s="61"/>
      <c r="AR190" s="61"/>
      <c r="AT190" s="120"/>
    </row>
    <row r="191" customFormat="false" ht="12.75" hidden="false" customHeight="false" outlineLevel="0" collapsed="false">
      <c r="A191" s="127"/>
      <c r="B191" s="128"/>
      <c r="C191" s="116"/>
      <c r="D191" s="116"/>
      <c r="E191" s="129"/>
      <c r="F191" s="130"/>
      <c r="G191" s="131"/>
      <c r="H191" s="129"/>
      <c r="I191" s="131"/>
      <c r="J191" s="131"/>
      <c r="K191" s="129"/>
      <c r="L191" s="131"/>
      <c r="M191" s="131"/>
      <c r="N191" s="131"/>
      <c r="O191" s="131"/>
      <c r="P191" s="131"/>
      <c r="Q191" s="129"/>
      <c r="R191" s="129"/>
      <c r="S191" s="129"/>
      <c r="T191" s="132"/>
      <c r="U191" s="133"/>
      <c r="X191" s="135"/>
      <c r="Z191" s="144"/>
      <c r="AA191" s="137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39"/>
      <c r="AO191" s="75"/>
      <c r="AP191" s="138"/>
      <c r="AQ191" s="61"/>
      <c r="AR191" s="61"/>
      <c r="AT191" s="120"/>
    </row>
    <row r="192" customFormat="false" ht="12.75" hidden="false" customHeight="false" outlineLevel="0" collapsed="false">
      <c r="A192" s="127"/>
      <c r="B192" s="128"/>
      <c r="C192" s="116"/>
      <c r="D192" s="116"/>
      <c r="E192" s="129"/>
      <c r="F192" s="130"/>
      <c r="G192" s="131"/>
      <c r="H192" s="129"/>
      <c r="I192" s="131"/>
      <c r="J192" s="131"/>
      <c r="K192" s="129"/>
      <c r="L192" s="131"/>
      <c r="M192" s="131"/>
      <c r="N192" s="131"/>
      <c r="O192" s="131"/>
      <c r="P192" s="131"/>
      <c r="Q192" s="129"/>
      <c r="R192" s="129"/>
      <c r="S192" s="129"/>
      <c r="T192" s="132"/>
      <c r="U192" s="133"/>
      <c r="X192" s="135"/>
      <c r="Z192" s="144"/>
      <c r="AA192" s="137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39"/>
      <c r="AO192" s="75"/>
      <c r="AP192" s="138"/>
      <c r="AQ192" s="61"/>
      <c r="AR192" s="61"/>
      <c r="AT192" s="120"/>
    </row>
    <row r="193" customFormat="false" ht="12.75" hidden="false" customHeight="false" outlineLevel="0" collapsed="false">
      <c r="A193" s="127"/>
      <c r="B193" s="128"/>
      <c r="C193" s="116"/>
      <c r="D193" s="116"/>
      <c r="E193" s="129"/>
      <c r="F193" s="130"/>
      <c r="G193" s="131"/>
      <c r="H193" s="129"/>
      <c r="I193" s="131"/>
      <c r="J193" s="131"/>
      <c r="K193" s="129"/>
      <c r="L193" s="131"/>
      <c r="M193" s="131"/>
      <c r="N193" s="131"/>
      <c r="O193" s="131"/>
      <c r="P193" s="131"/>
      <c r="Q193" s="129"/>
      <c r="R193" s="129"/>
      <c r="S193" s="129"/>
      <c r="T193" s="132"/>
      <c r="U193" s="133"/>
      <c r="X193" s="135"/>
      <c r="Z193" s="144"/>
      <c r="AA193" s="137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39"/>
      <c r="AO193" s="75"/>
      <c r="AP193" s="138"/>
      <c r="AQ193" s="61"/>
      <c r="AR193" s="61"/>
      <c r="AT193" s="120"/>
    </row>
    <row r="194" customFormat="false" ht="12.75" hidden="false" customHeight="false" outlineLevel="0" collapsed="false">
      <c r="A194" s="127"/>
      <c r="B194" s="128"/>
      <c r="C194" s="116"/>
      <c r="D194" s="116"/>
      <c r="E194" s="129"/>
      <c r="F194" s="130"/>
      <c r="G194" s="131"/>
      <c r="H194" s="129"/>
      <c r="I194" s="131"/>
      <c r="J194" s="131"/>
      <c r="K194" s="129"/>
      <c r="L194" s="131"/>
      <c r="M194" s="131"/>
      <c r="N194" s="131"/>
      <c r="O194" s="131"/>
      <c r="P194" s="131"/>
      <c r="Q194" s="129"/>
      <c r="R194" s="129"/>
      <c r="S194" s="129"/>
      <c r="T194" s="132"/>
      <c r="U194" s="133"/>
      <c r="X194" s="135"/>
      <c r="Z194" s="144"/>
      <c r="AA194" s="137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39"/>
      <c r="AO194" s="75"/>
      <c r="AP194" s="138"/>
      <c r="AQ194" s="61"/>
      <c r="AR194" s="61"/>
      <c r="AT194" s="120"/>
    </row>
    <row r="195" customFormat="false" ht="12.75" hidden="false" customHeight="false" outlineLevel="0" collapsed="false">
      <c r="A195" s="127"/>
      <c r="B195" s="128"/>
      <c r="C195" s="116"/>
      <c r="D195" s="116"/>
      <c r="E195" s="129"/>
      <c r="F195" s="130"/>
      <c r="G195" s="131"/>
      <c r="H195" s="129"/>
      <c r="I195" s="131"/>
      <c r="J195" s="131"/>
      <c r="K195" s="129"/>
      <c r="L195" s="131"/>
      <c r="M195" s="131"/>
      <c r="N195" s="131"/>
      <c r="O195" s="131"/>
      <c r="P195" s="131"/>
      <c r="Q195" s="129"/>
      <c r="R195" s="129"/>
      <c r="S195" s="129"/>
      <c r="T195" s="132"/>
      <c r="U195" s="133"/>
      <c r="X195" s="135"/>
      <c r="Z195" s="144"/>
      <c r="AA195" s="137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39"/>
      <c r="AO195" s="75"/>
      <c r="AP195" s="138"/>
      <c r="AQ195" s="61"/>
      <c r="AR195" s="61"/>
      <c r="AT195" s="120"/>
    </row>
    <row r="196" customFormat="false" ht="12.75" hidden="false" customHeight="false" outlineLevel="0" collapsed="false">
      <c r="A196" s="127"/>
      <c r="B196" s="128"/>
      <c r="C196" s="116"/>
      <c r="D196" s="116"/>
      <c r="E196" s="129"/>
      <c r="F196" s="130"/>
      <c r="G196" s="131"/>
      <c r="H196" s="129"/>
      <c r="I196" s="131"/>
      <c r="J196" s="131"/>
      <c r="K196" s="129"/>
      <c r="L196" s="131"/>
      <c r="M196" s="131"/>
      <c r="N196" s="131"/>
      <c r="O196" s="131"/>
      <c r="P196" s="131"/>
      <c r="Q196" s="129"/>
      <c r="R196" s="129"/>
      <c r="S196" s="129"/>
      <c r="T196" s="132"/>
      <c r="U196" s="133"/>
      <c r="X196" s="135"/>
      <c r="Z196" s="144"/>
      <c r="AA196" s="137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39"/>
      <c r="AO196" s="75"/>
      <c r="AP196" s="138"/>
      <c r="AQ196" s="61"/>
      <c r="AR196" s="61"/>
      <c r="AT196" s="120"/>
    </row>
    <row r="197" customFormat="false" ht="12.75" hidden="false" customHeight="false" outlineLevel="0" collapsed="false">
      <c r="A197" s="127"/>
      <c r="B197" s="128"/>
      <c r="C197" s="116"/>
      <c r="D197" s="116"/>
      <c r="E197" s="129"/>
      <c r="F197" s="130"/>
      <c r="G197" s="131"/>
      <c r="H197" s="129"/>
      <c r="I197" s="131"/>
      <c r="J197" s="131"/>
      <c r="K197" s="129"/>
      <c r="L197" s="131"/>
      <c r="M197" s="131"/>
      <c r="N197" s="131"/>
      <c r="O197" s="131"/>
      <c r="P197" s="131"/>
      <c r="Q197" s="129"/>
      <c r="R197" s="129"/>
      <c r="S197" s="129"/>
      <c r="T197" s="132"/>
      <c r="U197" s="133"/>
      <c r="X197" s="135"/>
      <c r="Z197" s="144"/>
      <c r="AA197" s="137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39"/>
      <c r="AO197" s="75"/>
      <c r="AP197" s="138"/>
      <c r="AQ197" s="61"/>
      <c r="AR197" s="61"/>
      <c r="AT197" s="120"/>
    </row>
    <row r="198" customFormat="false" ht="12.75" hidden="false" customHeight="false" outlineLevel="0" collapsed="false">
      <c r="A198" s="127"/>
      <c r="B198" s="128"/>
      <c r="C198" s="116"/>
      <c r="D198" s="116"/>
      <c r="E198" s="129"/>
      <c r="F198" s="130"/>
      <c r="G198" s="131"/>
      <c r="H198" s="129"/>
      <c r="I198" s="131"/>
      <c r="J198" s="131"/>
      <c r="K198" s="129"/>
      <c r="L198" s="131"/>
      <c r="M198" s="131"/>
      <c r="N198" s="131"/>
      <c r="O198" s="131"/>
      <c r="P198" s="131"/>
      <c r="Q198" s="129"/>
      <c r="R198" s="129"/>
      <c r="S198" s="129"/>
      <c r="T198" s="132"/>
      <c r="U198" s="133"/>
      <c r="X198" s="135"/>
      <c r="Z198" s="144"/>
      <c r="AA198" s="137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39"/>
      <c r="AO198" s="75"/>
      <c r="AP198" s="138"/>
      <c r="AQ198" s="61"/>
      <c r="AR198" s="61"/>
      <c r="AT198" s="120"/>
    </row>
    <row r="199" customFormat="false" ht="12.75" hidden="false" customHeight="false" outlineLevel="0" collapsed="false">
      <c r="A199" s="127"/>
      <c r="B199" s="128"/>
      <c r="C199" s="116"/>
      <c r="D199" s="116"/>
      <c r="E199" s="129"/>
      <c r="F199" s="130"/>
      <c r="G199" s="131"/>
      <c r="H199" s="129"/>
      <c r="I199" s="131"/>
      <c r="J199" s="131"/>
      <c r="K199" s="129"/>
      <c r="L199" s="131"/>
      <c r="M199" s="131"/>
      <c r="N199" s="131"/>
      <c r="O199" s="131"/>
      <c r="P199" s="131"/>
      <c r="Q199" s="129"/>
      <c r="R199" s="129"/>
      <c r="S199" s="129"/>
      <c r="T199" s="132"/>
      <c r="U199" s="133"/>
      <c r="X199" s="135"/>
      <c r="Z199" s="144"/>
      <c r="AA199" s="137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39"/>
      <c r="AO199" s="75"/>
      <c r="AP199" s="138"/>
      <c r="AQ199" s="61"/>
      <c r="AR199" s="61"/>
      <c r="AT199" s="120"/>
    </row>
    <row r="200" customFormat="false" ht="12.75" hidden="false" customHeight="false" outlineLevel="0" collapsed="false">
      <c r="A200" s="127"/>
      <c r="B200" s="128"/>
      <c r="C200" s="116"/>
      <c r="D200" s="116"/>
      <c r="E200" s="129"/>
      <c r="F200" s="130"/>
      <c r="G200" s="131"/>
      <c r="H200" s="129"/>
      <c r="I200" s="131"/>
      <c r="J200" s="131"/>
      <c r="K200" s="129"/>
      <c r="L200" s="131"/>
      <c r="M200" s="131"/>
      <c r="N200" s="131"/>
      <c r="O200" s="131"/>
      <c r="P200" s="131"/>
      <c r="Q200" s="129"/>
      <c r="R200" s="129"/>
      <c r="S200" s="129"/>
      <c r="T200" s="132"/>
      <c r="U200" s="133"/>
      <c r="X200" s="135"/>
      <c r="Z200" s="144"/>
      <c r="AA200" s="137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39"/>
      <c r="AO200" s="75"/>
      <c r="AP200" s="138"/>
      <c r="AQ200" s="61"/>
      <c r="AR200" s="61"/>
      <c r="AT200" s="120"/>
    </row>
    <row r="201" customFormat="false" ht="12.75" hidden="false" customHeight="false" outlineLevel="0" collapsed="false">
      <c r="A201" s="127"/>
      <c r="B201" s="128"/>
      <c r="C201" s="116"/>
      <c r="D201" s="116"/>
      <c r="E201" s="129"/>
      <c r="F201" s="130"/>
      <c r="G201" s="131"/>
      <c r="H201" s="129"/>
      <c r="I201" s="131"/>
      <c r="J201" s="131"/>
      <c r="K201" s="129"/>
      <c r="L201" s="131"/>
      <c r="M201" s="131"/>
      <c r="N201" s="131"/>
      <c r="O201" s="131"/>
      <c r="P201" s="131"/>
      <c r="Q201" s="129"/>
      <c r="R201" s="129"/>
      <c r="S201" s="129"/>
      <c r="T201" s="132"/>
      <c r="U201" s="133"/>
      <c r="X201" s="135"/>
      <c r="Z201" s="144"/>
      <c r="AA201" s="137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39"/>
      <c r="AO201" s="75"/>
      <c r="AP201" s="138"/>
      <c r="AQ201" s="61"/>
      <c r="AR201" s="61"/>
      <c r="AT201" s="120"/>
    </row>
    <row r="202" customFormat="false" ht="12.75" hidden="false" customHeight="false" outlineLevel="0" collapsed="false">
      <c r="A202" s="127"/>
      <c r="B202" s="128"/>
      <c r="C202" s="116"/>
      <c r="D202" s="116"/>
      <c r="E202" s="129"/>
      <c r="F202" s="130"/>
      <c r="G202" s="131"/>
      <c r="H202" s="129"/>
      <c r="I202" s="131"/>
      <c r="J202" s="131"/>
      <c r="K202" s="129"/>
      <c r="L202" s="131"/>
      <c r="M202" s="131"/>
      <c r="N202" s="131"/>
      <c r="O202" s="131"/>
      <c r="P202" s="131"/>
      <c r="Q202" s="129"/>
      <c r="R202" s="129"/>
      <c r="S202" s="129"/>
      <c r="T202" s="132"/>
      <c r="U202" s="133"/>
      <c r="X202" s="135"/>
      <c r="Z202" s="144"/>
      <c r="AA202" s="137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39"/>
      <c r="AO202" s="75"/>
      <c r="AP202" s="138"/>
      <c r="AQ202" s="61"/>
      <c r="AR202" s="61"/>
      <c r="AT202" s="120"/>
    </row>
    <row r="203" customFormat="false" ht="12.75" hidden="false" customHeight="false" outlineLevel="0" collapsed="false">
      <c r="A203" s="127"/>
      <c r="B203" s="128"/>
      <c r="C203" s="116"/>
      <c r="D203" s="116"/>
      <c r="E203" s="129"/>
      <c r="F203" s="130"/>
      <c r="G203" s="131"/>
      <c r="H203" s="129"/>
      <c r="I203" s="131"/>
      <c r="J203" s="131"/>
      <c r="K203" s="129"/>
      <c r="L203" s="131"/>
      <c r="M203" s="131"/>
      <c r="N203" s="131"/>
      <c r="O203" s="131"/>
      <c r="P203" s="131"/>
      <c r="Q203" s="129"/>
      <c r="R203" s="129"/>
      <c r="S203" s="129"/>
      <c r="T203" s="132"/>
      <c r="U203" s="133"/>
      <c r="X203" s="135"/>
      <c r="Z203" s="144"/>
      <c r="AA203" s="137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39"/>
      <c r="AO203" s="75"/>
      <c r="AP203" s="138"/>
      <c r="AQ203" s="61"/>
      <c r="AR203" s="61"/>
      <c r="AT203" s="120"/>
    </row>
    <row r="204" customFormat="false" ht="12.75" hidden="false" customHeight="false" outlineLevel="0" collapsed="false">
      <c r="A204" s="127"/>
      <c r="B204" s="128"/>
      <c r="C204" s="116"/>
      <c r="D204" s="116"/>
      <c r="E204" s="129"/>
      <c r="F204" s="130"/>
      <c r="G204" s="131"/>
      <c r="H204" s="129"/>
      <c r="I204" s="131"/>
      <c r="J204" s="131"/>
      <c r="K204" s="129"/>
      <c r="L204" s="131"/>
      <c r="M204" s="131"/>
      <c r="N204" s="131"/>
      <c r="O204" s="131"/>
      <c r="P204" s="131"/>
      <c r="Q204" s="129"/>
      <c r="R204" s="129"/>
      <c r="S204" s="129"/>
      <c r="T204" s="132"/>
      <c r="U204" s="133"/>
      <c r="X204" s="135"/>
      <c r="Z204" s="144"/>
      <c r="AA204" s="137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39"/>
      <c r="AO204" s="75"/>
      <c r="AP204" s="138"/>
      <c r="AQ204" s="61"/>
      <c r="AR204" s="61"/>
      <c r="AT204" s="120"/>
    </row>
    <row r="205" customFormat="false" ht="12.75" hidden="false" customHeight="false" outlineLevel="0" collapsed="false">
      <c r="A205" s="127"/>
      <c r="B205" s="128"/>
      <c r="C205" s="116"/>
      <c r="D205" s="116"/>
      <c r="E205" s="129"/>
      <c r="F205" s="130"/>
      <c r="G205" s="131"/>
      <c r="H205" s="129"/>
      <c r="I205" s="131"/>
      <c r="J205" s="131"/>
      <c r="K205" s="129"/>
      <c r="L205" s="131"/>
      <c r="M205" s="131"/>
      <c r="N205" s="131"/>
      <c r="O205" s="131"/>
      <c r="P205" s="131"/>
      <c r="Q205" s="129"/>
      <c r="R205" s="129"/>
      <c r="S205" s="129"/>
      <c r="T205" s="132"/>
      <c r="U205" s="133"/>
      <c r="X205" s="135"/>
      <c r="Z205" s="144"/>
      <c r="AA205" s="137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39"/>
      <c r="AO205" s="75"/>
      <c r="AP205" s="138"/>
      <c r="AQ205" s="61"/>
      <c r="AR205" s="61"/>
      <c r="AT205" s="120"/>
    </row>
    <row r="206" customFormat="false" ht="12.75" hidden="false" customHeight="false" outlineLevel="0" collapsed="false">
      <c r="A206" s="127"/>
      <c r="B206" s="128"/>
      <c r="C206" s="116"/>
      <c r="D206" s="116"/>
      <c r="E206" s="129"/>
      <c r="F206" s="130"/>
      <c r="G206" s="131"/>
      <c r="H206" s="129"/>
      <c r="I206" s="131"/>
      <c r="J206" s="131"/>
      <c r="K206" s="129"/>
      <c r="L206" s="131"/>
      <c r="M206" s="131"/>
      <c r="N206" s="131"/>
      <c r="O206" s="131"/>
      <c r="P206" s="131"/>
      <c r="Q206" s="129"/>
      <c r="R206" s="129"/>
      <c r="S206" s="129"/>
      <c r="T206" s="132"/>
      <c r="U206" s="133"/>
      <c r="X206" s="135"/>
      <c r="Z206" s="144"/>
      <c r="AA206" s="137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39"/>
      <c r="AO206" s="75"/>
      <c r="AP206" s="138"/>
      <c r="AQ206" s="61"/>
      <c r="AR206" s="61"/>
      <c r="AT206" s="120"/>
    </row>
    <row r="207" customFormat="false" ht="12.75" hidden="false" customHeight="false" outlineLevel="0" collapsed="false">
      <c r="A207" s="127"/>
      <c r="B207" s="128"/>
      <c r="C207" s="116"/>
      <c r="D207" s="116"/>
      <c r="E207" s="129"/>
      <c r="F207" s="130"/>
      <c r="G207" s="131"/>
      <c r="H207" s="129"/>
      <c r="I207" s="131"/>
      <c r="J207" s="131"/>
      <c r="K207" s="129"/>
      <c r="L207" s="131"/>
      <c r="M207" s="131"/>
      <c r="N207" s="131"/>
      <c r="O207" s="131"/>
      <c r="P207" s="131"/>
      <c r="Q207" s="129"/>
      <c r="R207" s="129"/>
      <c r="S207" s="129"/>
      <c r="T207" s="132"/>
      <c r="U207" s="133"/>
      <c r="X207" s="135"/>
      <c r="Z207" s="144"/>
      <c r="AA207" s="137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39"/>
      <c r="AO207" s="75"/>
      <c r="AP207" s="138"/>
      <c r="AQ207" s="61"/>
      <c r="AR207" s="61"/>
      <c r="AT207" s="120"/>
    </row>
    <row r="208" customFormat="false" ht="12.75" hidden="false" customHeight="false" outlineLevel="0" collapsed="false">
      <c r="A208" s="127"/>
      <c r="B208" s="128"/>
      <c r="C208" s="116"/>
      <c r="D208" s="116"/>
      <c r="E208" s="129"/>
      <c r="F208" s="130"/>
      <c r="G208" s="131"/>
      <c r="H208" s="129"/>
      <c r="I208" s="131"/>
      <c r="J208" s="131"/>
      <c r="K208" s="129"/>
      <c r="L208" s="131"/>
      <c r="M208" s="131"/>
      <c r="N208" s="131"/>
      <c r="O208" s="131"/>
      <c r="P208" s="131"/>
      <c r="Q208" s="129"/>
      <c r="R208" s="129"/>
      <c r="S208" s="129"/>
      <c r="T208" s="132"/>
      <c r="U208" s="133"/>
      <c r="X208" s="135"/>
      <c r="Z208" s="144"/>
      <c r="AA208" s="137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39"/>
      <c r="AO208" s="75"/>
      <c r="AP208" s="138"/>
      <c r="AQ208" s="61"/>
      <c r="AR208" s="61"/>
      <c r="AT208" s="120"/>
    </row>
    <row r="209" customFormat="false" ht="12.75" hidden="false" customHeight="false" outlineLevel="0" collapsed="false">
      <c r="A209" s="127"/>
      <c r="B209" s="128"/>
      <c r="C209" s="116"/>
      <c r="D209" s="116"/>
      <c r="E209" s="129"/>
      <c r="F209" s="130"/>
      <c r="G209" s="131"/>
      <c r="H209" s="129"/>
      <c r="I209" s="131"/>
      <c r="J209" s="131"/>
      <c r="K209" s="129"/>
      <c r="L209" s="131"/>
      <c r="M209" s="131"/>
      <c r="N209" s="131"/>
      <c r="O209" s="131"/>
      <c r="P209" s="131"/>
      <c r="Q209" s="129"/>
      <c r="R209" s="129"/>
      <c r="S209" s="129"/>
      <c r="T209" s="132"/>
      <c r="U209" s="133"/>
      <c r="X209" s="135"/>
      <c r="Z209" s="144"/>
      <c r="AA209" s="137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39"/>
      <c r="AO209" s="75"/>
      <c r="AP209" s="138"/>
      <c r="AQ209" s="61"/>
      <c r="AR209" s="61"/>
      <c r="AT209" s="120"/>
    </row>
    <row r="210" customFormat="false" ht="12.75" hidden="false" customHeight="false" outlineLevel="0" collapsed="false">
      <c r="A210" s="127"/>
      <c r="B210" s="128"/>
      <c r="C210" s="116"/>
      <c r="D210" s="116"/>
      <c r="E210" s="129"/>
      <c r="F210" s="130"/>
      <c r="G210" s="131"/>
      <c r="H210" s="129"/>
      <c r="I210" s="131"/>
      <c r="J210" s="131"/>
      <c r="K210" s="129"/>
      <c r="L210" s="131"/>
      <c r="M210" s="131"/>
      <c r="N210" s="131"/>
      <c r="O210" s="131"/>
      <c r="P210" s="131"/>
      <c r="Q210" s="129"/>
      <c r="R210" s="129"/>
      <c r="S210" s="129"/>
      <c r="T210" s="132"/>
      <c r="U210" s="133"/>
      <c r="X210" s="135"/>
      <c r="Z210" s="144"/>
      <c r="AA210" s="137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39"/>
      <c r="AO210" s="75"/>
      <c r="AP210" s="138"/>
      <c r="AQ210" s="61"/>
      <c r="AR210" s="61"/>
      <c r="AT210" s="120"/>
    </row>
    <row r="211" customFormat="false" ht="12.75" hidden="false" customHeight="false" outlineLevel="0" collapsed="false">
      <c r="A211" s="127"/>
      <c r="B211" s="128"/>
      <c r="C211" s="116"/>
      <c r="D211" s="116"/>
      <c r="E211" s="129"/>
      <c r="F211" s="130"/>
      <c r="G211" s="131"/>
      <c r="H211" s="129"/>
      <c r="I211" s="131"/>
      <c r="J211" s="131"/>
      <c r="K211" s="129"/>
      <c r="L211" s="131"/>
      <c r="M211" s="131"/>
      <c r="N211" s="131"/>
      <c r="O211" s="131"/>
      <c r="P211" s="131"/>
      <c r="Q211" s="129"/>
      <c r="R211" s="129"/>
      <c r="S211" s="129"/>
      <c r="T211" s="132"/>
      <c r="U211" s="133"/>
      <c r="X211" s="135"/>
      <c r="Z211" s="144"/>
      <c r="AA211" s="137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39"/>
      <c r="AO211" s="75"/>
      <c r="AP211" s="138"/>
      <c r="AQ211" s="61"/>
      <c r="AR211" s="61"/>
      <c r="AT211" s="120"/>
    </row>
    <row r="212" customFormat="false" ht="12.75" hidden="false" customHeight="false" outlineLevel="0" collapsed="false">
      <c r="A212" s="127"/>
      <c r="B212" s="128"/>
      <c r="C212" s="116"/>
      <c r="D212" s="116"/>
      <c r="E212" s="129"/>
      <c r="F212" s="130"/>
      <c r="G212" s="131"/>
      <c r="H212" s="129"/>
      <c r="I212" s="131"/>
      <c r="J212" s="131"/>
      <c r="K212" s="129"/>
      <c r="L212" s="131"/>
      <c r="M212" s="131"/>
      <c r="N212" s="131"/>
      <c r="O212" s="131"/>
      <c r="P212" s="131"/>
      <c r="Q212" s="129"/>
      <c r="R212" s="129"/>
      <c r="S212" s="129"/>
      <c r="T212" s="132"/>
      <c r="U212" s="133"/>
      <c r="X212" s="135"/>
      <c r="Z212" s="144"/>
      <c r="AA212" s="137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39"/>
      <c r="AO212" s="75"/>
      <c r="AP212" s="138"/>
      <c r="AQ212" s="61"/>
      <c r="AR212" s="61"/>
      <c r="AT212" s="120"/>
    </row>
    <row r="213" customFormat="false" ht="12.75" hidden="false" customHeight="false" outlineLevel="0" collapsed="false">
      <c r="A213" s="127"/>
      <c r="B213" s="128"/>
      <c r="C213" s="116"/>
      <c r="D213" s="116"/>
      <c r="E213" s="129"/>
      <c r="F213" s="130"/>
      <c r="G213" s="131"/>
      <c r="H213" s="129"/>
      <c r="I213" s="131"/>
      <c r="J213" s="131"/>
      <c r="K213" s="129"/>
      <c r="L213" s="131"/>
      <c r="M213" s="131"/>
      <c r="N213" s="131"/>
      <c r="O213" s="131"/>
      <c r="P213" s="131"/>
      <c r="Q213" s="129"/>
      <c r="R213" s="129"/>
      <c r="S213" s="129"/>
      <c r="T213" s="132"/>
      <c r="U213" s="133"/>
      <c r="X213" s="135"/>
      <c r="Z213" s="144"/>
      <c r="AA213" s="137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39"/>
      <c r="AO213" s="75"/>
      <c r="AP213" s="138"/>
      <c r="AQ213" s="61"/>
      <c r="AR213" s="61"/>
      <c r="AT213" s="120"/>
    </row>
    <row r="214" customFormat="false" ht="12.75" hidden="false" customHeight="false" outlineLevel="0" collapsed="false">
      <c r="A214" s="127"/>
      <c r="B214" s="128"/>
      <c r="C214" s="116"/>
      <c r="D214" s="116"/>
      <c r="E214" s="129"/>
      <c r="F214" s="130"/>
      <c r="G214" s="131"/>
      <c r="H214" s="129"/>
      <c r="I214" s="131"/>
      <c r="J214" s="131"/>
      <c r="K214" s="129"/>
      <c r="L214" s="131"/>
      <c r="M214" s="131"/>
      <c r="N214" s="131"/>
      <c r="O214" s="131"/>
      <c r="P214" s="131"/>
      <c r="Q214" s="129"/>
      <c r="R214" s="129"/>
      <c r="S214" s="129"/>
      <c r="T214" s="132"/>
      <c r="U214" s="133"/>
      <c r="X214" s="135"/>
      <c r="Z214" s="144"/>
      <c r="AA214" s="137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39"/>
      <c r="AO214" s="75"/>
      <c r="AP214" s="138"/>
      <c r="AQ214" s="61"/>
      <c r="AR214" s="61"/>
      <c r="AT214" s="120"/>
    </row>
    <row r="215" customFormat="false" ht="12.75" hidden="false" customHeight="false" outlineLevel="0" collapsed="false">
      <c r="A215" s="127"/>
      <c r="B215" s="128"/>
      <c r="C215" s="116"/>
      <c r="D215" s="116"/>
      <c r="E215" s="129"/>
      <c r="F215" s="130"/>
      <c r="G215" s="131"/>
      <c r="H215" s="129"/>
      <c r="I215" s="131"/>
      <c r="J215" s="131"/>
      <c r="K215" s="129"/>
      <c r="L215" s="131"/>
      <c r="M215" s="131"/>
      <c r="N215" s="131"/>
      <c r="O215" s="131"/>
      <c r="P215" s="131"/>
      <c r="Q215" s="129"/>
      <c r="R215" s="129"/>
      <c r="S215" s="129"/>
      <c r="T215" s="132"/>
      <c r="U215" s="133"/>
      <c r="X215" s="135"/>
      <c r="Z215" s="144"/>
      <c r="AA215" s="137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39"/>
      <c r="AO215" s="75"/>
      <c r="AP215" s="138"/>
      <c r="AQ215" s="61"/>
      <c r="AR215" s="61"/>
      <c r="AT215" s="120"/>
    </row>
    <row r="216" customFormat="false" ht="12.75" hidden="false" customHeight="false" outlineLevel="0" collapsed="false">
      <c r="A216" s="127"/>
      <c r="B216" s="128"/>
      <c r="C216" s="116"/>
      <c r="D216" s="116"/>
      <c r="E216" s="129"/>
      <c r="F216" s="130"/>
      <c r="G216" s="131"/>
      <c r="H216" s="129"/>
      <c r="I216" s="131"/>
      <c r="J216" s="131"/>
      <c r="K216" s="129"/>
      <c r="L216" s="131"/>
      <c r="M216" s="131"/>
      <c r="N216" s="131"/>
      <c r="O216" s="131"/>
      <c r="P216" s="131"/>
      <c r="Q216" s="129"/>
      <c r="R216" s="129"/>
      <c r="S216" s="129"/>
      <c r="T216" s="132"/>
      <c r="U216" s="133"/>
      <c r="X216" s="135"/>
      <c r="Z216" s="144"/>
      <c r="AA216" s="137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39"/>
      <c r="AO216" s="75"/>
      <c r="AP216" s="138"/>
      <c r="AQ216" s="61"/>
      <c r="AR216" s="61"/>
      <c r="AT216" s="120"/>
    </row>
    <row r="217" customFormat="false" ht="12.75" hidden="false" customHeight="false" outlineLevel="0" collapsed="false">
      <c r="A217" s="127"/>
      <c r="B217" s="128"/>
      <c r="C217" s="116"/>
      <c r="D217" s="116"/>
      <c r="E217" s="129"/>
      <c r="F217" s="130"/>
      <c r="G217" s="131"/>
      <c r="H217" s="129"/>
      <c r="I217" s="131"/>
      <c r="J217" s="131"/>
      <c r="K217" s="129"/>
      <c r="L217" s="131"/>
      <c r="M217" s="131"/>
      <c r="N217" s="131"/>
      <c r="O217" s="131"/>
      <c r="P217" s="131"/>
      <c r="Q217" s="129"/>
      <c r="R217" s="129"/>
      <c r="S217" s="129"/>
      <c r="T217" s="132"/>
      <c r="U217" s="133"/>
      <c r="X217" s="135"/>
      <c r="Z217" s="144"/>
      <c r="AA217" s="137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39"/>
      <c r="AO217" s="75"/>
      <c r="AP217" s="138"/>
      <c r="AQ217" s="61"/>
      <c r="AR217" s="61"/>
      <c r="AT217" s="120"/>
    </row>
    <row r="218" customFormat="false" ht="12.75" hidden="false" customHeight="false" outlineLevel="0" collapsed="false">
      <c r="A218" s="127"/>
      <c r="B218" s="128"/>
      <c r="C218" s="116"/>
      <c r="D218" s="116"/>
      <c r="E218" s="129"/>
      <c r="F218" s="130"/>
      <c r="G218" s="131"/>
      <c r="H218" s="129"/>
      <c r="I218" s="131"/>
      <c r="J218" s="131"/>
      <c r="K218" s="129"/>
      <c r="L218" s="131"/>
      <c r="M218" s="131"/>
      <c r="N218" s="131"/>
      <c r="O218" s="131"/>
      <c r="P218" s="131"/>
      <c r="Q218" s="129"/>
      <c r="R218" s="129"/>
      <c r="S218" s="129"/>
      <c r="T218" s="132"/>
      <c r="U218" s="133"/>
      <c r="X218" s="135"/>
      <c r="Z218" s="144"/>
      <c r="AA218" s="137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39"/>
      <c r="AO218" s="75"/>
      <c r="AP218" s="138"/>
      <c r="AQ218" s="61"/>
      <c r="AR218" s="61"/>
      <c r="AT218" s="120"/>
    </row>
    <row r="219" customFormat="false" ht="12.75" hidden="false" customHeight="false" outlineLevel="0" collapsed="false">
      <c r="A219" s="127"/>
      <c r="B219" s="128"/>
      <c r="C219" s="116"/>
      <c r="D219" s="116"/>
      <c r="E219" s="129"/>
      <c r="F219" s="130"/>
      <c r="G219" s="131"/>
      <c r="H219" s="129"/>
      <c r="I219" s="131"/>
      <c r="J219" s="131"/>
      <c r="K219" s="129"/>
      <c r="L219" s="131"/>
      <c r="M219" s="131"/>
      <c r="N219" s="131"/>
      <c r="O219" s="131"/>
      <c r="P219" s="131"/>
      <c r="Q219" s="129"/>
      <c r="R219" s="129"/>
      <c r="S219" s="129"/>
      <c r="T219" s="132"/>
      <c r="U219" s="133"/>
      <c r="X219" s="135"/>
      <c r="Z219" s="144"/>
      <c r="AA219" s="137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39"/>
      <c r="AO219" s="75"/>
      <c r="AP219" s="138"/>
      <c r="AQ219" s="61"/>
      <c r="AR219" s="61"/>
      <c r="AT219" s="120"/>
    </row>
    <row r="220" customFormat="false" ht="12.75" hidden="false" customHeight="false" outlineLevel="0" collapsed="false">
      <c r="A220" s="127"/>
      <c r="B220" s="128"/>
      <c r="C220" s="116"/>
      <c r="D220" s="116"/>
      <c r="E220" s="129"/>
      <c r="F220" s="130"/>
      <c r="G220" s="131"/>
      <c r="H220" s="129"/>
      <c r="I220" s="131"/>
      <c r="J220" s="131"/>
      <c r="K220" s="129"/>
      <c r="L220" s="131"/>
      <c r="M220" s="131"/>
      <c r="N220" s="131"/>
      <c r="O220" s="131"/>
      <c r="P220" s="131"/>
      <c r="Q220" s="129"/>
      <c r="R220" s="129"/>
      <c r="S220" s="129"/>
      <c r="T220" s="132"/>
      <c r="U220" s="133"/>
      <c r="X220" s="135"/>
      <c r="Z220" s="144"/>
      <c r="AA220" s="137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39"/>
      <c r="AO220" s="75"/>
      <c r="AP220" s="138"/>
      <c r="AQ220" s="61"/>
      <c r="AR220" s="61"/>
      <c r="AT220" s="120"/>
    </row>
    <row r="221" customFormat="false" ht="12.75" hidden="false" customHeight="false" outlineLevel="0" collapsed="false">
      <c r="A221" s="127"/>
      <c r="B221" s="128"/>
      <c r="C221" s="116"/>
      <c r="D221" s="116"/>
      <c r="E221" s="129"/>
      <c r="F221" s="130"/>
      <c r="G221" s="131"/>
      <c r="H221" s="129"/>
      <c r="I221" s="131"/>
      <c r="J221" s="131"/>
      <c r="K221" s="129"/>
      <c r="L221" s="131"/>
      <c r="M221" s="131"/>
      <c r="N221" s="131"/>
      <c r="O221" s="131"/>
      <c r="P221" s="131"/>
      <c r="Q221" s="129"/>
      <c r="R221" s="129"/>
      <c r="S221" s="129"/>
      <c r="T221" s="132"/>
      <c r="U221" s="133"/>
      <c r="X221" s="135"/>
      <c r="Z221" s="144"/>
      <c r="AA221" s="137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39"/>
      <c r="AO221" s="75"/>
      <c r="AP221" s="138"/>
      <c r="AQ221" s="61"/>
      <c r="AR221" s="61"/>
      <c r="AT221" s="120"/>
    </row>
    <row r="222" customFormat="false" ht="12.75" hidden="false" customHeight="false" outlineLevel="0" collapsed="false">
      <c r="A222" s="127"/>
      <c r="B222" s="128"/>
      <c r="C222" s="116"/>
      <c r="D222" s="116"/>
      <c r="E222" s="129"/>
      <c r="F222" s="130"/>
      <c r="G222" s="131"/>
      <c r="H222" s="129"/>
      <c r="I222" s="131"/>
      <c r="J222" s="131"/>
      <c r="K222" s="129"/>
      <c r="L222" s="131"/>
      <c r="M222" s="131"/>
      <c r="N222" s="131"/>
      <c r="O222" s="131"/>
      <c r="P222" s="131"/>
      <c r="Q222" s="129"/>
      <c r="R222" s="129"/>
      <c r="S222" s="129"/>
      <c r="T222" s="132"/>
      <c r="U222" s="133"/>
      <c r="X222" s="135"/>
      <c r="Z222" s="144"/>
      <c r="AA222" s="137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39"/>
      <c r="AO222" s="75"/>
      <c r="AP222" s="138"/>
      <c r="AQ222" s="61"/>
      <c r="AR222" s="61"/>
      <c r="AT222" s="120"/>
    </row>
    <row r="223" customFormat="false" ht="12.75" hidden="false" customHeight="false" outlineLevel="0" collapsed="false">
      <c r="A223" s="127"/>
      <c r="B223" s="128"/>
      <c r="C223" s="116"/>
      <c r="D223" s="116"/>
      <c r="E223" s="129"/>
      <c r="F223" s="130"/>
      <c r="G223" s="131"/>
      <c r="H223" s="129"/>
      <c r="I223" s="131"/>
      <c r="J223" s="131"/>
      <c r="K223" s="129"/>
      <c r="L223" s="131"/>
      <c r="M223" s="131"/>
      <c r="N223" s="131"/>
      <c r="O223" s="131"/>
      <c r="P223" s="131"/>
      <c r="Q223" s="129"/>
      <c r="R223" s="129"/>
      <c r="S223" s="129"/>
      <c r="T223" s="132"/>
      <c r="U223" s="133"/>
      <c r="X223" s="135"/>
      <c r="Z223" s="144"/>
      <c r="AA223" s="137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39"/>
      <c r="AO223" s="75"/>
      <c r="AP223" s="138"/>
      <c r="AQ223" s="61"/>
      <c r="AR223" s="61"/>
      <c r="AT223" s="120"/>
    </row>
    <row r="224" customFormat="false" ht="12.75" hidden="false" customHeight="false" outlineLevel="0" collapsed="false">
      <c r="A224" s="127"/>
      <c r="B224" s="128"/>
      <c r="C224" s="116"/>
      <c r="D224" s="116"/>
      <c r="E224" s="129"/>
      <c r="F224" s="130"/>
      <c r="G224" s="131"/>
      <c r="H224" s="129"/>
      <c r="I224" s="131"/>
      <c r="J224" s="131"/>
      <c r="K224" s="129"/>
      <c r="L224" s="131"/>
      <c r="M224" s="131"/>
      <c r="N224" s="131"/>
      <c r="O224" s="131"/>
      <c r="P224" s="131"/>
      <c r="Q224" s="129"/>
      <c r="R224" s="129"/>
      <c r="S224" s="129"/>
      <c r="T224" s="132"/>
      <c r="U224" s="133"/>
      <c r="X224" s="135"/>
      <c r="Z224" s="144"/>
      <c r="AA224" s="137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39"/>
      <c r="AO224" s="75"/>
      <c r="AP224" s="138"/>
      <c r="AQ224" s="61"/>
      <c r="AR224" s="61"/>
      <c r="AT224" s="120"/>
    </row>
    <row r="225" customFormat="false" ht="12.75" hidden="false" customHeight="false" outlineLevel="0" collapsed="false">
      <c r="A225" s="127"/>
      <c r="B225" s="128"/>
      <c r="C225" s="116"/>
      <c r="D225" s="116"/>
      <c r="E225" s="129"/>
      <c r="F225" s="130"/>
      <c r="G225" s="131"/>
      <c r="H225" s="129"/>
      <c r="I225" s="131"/>
      <c r="J225" s="131"/>
      <c r="K225" s="129"/>
      <c r="L225" s="131"/>
      <c r="M225" s="131"/>
      <c r="N225" s="131"/>
      <c r="O225" s="131"/>
      <c r="P225" s="131"/>
      <c r="Q225" s="129"/>
      <c r="R225" s="129"/>
      <c r="S225" s="129"/>
      <c r="T225" s="132"/>
      <c r="U225" s="133"/>
      <c r="X225" s="135"/>
      <c r="Z225" s="144"/>
      <c r="AA225" s="137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39"/>
      <c r="AO225" s="75"/>
      <c r="AP225" s="138"/>
      <c r="AQ225" s="61"/>
      <c r="AR225" s="61"/>
      <c r="AT225" s="120"/>
    </row>
    <row r="226" customFormat="false" ht="12.75" hidden="false" customHeight="false" outlineLevel="0" collapsed="false">
      <c r="A226" s="127"/>
      <c r="B226" s="128"/>
      <c r="C226" s="116"/>
      <c r="D226" s="116"/>
      <c r="E226" s="129"/>
      <c r="F226" s="130"/>
      <c r="G226" s="131"/>
      <c r="H226" s="129"/>
      <c r="I226" s="131"/>
      <c r="J226" s="131"/>
      <c r="K226" s="129"/>
      <c r="L226" s="131"/>
      <c r="M226" s="131"/>
      <c r="N226" s="131"/>
      <c r="O226" s="131"/>
      <c r="P226" s="131"/>
      <c r="Q226" s="129"/>
      <c r="R226" s="129"/>
      <c r="S226" s="129"/>
      <c r="T226" s="132"/>
      <c r="U226" s="133"/>
      <c r="X226" s="135"/>
      <c r="Z226" s="144"/>
      <c r="AA226" s="137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39"/>
      <c r="AO226" s="75"/>
      <c r="AP226" s="138"/>
      <c r="AQ226" s="61"/>
      <c r="AR226" s="61"/>
      <c r="AT226" s="120"/>
    </row>
    <row r="227" customFormat="false" ht="12.75" hidden="false" customHeight="false" outlineLevel="0" collapsed="false">
      <c r="A227" s="127"/>
      <c r="B227" s="128"/>
      <c r="C227" s="116"/>
      <c r="D227" s="116"/>
      <c r="E227" s="129"/>
      <c r="F227" s="130"/>
      <c r="G227" s="131"/>
      <c r="H227" s="129"/>
      <c r="I227" s="131"/>
      <c r="J227" s="131"/>
      <c r="K227" s="129"/>
      <c r="L227" s="131"/>
      <c r="M227" s="131"/>
      <c r="N227" s="131"/>
      <c r="O227" s="131"/>
      <c r="P227" s="131"/>
      <c r="Q227" s="129"/>
      <c r="R227" s="129"/>
      <c r="S227" s="129"/>
      <c r="T227" s="132"/>
      <c r="U227" s="133"/>
      <c r="X227" s="135"/>
      <c r="Z227" s="144"/>
      <c r="AA227" s="137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39"/>
      <c r="AO227" s="75"/>
      <c r="AP227" s="138"/>
      <c r="AQ227" s="61"/>
      <c r="AR227" s="61"/>
      <c r="AT227" s="120"/>
    </row>
    <row r="228" customFormat="false" ht="12.75" hidden="false" customHeight="false" outlineLevel="0" collapsed="false">
      <c r="A228" s="127"/>
      <c r="B228" s="128"/>
      <c r="C228" s="116"/>
      <c r="D228" s="116"/>
      <c r="E228" s="129"/>
      <c r="F228" s="130"/>
      <c r="G228" s="131"/>
      <c r="H228" s="129"/>
      <c r="I228" s="131"/>
      <c r="J228" s="131"/>
      <c r="K228" s="129"/>
      <c r="L228" s="131"/>
      <c r="M228" s="131"/>
      <c r="N228" s="131"/>
      <c r="O228" s="131"/>
      <c r="P228" s="131"/>
      <c r="Q228" s="129"/>
      <c r="R228" s="129"/>
      <c r="S228" s="129"/>
      <c r="T228" s="132"/>
      <c r="U228" s="133"/>
      <c r="X228" s="135"/>
      <c r="Z228" s="137"/>
      <c r="AA228" s="137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39"/>
      <c r="AO228" s="75"/>
      <c r="AP228" s="138"/>
      <c r="AQ228" s="61"/>
      <c r="AR228" s="61"/>
      <c r="AT228" s="120"/>
    </row>
    <row r="229" customFormat="false" ht="12.75" hidden="false" customHeight="false" outlineLevel="0" collapsed="false">
      <c r="A229" s="127"/>
      <c r="B229" s="128"/>
      <c r="C229" s="116"/>
      <c r="D229" s="116"/>
      <c r="E229" s="129"/>
      <c r="F229" s="130"/>
      <c r="G229" s="131"/>
      <c r="H229" s="129"/>
      <c r="I229" s="131"/>
      <c r="J229" s="131"/>
      <c r="K229" s="129"/>
      <c r="L229" s="131"/>
      <c r="M229" s="131"/>
      <c r="N229" s="131"/>
      <c r="O229" s="131"/>
      <c r="P229" s="131"/>
      <c r="Q229" s="129"/>
      <c r="R229" s="129"/>
      <c r="S229" s="129"/>
      <c r="T229" s="132"/>
      <c r="U229" s="133"/>
      <c r="X229" s="135"/>
      <c r="Z229" s="137"/>
      <c r="AA229" s="137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39"/>
      <c r="AO229" s="75"/>
      <c r="AP229" s="138"/>
      <c r="AQ229" s="61"/>
      <c r="AR229" s="61"/>
      <c r="AT229" s="120"/>
    </row>
    <row r="230" customFormat="false" ht="12.75" hidden="false" customHeight="false" outlineLevel="0" collapsed="false">
      <c r="A230" s="127"/>
      <c r="B230" s="128"/>
      <c r="C230" s="116"/>
      <c r="D230" s="116"/>
      <c r="E230" s="129"/>
      <c r="F230" s="130"/>
      <c r="G230" s="131"/>
      <c r="H230" s="129"/>
      <c r="I230" s="131"/>
      <c r="J230" s="131"/>
      <c r="K230" s="129"/>
      <c r="L230" s="131"/>
      <c r="M230" s="131"/>
      <c r="N230" s="131"/>
      <c r="O230" s="131"/>
      <c r="P230" s="131"/>
      <c r="Q230" s="129"/>
      <c r="R230" s="129"/>
      <c r="S230" s="129"/>
      <c r="T230" s="132"/>
      <c r="U230" s="133"/>
      <c r="X230" s="135"/>
      <c r="Z230" s="137"/>
      <c r="AA230" s="137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39"/>
      <c r="AO230" s="75"/>
      <c r="AP230" s="138"/>
      <c r="AQ230" s="61"/>
      <c r="AR230" s="61"/>
      <c r="AT230" s="120"/>
    </row>
    <row r="231" customFormat="false" ht="12.75" hidden="false" customHeight="false" outlineLevel="0" collapsed="false">
      <c r="A231" s="127"/>
      <c r="B231" s="128"/>
      <c r="C231" s="116"/>
      <c r="D231" s="116"/>
      <c r="E231" s="129"/>
      <c r="F231" s="130"/>
      <c r="G231" s="131"/>
      <c r="H231" s="129"/>
      <c r="I231" s="131"/>
      <c r="J231" s="131"/>
      <c r="K231" s="129"/>
      <c r="L231" s="131"/>
      <c r="M231" s="131"/>
      <c r="N231" s="131"/>
      <c r="O231" s="131"/>
      <c r="P231" s="131"/>
      <c r="Q231" s="129"/>
      <c r="R231" s="129"/>
      <c r="S231" s="129"/>
      <c r="T231" s="132"/>
      <c r="U231" s="133"/>
      <c r="X231" s="135"/>
      <c r="Z231" s="137"/>
      <c r="AA231" s="137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39"/>
      <c r="AO231" s="75"/>
      <c r="AP231" s="138"/>
      <c r="AQ231" s="61"/>
      <c r="AR231" s="61"/>
      <c r="AT231" s="120"/>
    </row>
    <row r="232" customFormat="false" ht="12.75" hidden="false" customHeight="false" outlineLevel="0" collapsed="false">
      <c r="A232" s="127"/>
      <c r="B232" s="128"/>
      <c r="C232" s="116"/>
      <c r="D232" s="116"/>
      <c r="E232" s="129"/>
      <c r="F232" s="130"/>
      <c r="G232" s="131"/>
      <c r="H232" s="129"/>
      <c r="I232" s="131"/>
      <c r="J232" s="131"/>
      <c r="K232" s="129"/>
      <c r="L232" s="131"/>
      <c r="M232" s="131"/>
      <c r="N232" s="131"/>
      <c r="O232" s="131"/>
      <c r="P232" s="131"/>
      <c r="Q232" s="129"/>
      <c r="R232" s="129"/>
      <c r="S232" s="129"/>
      <c r="T232" s="132"/>
      <c r="U232" s="133"/>
      <c r="X232" s="135"/>
      <c r="Z232" s="137"/>
      <c r="AA232" s="137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39"/>
      <c r="AO232" s="75"/>
      <c r="AP232" s="138"/>
      <c r="AQ232" s="61"/>
      <c r="AR232" s="61"/>
      <c r="AT232" s="120"/>
    </row>
    <row r="233" customFormat="false" ht="12.75" hidden="false" customHeight="false" outlineLevel="0" collapsed="false">
      <c r="A233" s="127"/>
      <c r="B233" s="128"/>
      <c r="C233" s="116"/>
      <c r="D233" s="116"/>
      <c r="E233" s="129"/>
      <c r="F233" s="130"/>
      <c r="G233" s="131"/>
      <c r="H233" s="129"/>
      <c r="I233" s="131"/>
      <c r="J233" s="131"/>
      <c r="K233" s="129"/>
      <c r="L233" s="131"/>
      <c r="M233" s="131"/>
      <c r="N233" s="131"/>
      <c r="O233" s="131"/>
      <c r="P233" s="131"/>
      <c r="Q233" s="129"/>
      <c r="R233" s="129"/>
      <c r="S233" s="129"/>
      <c r="T233" s="132"/>
      <c r="U233" s="133"/>
      <c r="X233" s="135"/>
      <c r="Z233" s="137"/>
      <c r="AA233" s="137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39"/>
      <c r="AO233" s="75"/>
      <c r="AP233" s="138"/>
      <c r="AQ233" s="61"/>
      <c r="AR233" s="61"/>
      <c r="AT233" s="120"/>
    </row>
    <row r="234" customFormat="false" ht="12.75" hidden="false" customHeight="false" outlineLevel="0" collapsed="false">
      <c r="A234" s="127"/>
      <c r="B234" s="128"/>
      <c r="C234" s="116"/>
      <c r="D234" s="116"/>
      <c r="E234" s="129"/>
      <c r="F234" s="130"/>
      <c r="G234" s="131"/>
      <c r="H234" s="129"/>
      <c r="I234" s="131"/>
      <c r="J234" s="131"/>
      <c r="K234" s="129"/>
      <c r="L234" s="131"/>
      <c r="M234" s="131"/>
      <c r="N234" s="131"/>
      <c r="O234" s="131"/>
      <c r="P234" s="131"/>
      <c r="Q234" s="129"/>
      <c r="R234" s="129"/>
      <c r="S234" s="129"/>
      <c r="T234" s="132"/>
      <c r="U234" s="133"/>
      <c r="X234" s="135"/>
      <c r="Z234" s="137"/>
      <c r="AA234" s="137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39"/>
      <c r="AO234" s="75"/>
      <c r="AP234" s="138"/>
      <c r="AQ234" s="61"/>
      <c r="AR234" s="61"/>
      <c r="AT234" s="120"/>
    </row>
    <row r="235" customFormat="false" ht="12.75" hidden="false" customHeight="false" outlineLevel="0" collapsed="false">
      <c r="A235" s="127"/>
      <c r="B235" s="128"/>
      <c r="C235" s="116"/>
      <c r="D235" s="116"/>
      <c r="E235" s="129"/>
      <c r="F235" s="130"/>
      <c r="G235" s="131"/>
      <c r="H235" s="129"/>
      <c r="I235" s="131"/>
      <c r="J235" s="131"/>
      <c r="K235" s="129"/>
      <c r="L235" s="131"/>
      <c r="M235" s="131"/>
      <c r="N235" s="131"/>
      <c r="O235" s="131"/>
      <c r="P235" s="131"/>
      <c r="Q235" s="129"/>
      <c r="R235" s="129"/>
      <c r="S235" s="129"/>
      <c r="T235" s="132"/>
      <c r="U235" s="133"/>
      <c r="X235" s="135"/>
      <c r="Z235" s="137"/>
      <c r="AA235" s="137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39"/>
      <c r="AO235" s="75"/>
      <c r="AP235" s="138"/>
      <c r="AQ235" s="61"/>
      <c r="AR235" s="61"/>
      <c r="AT235" s="120"/>
    </row>
    <row r="236" customFormat="false" ht="12.75" hidden="false" customHeight="false" outlineLevel="0" collapsed="false">
      <c r="A236" s="127"/>
      <c r="B236" s="128"/>
      <c r="C236" s="116"/>
      <c r="D236" s="116"/>
      <c r="E236" s="129"/>
      <c r="F236" s="130"/>
      <c r="G236" s="131"/>
      <c r="H236" s="129"/>
      <c r="I236" s="131"/>
      <c r="J236" s="131"/>
      <c r="K236" s="129"/>
      <c r="L236" s="131"/>
      <c r="M236" s="131"/>
      <c r="N236" s="131"/>
      <c r="O236" s="131"/>
      <c r="P236" s="131"/>
      <c r="Q236" s="129"/>
      <c r="R236" s="129"/>
      <c r="S236" s="129"/>
      <c r="T236" s="132"/>
      <c r="U236" s="133"/>
      <c r="X236" s="135"/>
      <c r="Z236" s="137"/>
      <c r="AA236" s="137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39"/>
      <c r="AO236" s="75"/>
      <c r="AP236" s="138"/>
      <c r="AQ236" s="61"/>
      <c r="AR236" s="61"/>
      <c r="AT236" s="120"/>
    </row>
    <row r="237" customFormat="false" ht="12.75" hidden="false" customHeight="false" outlineLevel="0" collapsed="false">
      <c r="A237" s="127"/>
      <c r="B237" s="128"/>
      <c r="C237" s="116"/>
      <c r="D237" s="116"/>
      <c r="E237" s="129"/>
      <c r="F237" s="130"/>
      <c r="G237" s="131"/>
      <c r="H237" s="129"/>
      <c r="I237" s="131"/>
      <c r="J237" s="131"/>
      <c r="K237" s="129"/>
      <c r="L237" s="131"/>
      <c r="M237" s="131"/>
      <c r="N237" s="131"/>
      <c r="O237" s="131"/>
      <c r="P237" s="131"/>
      <c r="Q237" s="129"/>
      <c r="R237" s="129"/>
      <c r="S237" s="129"/>
      <c r="T237" s="132"/>
      <c r="U237" s="133"/>
      <c r="X237" s="135"/>
      <c r="Z237" s="137"/>
      <c r="AA237" s="137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39"/>
      <c r="AO237" s="75"/>
      <c r="AP237" s="138"/>
      <c r="AQ237" s="61"/>
      <c r="AR237" s="61"/>
      <c r="AT237" s="120"/>
    </row>
    <row r="238" customFormat="false" ht="12.75" hidden="false" customHeight="false" outlineLevel="0" collapsed="false">
      <c r="A238" s="127"/>
      <c r="B238" s="128"/>
      <c r="C238" s="116"/>
      <c r="D238" s="116"/>
      <c r="E238" s="129"/>
      <c r="F238" s="130"/>
      <c r="G238" s="131"/>
      <c r="H238" s="129"/>
      <c r="I238" s="131"/>
      <c r="J238" s="131"/>
      <c r="K238" s="129"/>
      <c r="L238" s="131"/>
      <c r="M238" s="131"/>
      <c r="N238" s="131"/>
      <c r="O238" s="131"/>
      <c r="P238" s="131"/>
      <c r="Q238" s="129"/>
      <c r="R238" s="129"/>
      <c r="S238" s="129"/>
      <c r="T238" s="132"/>
      <c r="U238" s="133"/>
      <c r="X238" s="135"/>
      <c r="Z238" s="137"/>
      <c r="AA238" s="137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39"/>
      <c r="AO238" s="75"/>
      <c r="AP238" s="138"/>
      <c r="AQ238" s="61"/>
      <c r="AR238" s="61"/>
      <c r="AT238" s="120"/>
    </row>
    <row r="239" customFormat="false" ht="12.75" hidden="false" customHeight="false" outlineLevel="0" collapsed="false">
      <c r="A239" s="127"/>
      <c r="B239" s="128"/>
      <c r="C239" s="116"/>
      <c r="D239" s="116"/>
      <c r="E239" s="129"/>
      <c r="F239" s="130"/>
      <c r="G239" s="131"/>
      <c r="H239" s="129"/>
      <c r="I239" s="131"/>
      <c r="J239" s="131"/>
      <c r="K239" s="129"/>
      <c r="L239" s="131"/>
      <c r="M239" s="131"/>
      <c r="N239" s="131"/>
      <c r="O239" s="131"/>
      <c r="P239" s="131"/>
      <c r="Q239" s="129"/>
      <c r="R239" s="129"/>
      <c r="S239" s="129"/>
      <c r="T239" s="132"/>
      <c r="U239" s="133"/>
      <c r="X239" s="135"/>
      <c r="Z239" s="137"/>
      <c r="AA239" s="137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39"/>
      <c r="AO239" s="75"/>
      <c r="AP239" s="138"/>
      <c r="AQ239" s="61"/>
      <c r="AR239" s="61"/>
      <c r="AT239" s="120"/>
    </row>
    <row r="240" customFormat="false" ht="12.75" hidden="false" customHeight="false" outlineLevel="0" collapsed="false">
      <c r="A240" s="127"/>
      <c r="B240" s="128"/>
      <c r="C240" s="116"/>
      <c r="D240" s="116"/>
      <c r="E240" s="129"/>
      <c r="F240" s="130"/>
      <c r="G240" s="131"/>
      <c r="H240" s="129"/>
      <c r="I240" s="131"/>
      <c r="J240" s="131"/>
      <c r="K240" s="129"/>
      <c r="L240" s="131"/>
      <c r="M240" s="131"/>
      <c r="N240" s="131"/>
      <c r="O240" s="131"/>
      <c r="P240" s="131"/>
      <c r="Q240" s="129"/>
      <c r="R240" s="129"/>
      <c r="S240" s="129"/>
      <c r="T240" s="132"/>
      <c r="U240" s="133"/>
      <c r="X240" s="135"/>
      <c r="Z240" s="137"/>
      <c r="AA240" s="137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39"/>
      <c r="AO240" s="75"/>
      <c r="AP240" s="138"/>
      <c r="AQ240" s="61"/>
      <c r="AR240" s="61"/>
      <c r="AT240" s="120"/>
    </row>
    <row r="241" customFormat="false" ht="12.75" hidden="false" customHeight="false" outlineLevel="0" collapsed="false">
      <c r="A241" s="127"/>
      <c r="B241" s="128"/>
      <c r="C241" s="116"/>
      <c r="D241" s="116"/>
      <c r="E241" s="129"/>
      <c r="F241" s="130"/>
      <c r="G241" s="131"/>
      <c r="H241" s="129"/>
      <c r="I241" s="131"/>
      <c r="J241" s="131"/>
      <c r="K241" s="129"/>
      <c r="L241" s="131"/>
      <c r="M241" s="131"/>
      <c r="N241" s="131"/>
      <c r="O241" s="131"/>
      <c r="P241" s="131"/>
      <c r="Q241" s="129"/>
      <c r="R241" s="129"/>
      <c r="S241" s="129"/>
      <c r="T241" s="132"/>
      <c r="U241" s="133"/>
      <c r="X241" s="135"/>
      <c r="Z241" s="137"/>
      <c r="AA241" s="137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39"/>
      <c r="AO241" s="75"/>
      <c r="AP241" s="138"/>
      <c r="AQ241" s="61"/>
      <c r="AR241" s="61"/>
      <c r="AT241" s="120"/>
    </row>
    <row r="242" customFormat="false" ht="12.75" hidden="false" customHeight="false" outlineLevel="0" collapsed="false">
      <c r="A242" s="127"/>
      <c r="B242" s="128"/>
      <c r="C242" s="116"/>
      <c r="D242" s="116"/>
      <c r="E242" s="129"/>
      <c r="F242" s="130"/>
      <c r="G242" s="131"/>
      <c r="H242" s="129"/>
      <c r="I242" s="131"/>
      <c r="J242" s="131"/>
      <c r="K242" s="129"/>
      <c r="L242" s="131"/>
      <c r="M242" s="131"/>
      <c r="N242" s="131"/>
      <c r="O242" s="131"/>
      <c r="P242" s="131"/>
      <c r="Q242" s="129"/>
      <c r="R242" s="129"/>
      <c r="S242" s="129"/>
      <c r="T242" s="132"/>
      <c r="U242" s="133"/>
      <c r="X242" s="135"/>
      <c r="Z242" s="137"/>
      <c r="AA242" s="137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39"/>
      <c r="AO242" s="75"/>
      <c r="AP242" s="138"/>
      <c r="AQ242" s="61"/>
      <c r="AR242" s="61"/>
      <c r="AT242" s="120"/>
    </row>
    <row r="243" customFormat="false" ht="12.75" hidden="false" customHeight="false" outlineLevel="0" collapsed="false">
      <c r="A243" s="127"/>
      <c r="B243" s="128"/>
      <c r="C243" s="116"/>
      <c r="D243" s="116"/>
      <c r="E243" s="129"/>
      <c r="F243" s="130"/>
      <c r="G243" s="131"/>
      <c r="H243" s="129"/>
      <c r="I243" s="131"/>
      <c r="J243" s="131"/>
      <c r="K243" s="129"/>
      <c r="L243" s="131"/>
      <c r="M243" s="131"/>
      <c r="N243" s="131"/>
      <c r="O243" s="131"/>
      <c r="P243" s="131"/>
      <c r="Q243" s="129"/>
      <c r="R243" s="129"/>
      <c r="S243" s="129"/>
      <c r="T243" s="132"/>
      <c r="U243" s="133"/>
      <c r="X243" s="135"/>
      <c r="Z243" s="137"/>
      <c r="AA243" s="137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39"/>
      <c r="AO243" s="75"/>
      <c r="AP243" s="138"/>
      <c r="AQ243" s="61"/>
      <c r="AR243" s="61"/>
      <c r="AT243" s="120"/>
    </row>
    <row r="244" customFormat="false" ht="12.75" hidden="false" customHeight="false" outlineLevel="0" collapsed="false">
      <c r="A244" s="127"/>
      <c r="B244" s="128"/>
      <c r="C244" s="116"/>
      <c r="D244" s="116"/>
      <c r="E244" s="129"/>
      <c r="F244" s="130"/>
      <c r="G244" s="131"/>
      <c r="H244" s="129"/>
      <c r="I244" s="131"/>
      <c r="J244" s="131"/>
      <c r="K244" s="129"/>
      <c r="L244" s="131"/>
      <c r="M244" s="131"/>
      <c r="N244" s="131"/>
      <c r="O244" s="131"/>
      <c r="P244" s="131"/>
      <c r="Q244" s="129"/>
      <c r="R244" s="129"/>
      <c r="S244" s="129"/>
      <c r="T244" s="132"/>
      <c r="U244" s="133"/>
      <c r="X244" s="135"/>
      <c r="Z244" s="137"/>
      <c r="AA244" s="137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39"/>
      <c r="AO244" s="75"/>
      <c r="AP244" s="138"/>
      <c r="AQ244" s="61"/>
      <c r="AR244" s="61"/>
      <c r="AT244" s="120"/>
    </row>
    <row r="245" customFormat="false" ht="12.75" hidden="false" customHeight="false" outlineLevel="0" collapsed="false">
      <c r="A245" s="127"/>
      <c r="B245" s="128"/>
      <c r="C245" s="116"/>
      <c r="D245" s="116"/>
      <c r="E245" s="129"/>
      <c r="F245" s="130"/>
      <c r="G245" s="131"/>
      <c r="H245" s="129"/>
      <c r="I245" s="131"/>
      <c r="J245" s="131"/>
      <c r="K245" s="129"/>
      <c r="L245" s="131"/>
      <c r="M245" s="131"/>
      <c r="N245" s="131"/>
      <c r="O245" s="131"/>
      <c r="P245" s="131"/>
      <c r="Q245" s="129"/>
      <c r="R245" s="129"/>
      <c r="S245" s="129"/>
      <c r="T245" s="132"/>
      <c r="U245" s="133"/>
      <c r="X245" s="135"/>
      <c r="Z245" s="137"/>
      <c r="AA245" s="137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39"/>
      <c r="AO245" s="75"/>
      <c r="AP245" s="138"/>
      <c r="AQ245" s="61"/>
      <c r="AR245" s="61"/>
      <c r="AT245" s="120"/>
    </row>
    <row r="246" customFormat="false" ht="12.75" hidden="false" customHeight="false" outlineLevel="0" collapsed="false">
      <c r="A246" s="127"/>
      <c r="B246" s="128"/>
      <c r="C246" s="116"/>
      <c r="D246" s="116"/>
      <c r="E246" s="129"/>
      <c r="F246" s="130"/>
      <c r="G246" s="131"/>
      <c r="H246" s="129"/>
      <c r="I246" s="131"/>
      <c r="J246" s="131"/>
      <c r="K246" s="129"/>
      <c r="L246" s="131"/>
      <c r="M246" s="131"/>
      <c r="N246" s="131"/>
      <c r="O246" s="131"/>
      <c r="P246" s="131"/>
      <c r="Q246" s="129"/>
      <c r="R246" s="129"/>
      <c r="S246" s="129"/>
      <c r="T246" s="132"/>
      <c r="U246" s="133"/>
      <c r="X246" s="135"/>
      <c r="Z246" s="137"/>
      <c r="AA246" s="137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39"/>
      <c r="AO246" s="75"/>
      <c r="AP246" s="138"/>
      <c r="AQ246" s="61"/>
      <c r="AR246" s="61"/>
      <c r="AT246" s="120"/>
    </row>
    <row r="247" customFormat="false" ht="12.75" hidden="false" customHeight="false" outlineLevel="0" collapsed="false">
      <c r="A247" s="127"/>
      <c r="B247" s="128"/>
      <c r="C247" s="116"/>
      <c r="D247" s="116"/>
      <c r="E247" s="129"/>
      <c r="F247" s="130"/>
      <c r="G247" s="131"/>
      <c r="H247" s="129"/>
      <c r="I247" s="131"/>
      <c r="J247" s="131"/>
      <c r="K247" s="129"/>
      <c r="L247" s="131"/>
      <c r="M247" s="131"/>
      <c r="N247" s="131"/>
      <c r="O247" s="131"/>
      <c r="P247" s="131"/>
      <c r="Q247" s="129"/>
      <c r="R247" s="129"/>
      <c r="S247" s="129"/>
      <c r="T247" s="132"/>
      <c r="U247" s="133"/>
      <c r="X247" s="135"/>
      <c r="Z247" s="137"/>
      <c r="AA247" s="137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39"/>
      <c r="AO247" s="75"/>
      <c r="AP247" s="138"/>
      <c r="AQ247" s="61"/>
      <c r="AR247" s="61"/>
      <c r="AT247" s="120"/>
    </row>
    <row r="248" customFormat="false" ht="12.75" hidden="false" customHeight="false" outlineLevel="0" collapsed="false">
      <c r="A248" s="127"/>
      <c r="B248" s="128"/>
      <c r="C248" s="116"/>
      <c r="D248" s="116"/>
      <c r="E248" s="129"/>
      <c r="F248" s="130"/>
      <c r="G248" s="131"/>
      <c r="H248" s="129"/>
      <c r="I248" s="131"/>
      <c r="J248" s="131"/>
      <c r="K248" s="129"/>
      <c r="L248" s="131"/>
      <c r="M248" s="131"/>
      <c r="N248" s="131"/>
      <c r="O248" s="131"/>
      <c r="P248" s="131"/>
      <c r="Q248" s="129"/>
      <c r="R248" s="129"/>
      <c r="S248" s="129"/>
      <c r="T248" s="132"/>
      <c r="U248" s="133"/>
      <c r="X248" s="135"/>
      <c r="Z248" s="137"/>
      <c r="AA248" s="137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39"/>
      <c r="AO248" s="75"/>
      <c r="AP248" s="138"/>
      <c r="AQ248" s="61"/>
      <c r="AR248" s="61"/>
      <c r="AT248" s="120"/>
    </row>
    <row r="249" customFormat="false" ht="12.75" hidden="false" customHeight="false" outlineLevel="0" collapsed="false">
      <c r="A249" s="127"/>
      <c r="B249" s="128"/>
      <c r="C249" s="116"/>
      <c r="D249" s="116"/>
      <c r="E249" s="129"/>
      <c r="F249" s="130"/>
      <c r="G249" s="131"/>
      <c r="H249" s="129"/>
      <c r="I249" s="131"/>
      <c r="J249" s="131"/>
      <c r="K249" s="129"/>
      <c r="L249" s="131"/>
      <c r="M249" s="131"/>
      <c r="N249" s="131"/>
      <c r="O249" s="131"/>
      <c r="P249" s="131"/>
      <c r="Q249" s="129"/>
      <c r="R249" s="129"/>
      <c r="S249" s="129"/>
      <c r="T249" s="132"/>
      <c r="U249" s="133"/>
      <c r="X249" s="135"/>
      <c r="Z249" s="137"/>
      <c r="AA249" s="137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39"/>
      <c r="AO249" s="75"/>
      <c r="AP249" s="138"/>
      <c r="AQ249" s="61"/>
      <c r="AR249" s="61"/>
      <c r="AT249" s="120"/>
    </row>
    <row r="250" customFormat="false" ht="12.75" hidden="false" customHeight="false" outlineLevel="0" collapsed="false">
      <c r="A250" s="127"/>
      <c r="B250" s="128"/>
      <c r="C250" s="116"/>
      <c r="D250" s="116"/>
      <c r="E250" s="129"/>
      <c r="F250" s="130"/>
      <c r="G250" s="131"/>
      <c r="H250" s="129"/>
      <c r="I250" s="131"/>
      <c r="J250" s="131"/>
      <c r="K250" s="129"/>
      <c r="L250" s="131"/>
      <c r="M250" s="131"/>
      <c r="N250" s="131"/>
      <c r="O250" s="131"/>
      <c r="P250" s="131"/>
      <c r="Q250" s="129"/>
      <c r="R250" s="129"/>
      <c r="S250" s="129"/>
      <c r="T250" s="132"/>
      <c r="U250" s="133"/>
      <c r="X250" s="135"/>
      <c r="Z250" s="137"/>
      <c r="AA250" s="137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39"/>
      <c r="AO250" s="75"/>
      <c r="AP250" s="138"/>
      <c r="AQ250" s="61"/>
      <c r="AR250" s="61"/>
      <c r="AT250" s="120"/>
    </row>
    <row r="251" customFormat="false" ht="12.75" hidden="false" customHeight="false" outlineLevel="0" collapsed="false">
      <c r="A251" s="127"/>
      <c r="B251" s="128"/>
      <c r="C251" s="116"/>
      <c r="D251" s="116"/>
      <c r="E251" s="129"/>
      <c r="F251" s="130"/>
      <c r="G251" s="131"/>
      <c r="H251" s="129"/>
      <c r="I251" s="131"/>
      <c r="J251" s="131"/>
      <c r="K251" s="129"/>
      <c r="L251" s="131"/>
      <c r="M251" s="131"/>
      <c r="N251" s="131"/>
      <c r="O251" s="131"/>
      <c r="P251" s="131"/>
      <c r="Q251" s="129"/>
      <c r="R251" s="129"/>
      <c r="S251" s="129"/>
      <c r="T251" s="132"/>
      <c r="U251" s="133"/>
      <c r="X251" s="135"/>
      <c r="Z251" s="137"/>
      <c r="AA251" s="137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39"/>
      <c r="AO251" s="75"/>
      <c r="AP251" s="138"/>
      <c r="AQ251" s="61"/>
      <c r="AR251" s="61"/>
      <c r="AT251" s="120"/>
    </row>
    <row r="252" customFormat="false" ht="12.75" hidden="false" customHeight="false" outlineLevel="0" collapsed="false">
      <c r="A252" s="127"/>
      <c r="B252" s="128"/>
      <c r="C252" s="116"/>
      <c r="D252" s="116"/>
      <c r="E252" s="129"/>
      <c r="F252" s="130"/>
      <c r="G252" s="131"/>
      <c r="H252" s="129"/>
      <c r="I252" s="131"/>
      <c r="J252" s="131"/>
      <c r="K252" s="129"/>
      <c r="L252" s="131"/>
      <c r="M252" s="131"/>
      <c r="N252" s="131"/>
      <c r="O252" s="131"/>
      <c r="P252" s="131"/>
      <c r="Q252" s="129"/>
      <c r="R252" s="129"/>
      <c r="S252" s="129"/>
      <c r="T252" s="132"/>
      <c r="U252" s="133"/>
      <c r="X252" s="135"/>
      <c r="Z252" s="137"/>
      <c r="AA252" s="137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39"/>
      <c r="AO252" s="75"/>
      <c r="AP252" s="138"/>
      <c r="AQ252" s="61"/>
      <c r="AR252" s="61"/>
      <c r="AT252" s="120"/>
    </row>
    <row r="253" customFormat="false" ht="12.75" hidden="false" customHeight="false" outlineLevel="0" collapsed="false">
      <c r="A253" s="127"/>
      <c r="B253" s="128"/>
      <c r="C253" s="116"/>
      <c r="D253" s="116"/>
      <c r="E253" s="129"/>
      <c r="F253" s="130"/>
      <c r="G253" s="131"/>
      <c r="H253" s="129"/>
      <c r="I253" s="131"/>
      <c r="J253" s="131"/>
      <c r="K253" s="129"/>
      <c r="L253" s="131"/>
      <c r="M253" s="131"/>
      <c r="N253" s="131"/>
      <c r="O253" s="131"/>
      <c r="P253" s="131"/>
      <c r="Q253" s="129"/>
      <c r="R253" s="129"/>
      <c r="S253" s="129"/>
      <c r="T253" s="132"/>
      <c r="U253" s="133"/>
      <c r="X253" s="135"/>
      <c r="Z253" s="137"/>
      <c r="AA253" s="137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39"/>
      <c r="AO253" s="75"/>
      <c r="AP253" s="138"/>
      <c r="AQ253" s="61"/>
      <c r="AR253" s="61"/>
      <c r="AT253" s="120"/>
    </row>
    <row r="254" customFormat="false" ht="12.75" hidden="false" customHeight="false" outlineLevel="0" collapsed="false">
      <c r="A254" s="127"/>
      <c r="B254" s="128"/>
      <c r="C254" s="116"/>
      <c r="D254" s="116"/>
      <c r="E254" s="129"/>
      <c r="F254" s="130"/>
      <c r="G254" s="131"/>
      <c r="H254" s="129"/>
      <c r="I254" s="131"/>
      <c r="J254" s="131"/>
      <c r="K254" s="129"/>
      <c r="L254" s="131"/>
      <c r="M254" s="131"/>
      <c r="N254" s="131"/>
      <c r="O254" s="131"/>
      <c r="P254" s="131"/>
      <c r="Q254" s="129"/>
      <c r="R254" s="129"/>
      <c r="S254" s="129"/>
      <c r="T254" s="132"/>
      <c r="U254" s="133"/>
      <c r="X254" s="135"/>
      <c r="Z254" s="137"/>
      <c r="AA254" s="137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39"/>
      <c r="AO254" s="75"/>
      <c r="AP254" s="138"/>
      <c r="AQ254" s="61"/>
      <c r="AR254" s="61"/>
      <c r="AT254" s="120"/>
    </row>
    <row r="255" customFormat="false" ht="12.75" hidden="false" customHeight="false" outlineLevel="0" collapsed="false">
      <c r="A255" s="127"/>
      <c r="B255" s="128"/>
      <c r="C255" s="116"/>
      <c r="D255" s="116"/>
      <c r="E255" s="129"/>
      <c r="F255" s="130"/>
      <c r="G255" s="131"/>
      <c r="H255" s="129"/>
      <c r="I255" s="131"/>
      <c r="J255" s="131"/>
      <c r="K255" s="129"/>
      <c r="L255" s="131"/>
      <c r="M255" s="131"/>
      <c r="N255" s="131"/>
      <c r="O255" s="131"/>
      <c r="P255" s="131"/>
      <c r="Q255" s="129"/>
      <c r="R255" s="129"/>
      <c r="S255" s="129"/>
      <c r="T255" s="132"/>
      <c r="U255" s="133"/>
      <c r="X255" s="135"/>
      <c r="Z255" s="137"/>
      <c r="AA255" s="137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39"/>
      <c r="AO255" s="75"/>
      <c r="AP255" s="138"/>
      <c r="AQ255" s="61"/>
      <c r="AR255" s="61"/>
      <c r="AT255" s="120"/>
    </row>
    <row r="256" customFormat="false" ht="12.75" hidden="false" customHeight="false" outlineLevel="0" collapsed="false">
      <c r="A256" s="127"/>
      <c r="B256" s="128"/>
      <c r="C256" s="116"/>
      <c r="D256" s="116"/>
      <c r="E256" s="129"/>
      <c r="F256" s="130"/>
      <c r="G256" s="131"/>
      <c r="H256" s="129"/>
      <c r="I256" s="131"/>
      <c r="J256" s="131"/>
      <c r="K256" s="129"/>
      <c r="L256" s="131"/>
      <c r="M256" s="131"/>
      <c r="N256" s="131"/>
      <c r="O256" s="131"/>
      <c r="P256" s="131"/>
      <c r="Q256" s="129"/>
      <c r="R256" s="129"/>
      <c r="S256" s="129"/>
      <c r="T256" s="132"/>
      <c r="U256" s="133"/>
      <c r="X256" s="135"/>
      <c r="Z256" s="137"/>
      <c r="AA256" s="137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39"/>
      <c r="AO256" s="75"/>
      <c r="AP256" s="138"/>
      <c r="AQ256" s="61"/>
      <c r="AR256" s="61"/>
      <c r="AT256" s="120"/>
    </row>
    <row r="257" customFormat="false" ht="12.75" hidden="false" customHeight="false" outlineLevel="0" collapsed="false">
      <c r="A257" s="127"/>
      <c r="B257" s="128"/>
      <c r="C257" s="116"/>
      <c r="D257" s="116"/>
      <c r="E257" s="129"/>
      <c r="F257" s="130"/>
      <c r="G257" s="131"/>
      <c r="H257" s="129"/>
      <c r="I257" s="131"/>
      <c r="J257" s="131"/>
      <c r="K257" s="129"/>
      <c r="L257" s="131"/>
      <c r="M257" s="131"/>
      <c r="N257" s="131"/>
      <c r="O257" s="131"/>
      <c r="P257" s="131"/>
      <c r="Q257" s="129"/>
      <c r="R257" s="129"/>
      <c r="S257" s="129"/>
      <c r="T257" s="132"/>
      <c r="U257" s="133"/>
      <c r="X257" s="135"/>
      <c r="Z257" s="137"/>
      <c r="AA257" s="137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39"/>
      <c r="AO257" s="75"/>
      <c r="AP257" s="138"/>
      <c r="AQ257" s="61"/>
      <c r="AR257" s="61"/>
      <c r="AT257" s="120"/>
    </row>
    <row r="258" customFormat="false" ht="12.75" hidden="false" customHeight="false" outlineLevel="0" collapsed="false">
      <c r="A258" s="127"/>
      <c r="B258" s="128"/>
      <c r="C258" s="116"/>
      <c r="D258" s="116"/>
      <c r="E258" s="129"/>
      <c r="F258" s="130"/>
      <c r="G258" s="131"/>
      <c r="H258" s="129"/>
      <c r="I258" s="131"/>
      <c r="J258" s="131"/>
      <c r="K258" s="129"/>
      <c r="L258" s="131"/>
      <c r="M258" s="131"/>
      <c r="N258" s="131"/>
      <c r="O258" s="131"/>
      <c r="P258" s="131"/>
      <c r="Q258" s="129"/>
      <c r="R258" s="129"/>
      <c r="S258" s="129"/>
      <c r="T258" s="132"/>
      <c r="U258" s="133"/>
      <c r="X258" s="135"/>
      <c r="Z258" s="137"/>
      <c r="AA258" s="137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39"/>
      <c r="AO258" s="75"/>
      <c r="AP258" s="138"/>
      <c r="AQ258" s="61"/>
      <c r="AR258" s="61"/>
      <c r="AT258" s="120"/>
    </row>
    <row r="259" customFormat="false" ht="12.75" hidden="false" customHeight="false" outlineLevel="0" collapsed="false">
      <c r="A259" s="127"/>
      <c r="B259" s="128"/>
      <c r="C259" s="116"/>
      <c r="D259" s="116"/>
      <c r="E259" s="129"/>
      <c r="F259" s="130"/>
      <c r="G259" s="131"/>
      <c r="H259" s="129"/>
      <c r="I259" s="131"/>
      <c r="J259" s="131"/>
      <c r="K259" s="129"/>
      <c r="L259" s="131"/>
      <c r="M259" s="131"/>
      <c r="N259" s="131"/>
      <c r="O259" s="131"/>
      <c r="P259" s="131"/>
      <c r="Q259" s="129"/>
      <c r="R259" s="129"/>
      <c r="S259" s="129"/>
      <c r="T259" s="132"/>
      <c r="U259" s="133"/>
      <c r="X259" s="135"/>
      <c r="Z259" s="137"/>
      <c r="AA259" s="137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39"/>
      <c r="AO259" s="75"/>
      <c r="AP259" s="138"/>
      <c r="AQ259" s="61"/>
      <c r="AR259" s="61"/>
      <c r="AT259" s="120"/>
    </row>
    <row r="260" customFormat="false" ht="12.75" hidden="false" customHeight="false" outlineLevel="0" collapsed="false">
      <c r="A260" s="127"/>
      <c r="B260" s="128"/>
      <c r="C260" s="116"/>
      <c r="D260" s="116"/>
      <c r="E260" s="129"/>
      <c r="F260" s="130"/>
      <c r="G260" s="131"/>
      <c r="H260" s="129"/>
      <c r="I260" s="131"/>
      <c r="J260" s="131"/>
      <c r="K260" s="129"/>
      <c r="L260" s="131"/>
      <c r="M260" s="131"/>
      <c r="N260" s="131"/>
      <c r="O260" s="131"/>
      <c r="P260" s="131"/>
      <c r="Q260" s="129"/>
      <c r="R260" s="129"/>
      <c r="S260" s="129"/>
      <c r="T260" s="132"/>
      <c r="U260" s="133"/>
      <c r="X260" s="135"/>
      <c r="Z260" s="137"/>
      <c r="AA260" s="137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39"/>
      <c r="AO260" s="75"/>
      <c r="AP260" s="138"/>
      <c r="AQ260" s="61"/>
      <c r="AR260" s="61"/>
      <c r="AT260" s="120"/>
    </row>
    <row r="261" customFormat="false" ht="12.75" hidden="false" customHeight="false" outlineLevel="0" collapsed="false">
      <c r="A261" s="127"/>
      <c r="B261" s="128"/>
      <c r="C261" s="116"/>
      <c r="D261" s="116"/>
      <c r="E261" s="129"/>
      <c r="F261" s="130"/>
      <c r="G261" s="131"/>
      <c r="H261" s="129"/>
      <c r="I261" s="131"/>
      <c r="J261" s="131"/>
      <c r="K261" s="129"/>
      <c r="L261" s="131"/>
      <c r="M261" s="131"/>
      <c r="N261" s="131"/>
      <c r="O261" s="131"/>
      <c r="P261" s="131"/>
      <c r="Q261" s="129"/>
      <c r="R261" s="129"/>
      <c r="S261" s="129"/>
      <c r="T261" s="132"/>
      <c r="U261" s="133"/>
      <c r="X261" s="135"/>
      <c r="Z261" s="137"/>
      <c r="AA261" s="137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39"/>
      <c r="AO261" s="75"/>
      <c r="AP261" s="138"/>
      <c r="AQ261" s="61"/>
      <c r="AR261" s="61"/>
      <c r="AT261" s="120"/>
    </row>
    <row r="262" customFormat="false" ht="12.75" hidden="false" customHeight="false" outlineLevel="0" collapsed="false">
      <c r="A262" s="127"/>
      <c r="B262" s="128"/>
      <c r="C262" s="116"/>
      <c r="D262" s="116"/>
      <c r="E262" s="129"/>
      <c r="F262" s="130"/>
      <c r="G262" s="131"/>
      <c r="H262" s="129"/>
      <c r="I262" s="131"/>
      <c r="J262" s="131"/>
      <c r="K262" s="129"/>
      <c r="L262" s="131"/>
      <c r="M262" s="131"/>
      <c r="N262" s="131"/>
      <c r="O262" s="131"/>
      <c r="P262" s="131"/>
      <c r="Q262" s="129"/>
      <c r="R262" s="129"/>
      <c r="S262" s="129"/>
      <c r="T262" s="132"/>
      <c r="U262" s="133"/>
      <c r="X262" s="135"/>
      <c r="Z262" s="137"/>
      <c r="AA262" s="137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39"/>
      <c r="AO262" s="75"/>
      <c r="AP262" s="138"/>
      <c r="AQ262" s="61"/>
      <c r="AR262" s="61"/>
      <c r="AT262" s="120"/>
    </row>
    <row r="263" customFormat="false" ht="12.75" hidden="false" customHeight="false" outlineLevel="0" collapsed="false">
      <c r="A263" s="127"/>
      <c r="B263" s="128"/>
      <c r="C263" s="116"/>
      <c r="D263" s="116"/>
      <c r="E263" s="129"/>
      <c r="F263" s="130"/>
      <c r="G263" s="131"/>
      <c r="H263" s="129"/>
      <c r="I263" s="131"/>
      <c r="J263" s="131"/>
      <c r="K263" s="129"/>
      <c r="L263" s="131"/>
      <c r="M263" s="131"/>
      <c r="N263" s="131"/>
      <c r="O263" s="131"/>
      <c r="P263" s="131"/>
      <c r="Q263" s="129"/>
      <c r="R263" s="129"/>
      <c r="S263" s="129"/>
      <c r="T263" s="132"/>
      <c r="U263" s="133"/>
      <c r="X263" s="135"/>
      <c r="Z263" s="137"/>
      <c r="AA263" s="137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39"/>
      <c r="AO263" s="75"/>
      <c r="AP263" s="138"/>
      <c r="AQ263" s="61"/>
      <c r="AR263" s="61"/>
      <c r="AT263" s="120"/>
    </row>
    <row r="264" customFormat="false" ht="12.75" hidden="false" customHeight="false" outlineLevel="0" collapsed="false">
      <c r="A264" s="127"/>
      <c r="B264" s="128"/>
      <c r="C264" s="116"/>
      <c r="D264" s="116"/>
      <c r="E264" s="129"/>
      <c r="F264" s="130"/>
      <c r="G264" s="131"/>
      <c r="H264" s="129"/>
      <c r="I264" s="131"/>
      <c r="J264" s="131"/>
      <c r="K264" s="129"/>
      <c r="L264" s="131"/>
      <c r="M264" s="131"/>
      <c r="N264" s="131"/>
      <c r="O264" s="131"/>
      <c r="P264" s="131"/>
      <c r="Q264" s="129"/>
      <c r="R264" s="129"/>
      <c r="S264" s="129"/>
      <c r="T264" s="132"/>
      <c r="U264" s="133"/>
      <c r="X264" s="135"/>
      <c r="Z264" s="137"/>
      <c r="AA264" s="137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39"/>
      <c r="AO264" s="75"/>
      <c r="AP264" s="138"/>
      <c r="AQ264" s="61"/>
      <c r="AR264" s="61"/>
      <c r="AT264" s="120"/>
    </row>
    <row r="265" customFormat="false" ht="12.75" hidden="false" customHeight="false" outlineLevel="0" collapsed="false">
      <c r="A265" s="127"/>
      <c r="B265" s="128"/>
      <c r="C265" s="116"/>
      <c r="D265" s="116"/>
      <c r="E265" s="129"/>
      <c r="F265" s="130"/>
      <c r="G265" s="131"/>
      <c r="H265" s="129"/>
      <c r="I265" s="131"/>
      <c r="J265" s="131"/>
      <c r="K265" s="129"/>
      <c r="L265" s="131"/>
      <c r="M265" s="131"/>
      <c r="N265" s="131"/>
      <c r="O265" s="131"/>
      <c r="P265" s="131"/>
      <c r="Q265" s="129"/>
      <c r="R265" s="129"/>
      <c r="S265" s="129"/>
      <c r="T265" s="132"/>
      <c r="U265" s="133"/>
      <c r="X265" s="135"/>
      <c r="Z265" s="137"/>
      <c r="AA265" s="137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39"/>
      <c r="AO265" s="75"/>
      <c r="AP265" s="138"/>
      <c r="AQ265" s="61"/>
      <c r="AR265" s="61"/>
      <c r="AT265" s="120"/>
    </row>
    <row r="266" customFormat="false" ht="12.75" hidden="false" customHeight="false" outlineLevel="0" collapsed="false">
      <c r="A266" s="127"/>
      <c r="B266" s="128"/>
      <c r="C266" s="116"/>
      <c r="D266" s="116"/>
      <c r="E266" s="129"/>
      <c r="F266" s="130"/>
      <c r="G266" s="131"/>
      <c r="H266" s="129"/>
      <c r="I266" s="131"/>
      <c r="J266" s="131"/>
      <c r="K266" s="129"/>
      <c r="L266" s="131"/>
      <c r="M266" s="131"/>
      <c r="N266" s="131"/>
      <c r="O266" s="131"/>
      <c r="P266" s="131"/>
      <c r="Q266" s="129"/>
      <c r="R266" s="129"/>
      <c r="S266" s="129"/>
      <c r="T266" s="132"/>
      <c r="U266" s="133"/>
      <c r="X266" s="135"/>
      <c r="Z266" s="137"/>
      <c r="AA266" s="137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39"/>
      <c r="AO266" s="75"/>
      <c r="AP266" s="138"/>
      <c r="AQ266" s="61"/>
      <c r="AR266" s="61"/>
      <c r="AT266" s="120"/>
    </row>
    <row r="267" customFormat="false" ht="12.75" hidden="false" customHeight="false" outlineLevel="0" collapsed="false">
      <c r="A267" s="127"/>
      <c r="B267" s="128"/>
      <c r="C267" s="116"/>
      <c r="D267" s="116"/>
      <c r="E267" s="129"/>
      <c r="F267" s="130"/>
      <c r="G267" s="131"/>
      <c r="H267" s="129"/>
      <c r="I267" s="131"/>
      <c r="J267" s="131"/>
      <c r="K267" s="129"/>
      <c r="L267" s="131"/>
      <c r="M267" s="131"/>
      <c r="N267" s="131"/>
      <c r="O267" s="131"/>
      <c r="P267" s="131"/>
      <c r="Q267" s="129"/>
      <c r="R267" s="129"/>
      <c r="S267" s="129"/>
      <c r="T267" s="132"/>
      <c r="U267" s="133"/>
      <c r="X267" s="135"/>
      <c r="Z267" s="137"/>
      <c r="AA267" s="137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39"/>
      <c r="AO267" s="75"/>
      <c r="AP267" s="138"/>
      <c r="AQ267" s="61"/>
      <c r="AR267" s="61"/>
      <c r="AT267" s="120"/>
    </row>
    <row r="268" customFormat="false" ht="12.75" hidden="false" customHeight="false" outlineLevel="0" collapsed="false">
      <c r="A268" s="127"/>
      <c r="B268" s="128"/>
      <c r="C268" s="116"/>
      <c r="D268" s="116"/>
      <c r="E268" s="129"/>
      <c r="F268" s="130"/>
      <c r="G268" s="131"/>
      <c r="H268" s="129"/>
      <c r="I268" s="131"/>
      <c r="J268" s="131"/>
      <c r="K268" s="129"/>
      <c r="L268" s="131"/>
      <c r="M268" s="131"/>
      <c r="N268" s="131"/>
      <c r="O268" s="131"/>
      <c r="P268" s="131"/>
      <c r="Q268" s="129"/>
      <c r="R268" s="129"/>
      <c r="S268" s="129"/>
      <c r="T268" s="132"/>
      <c r="U268" s="133"/>
      <c r="X268" s="135"/>
      <c r="Z268" s="137"/>
      <c r="AA268" s="137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39"/>
      <c r="AO268" s="75"/>
      <c r="AP268" s="138"/>
      <c r="AQ268" s="61"/>
      <c r="AR268" s="61"/>
      <c r="AT268" s="120"/>
    </row>
    <row r="269" customFormat="false" ht="12.75" hidden="false" customHeight="false" outlineLevel="0" collapsed="false">
      <c r="A269" s="127"/>
      <c r="B269" s="128"/>
      <c r="C269" s="116"/>
      <c r="D269" s="116"/>
      <c r="E269" s="129"/>
      <c r="F269" s="130"/>
      <c r="G269" s="131"/>
      <c r="H269" s="129"/>
      <c r="I269" s="131"/>
      <c r="J269" s="131"/>
      <c r="K269" s="129"/>
      <c r="L269" s="131"/>
      <c r="M269" s="131"/>
      <c r="N269" s="131"/>
      <c r="O269" s="131"/>
      <c r="P269" s="131"/>
      <c r="Q269" s="129"/>
      <c r="R269" s="129"/>
      <c r="S269" s="129"/>
      <c r="T269" s="132"/>
      <c r="U269" s="133"/>
      <c r="X269" s="135"/>
      <c r="Z269" s="137"/>
      <c r="AA269" s="137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39"/>
      <c r="AO269" s="75"/>
      <c r="AP269" s="138"/>
      <c r="AQ269" s="61"/>
      <c r="AR269" s="61"/>
      <c r="AT269" s="120"/>
    </row>
    <row r="270" customFormat="false" ht="12.75" hidden="false" customHeight="false" outlineLevel="0" collapsed="false">
      <c r="A270" s="127"/>
      <c r="B270" s="128"/>
      <c r="C270" s="116"/>
      <c r="D270" s="116"/>
      <c r="E270" s="129"/>
      <c r="F270" s="130"/>
      <c r="G270" s="131"/>
      <c r="H270" s="129"/>
      <c r="I270" s="131"/>
      <c r="J270" s="131"/>
      <c r="K270" s="129"/>
      <c r="L270" s="131"/>
      <c r="M270" s="131"/>
      <c r="N270" s="131"/>
      <c r="O270" s="131"/>
      <c r="P270" s="131"/>
      <c r="Q270" s="129"/>
      <c r="R270" s="129"/>
      <c r="S270" s="129"/>
      <c r="T270" s="132"/>
      <c r="U270" s="133"/>
      <c r="X270" s="135"/>
      <c r="Z270" s="137"/>
      <c r="AA270" s="137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39"/>
      <c r="AO270" s="75"/>
      <c r="AP270" s="138"/>
      <c r="AQ270" s="61"/>
      <c r="AR270" s="61"/>
      <c r="AT270" s="120"/>
    </row>
    <row r="271" customFormat="false" ht="12.75" hidden="false" customHeight="false" outlineLevel="0" collapsed="false">
      <c r="A271" s="127"/>
      <c r="B271" s="128"/>
      <c r="C271" s="116"/>
      <c r="D271" s="116"/>
      <c r="E271" s="129"/>
      <c r="F271" s="130"/>
      <c r="G271" s="131"/>
      <c r="H271" s="129"/>
      <c r="I271" s="131"/>
      <c r="J271" s="131"/>
      <c r="K271" s="129"/>
      <c r="L271" s="131"/>
      <c r="M271" s="131"/>
      <c r="N271" s="131"/>
      <c r="O271" s="131"/>
      <c r="P271" s="131"/>
      <c r="Q271" s="129"/>
      <c r="R271" s="129"/>
      <c r="S271" s="129"/>
      <c r="T271" s="132"/>
      <c r="U271" s="133"/>
      <c r="X271" s="135"/>
      <c r="Z271" s="137"/>
      <c r="AA271" s="137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39"/>
      <c r="AO271" s="75"/>
      <c r="AP271" s="138"/>
      <c r="AQ271" s="61"/>
      <c r="AR271" s="61"/>
      <c r="AT271" s="120"/>
    </row>
    <row r="272" customFormat="false" ht="12.75" hidden="false" customHeight="false" outlineLevel="0" collapsed="false">
      <c r="A272" s="127"/>
      <c r="B272" s="128"/>
      <c r="C272" s="116"/>
      <c r="D272" s="116"/>
      <c r="E272" s="129"/>
      <c r="F272" s="130"/>
      <c r="G272" s="131"/>
      <c r="H272" s="129"/>
      <c r="I272" s="131"/>
      <c r="J272" s="131"/>
      <c r="K272" s="129"/>
      <c r="L272" s="131"/>
      <c r="M272" s="131"/>
      <c r="N272" s="131"/>
      <c r="O272" s="131"/>
      <c r="P272" s="131"/>
      <c r="Q272" s="129"/>
      <c r="R272" s="129"/>
      <c r="S272" s="129"/>
      <c r="T272" s="132"/>
      <c r="U272" s="133"/>
      <c r="X272" s="135"/>
      <c r="Z272" s="137"/>
      <c r="AA272" s="137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39"/>
      <c r="AO272" s="75"/>
      <c r="AP272" s="138"/>
      <c r="AQ272" s="61"/>
      <c r="AR272" s="61"/>
      <c r="AT272" s="120"/>
    </row>
    <row r="273" customFormat="false" ht="12.75" hidden="false" customHeight="false" outlineLevel="0" collapsed="false">
      <c r="A273" s="127"/>
      <c r="B273" s="128"/>
      <c r="C273" s="116"/>
      <c r="D273" s="116"/>
      <c r="E273" s="129"/>
      <c r="F273" s="130"/>
      <c r="G273" s="131"/>
      <c r="H273" s="129"/>
      <c r="I273" s="131"/>
      <c r="J273" s="131"/>
      <c r="K273" s="129"/>
      <c r="L273" s="131"/>
      <c r="M273" s="131"/>
      <c r="N273" s="131"/>
      <c r="O273" s="131"/>
      <c r="P273" s="131"/>
      <c r="Q273" s="129"/>
      <c r="R273" s="129"/>
      <c r="S273" s="129"/>
      <c r="T273" s="132"/>
      <c r="U273" s="133"/>
      <c r="X273" s="135"/>
      <c r="Z273" s="137"/>
      <c r="AA273" s="137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39"/>
      <c r="AO273" s="75"/>
      <c r="AP273" s="138"/>
      <c r="AQ273" s="61"/>
      <c r="AR273" s="61"/>
      <c r="AT273" s="120"/>
    </row>
    <row r="274" customFormat="false" ht="12.75" hidden="false" customHeight="false" outlineLevel="0" collapsed="false">
      <c r="A274" s="127"/>
      <c r="B274" s="128"/>
      <c r="C274" s="116"/>
      <c r="D274" s="116"/>
      <c r="E274" s="129"/>
      <c r="F274" s="130"/>
      <c r="G274" s="131"/>
      <c r="H274" s="129"/>
      <c r="I274" s="131"/>
      <c r="J274" s="131"/>
      <c r="K274" s="129"/>
      <c r="L274" s="131"/>
      <c r="M274" s="131"/>
      <c r="N274" s="131"/>
      <c r="O274" s="131"/>
      <c r="P274" s="131"/>
      <c r="Q274" s="129"/>
      <c r="R274" s="129"/>
      <c r="S274" s="129"/>
      <c r="T274" s="132"/>
      <c r="U274" s="133"/>
      <c r="X274" s="135"/>
      <c r="Z274" s="137"/>
      <c r="AA274" s="137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39"/>
      <c r="AO274" s="75"/>
      <c r="AP274" s="138"/>
      <c r="AQ274" s="61"/>
      <c r="AR274" s="61"/>
      <c r="AT274" s="120"/>
    </row>
    <row r="275" customFormat="false" ht="12.75" hidden="false" customHeight="false" outlineLevel="0" collapsed="false">
      <c r="A275" s="127"/>
      <c r="B275" s="128"/>
      <c r="C275" s="116"/>
      <c r="D275" s="116"/>
      <c r="E275" s="129"/>
      <c r="F275" s="130"/>
      <c r="G275" s="131"/>
      <c r="H275" s="129"/>
      <c r="I275" s="131"/>
      <c r="J275" s="131"/>
      <c r="K275" s="129"/>
      <c r="L275" s="131"/>
      <c r="M275" s="131"/>
      <c r="N275" s="131"/>
      <c r="O275" s="131"/>
      <c r="P275" s="131"/>
      <c r="Q275" s="129"/>
      <c r="R275" s="129"/>
      <c r="S275" s="129"/>
      <c r="T275" s="132"/>
      <c r="U275" s="133"/>
      <c r="X275" s="135"/>
      <c r="Z275" s="137"/>
      <c r="AA275" s="137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39"/>
      <c r="AO275" s="75"/>
      <c r="AP275" s="138"/>
      <c r="AQ275" s="61"/>
      <c r="AR275" s="61"/>
      <c r="AT275" s="120"/>
    </row>
    <row r="276" customFormat="false" ht="12.75" hidden="false" customHeight="false" outlineLevel="0" collapsed="false">
      <c r="A276" s="127"/>
      <c r="B276" s="128"/>
      <c r="C276" s="116"/>
      <c r="D276" s="116"/>
      <c r="E276" s="129"/>
      <c r="F276" s="130"/>
      <c r="G276" s="131"/>
      <c r="H276" s="129"/>
      <c r="I276" s="131"/>
      <c r="J276" s="131"/>
      <c r="K276" s="129"/>
      <c r="L276" s="131"/>
      <c r="M276" s="131"/>
      <c r="N276" s="131"/>
      <c r="O276" s="131"/>
      <c r="P276" s="131"/>
      <c r="Q276" s="129"/>
      <c r="R276" s="129"/>
      <c r="S276" s="129"/>
      <c r="T276" s="132"/>
      <c r="U276" s="133"/>
      <c r="X276" s="135"/>
      <c r="Z276" s="137"/>
      <c r="AA276" s="137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39"/>
      <c r="AO276" s="75"/>
      <c r="AP276" s="138"/>
      <c r="AQ276" s="61"/>
      <c r="AR276" s="61"/>
      <c r="AT276" s="120"/>
    </row>
    <row r="277" customFormat="false" ht="12.75" hidden="false" customHeight="false" outlineLevel="0" collapsed="false">
      <c r="A277" s="127"/>
      <c r="B277" s="128"/>
      <c r="C277" s="116"/>
      <c r="D277" s="116"/>
      <c r="E277" s="129"/>
      <c r="F277" s="130"/>
      <c r="G277" s="131"/>
      <c r="H277" s="129"/>
      <c r="I277" s="131"/>
      <c r="J277" s="131"/>
      <c r="K277" s="129"/>
      <c r="L277" s="131"/>
      <c r="M277" s="131"/>
      <c r="N277" s="131"/>
      <c r="O277" s="131"/>
      <c r="P277" s="131"/>
      <c r="Q277" s="129"/>
      <c r="R277" s="129"/>
      <c r="S277" s="129"/>
      <c r="T277" s="132"/>
      <c r="U277" s="133"/>
      <c r="X277" s="135"/>
      <c r="Z277" s="137"/>
      <c r="AA277" s="137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39"/>
      <c r="AO277" s="75"/>
      <c r="AP277" s="138"/>
      <c r="AQ277" s="61"/>
      <c r="AR277" s="61"/>
      <c r="AT277" s="120"/>
    </row>
    <row r="278" customFormat="false" ht="12.75" hidden="false" customHeight="false" outlineLevel="0" collapsed="false">
      <c r="A278" s="127"/>
      <c r="B278" s="128"/>
      <c r="C278" s="116"/>
      <c r="D278" s="116"/>
      <c r="E278" s="129"/>
      <c r="F278" s="130"/>
      <c r="G278" s="131"/>
      <c r="H278" s="129"/>
      <c r="I278" s="131"/>
      <c r="J278" s="131"/>
      <c r="K278" s="129"/>
      <c r="L278" s="131"/>
      <c r="M278" s="131"/>
      <c r="N278" s="131"/>
      <c r="O278" s="131"/>
      <c r="P278" s="131"/>
      <c r="Q278" s="129"/>
      <c r="R278" s="129"/>
      <c r="S278" s="129"/>
      <c r="T278" s="132"/>
      <c r="U278" s="133"/>
      <c r="X278" s="135"/>
      <c r="Z278" s="137"/>
      <c r="AA278" s="137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39"/>
      <c r="AO278" s="75"/>
      <c r="AP278" s="138"/>
      <c r="AQ278" s="61"/>
      <c r="AR278" s="61"/>
      <c r="AT278" s="120"/>
    </row>
    <row r="279" customFormat="false" ht="12.75" hidden="false" customHeight="false" outlineLevel="0" collapsed="false">
      <c r="A279" s="127"/>
      <c r="B279" s="128"/>
      <c r="C279" s="116"/>
      <c r="D279" s="116"/>
      <c r="E279" s="129"/>
      <c r="F279" s="130"/>
      <c r="G279" s="131"/>
      <c r="H279" s="129"/>
      <c r="I279" s="131"/>
      <c r="J279" s="131"/>
      <c r="K279" s="129"/>
      <c r="L279" s="131"/>
      <c r="M279" s="131"/>
      <c r="N279" s="131"/>
      <c r="O279" s="131"/>
      <c r="P279" s="131"/>
      <c r="Q279" s="129"/>
      <c r="R279" s="129"/>
      <c r="S279" s="129"/>
      <c r="T279" s="132"/>
      <c r="U279" s="133"/>
      <c r="X279" s="135"/>
      <c r="Z279" s="137"/>
      <c r="AA279" s="137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39"/>
      <c r="AO279" s="75"/>
      <c r="AP279" s="138"/>
      <c r="AQ279" s="61"/>
      <c r="AR279" s="61"/>
      <c r="AT279" s="120"/>
    </row>
    <row r="280" customFormat="false" ht="12.75" hidden="false" customHeight="false" outlineLevel="0" collapsed="false">
      <c r="A280" s="127"/>
      <c r="B280" s="128"/>
      <c r="C280" s="116"/>
      <c r="D280" s="116"/>
      <c r="E280" s="129"/>
      <c r="F280" s="130"/>
      <c r="G280" s="131"/>
      <c r="H280" s="129"/>
      <c r="I280" s="131"/>
      <c r="J280" s="131"/>
      <c r="K280" s="129"/>
      <c r="L280" s="131"/>
      <c r="M280" s="131"/>
      <c r="N280" s="131"/>
      <c r="O280" s="131"/>
      <c r="P280" s="131"/>
      <c r="Q280" s="129"/>
      <c r="R280" s="129"/>
      <c r="S280" s="129"/>
      <c r="T280" s="132"/>
      <c r="U280" s="133"/>
      <c r="X280" s="135"/>
      <c r="Z280" s="137"/>
      <c r="AA280" s="137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39"/>
      <c r="AO280" s="75"/>
      <c r="AP280" s="138"/>
      <c r="AQ280" s="61"/>
      <c r="AR280" s="61"/>
      <c r="AT280" s="120"/>
    </row>
    <row r="281" customFormat="false" ht="12.75" hidden="false" customHeight="false" outlineLevel="0" collapsed="false">
      <c r="A281" s="127"/>
      <c r="B281" s="128"/>
      <c r="C281" s="116"/>
      <c r="D281" s="116"/>
      <c r="E281" s="129"/>
      <c r="F281" s="130"/>
      <c r="G281" s="131"/>
      <c r="H281" s="129"/>
      <c r="I281" s="131"/>
      <c r="J281" s="131"/>
      <c r="K281" s="129"/>
      <c r="L281" s="131"/>
      <c r="M281" s="131"/>
      <c r="N281" s="131"/>
      <c r="O281" s="131"/>
      <c r="P281" s="131"/>
      <c r="Q281" s="129"/>
      <c r="R281" s="129"/>
      <c r="S281" s="129"/>
      <c r="T281" s="132"/>
      <c r="U281" s="133"/>
      <c r="X281" s="135"/>
      <c r="Z281" s="137"/>
      <c r="AA281" s="137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39"/>
      <c r="AO281" s="75"/>
      <c r="AP281" s="138"/>
      <c r="AQ281" s="61"/>
      <c r="AR281" s="61"/>
      <c r="AT281" s="120"/>
    </row>
    <row r="282" customFormat="false" ht="12.75" hidden="false" customHeight="false" outlineLevel="0" collapsed="false">
      <c r="A282" s="127"/>
      <c r="B282" s="128"/>
      <c r="C282" s="116"/>
      <c r="D282" s="116"/>
      <c r="E282" s="129"/>
      <c r="F282" s="130"/>
      <c r="G282" s="131"/>
      <c r="H282" s="129"/>
      <c r="I282" s="131"/>
      <c r="J282" s="131"/>
      <c r="K282" s="129"/>
      <c r="L282" s="131"/>
      <c r="M282" s="131"/>
      <c r="N282" s="131"/>
      <c r="O282" s="131"/>
      <c r="P282" s="131"/>
      <c r="Q282" s="129"/>
      <c r="R282" s="129"/>
      <c r="S282" s="129"/>
      <c r="T282" s="132"/>
      <c r="U282" s="133"/>
      <c r="X282" s="135"/>
      <c r="Z282" s="137"/>
      <c r="AA282" s="137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39"/>
      <c r="AO282" s="75"/>
      <c r="AP282" s="138"/>
      <c r="AQ282" s="61"/>
      <c r="AR282" s="61"/>
      <c r="AT282" s="120"/>
    </row>
    <row r="283" customFormat="false" ht="12.75" hidden="false" customHeight="false" outlineLevel="0" collapsed="false">
      <c r="A283" s="127"/>
      <c r="B283" s="128"/>
      <c r="C283" s="116"/>
      <c r="D283" s="116"/>
      <c r="E283" s="129"/>
      <c r="F283" s="130"/>
      <c r="G283" s="131"/>
      <c r="H283" s="129"/>
      <c r="I283" s="131"/>
      <c r="J283" s="131"/>
      <c r="K283" s="129"/>
      <c r="L283" s="131"/>
      <c r="M283" s="131"/>
      <c r="N283" s="131"/>
      <c r="O283" s="131"/>
      <c r="P283" s="131"/>
      <c r="Q283" s="129"/>
      <c r="R283" s="129"/>
      <c r="S283" s="129"/>
      <c r="T283" s="132"/>
      <c r="U283" s="133"/>
      <c r="X283" s="135"/>
      <c r="Z283" s="137"/>
      <c r="AA283" s="137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39"/>
      <c r="AO283" s="75"/>
      <c r="AP283" s="138"/>
      <c r="AQ283" s="61"/>
      <c r="AR283" s="61"/>
      <c r="AT283" s="120"/>
    </row>
    <row r="284" customFormat="false" ht="12.75" hidden="false" customHeight="false" outlineLevel="0" collapsed="false">
      <c r="A284" s="127"/>
      <c r="B284" s="128"/>
      <c r="C284" s="116"/>
      <c r="D284" s="116"/>
      <c r="E284" s="129"/>
      <c r="F284" s="130"/>
      <c r="G284" s="131"/>
      <c r="H284" s="129"/>
      <c r="I284" s="131"/>
      <c r="J284" s="131"/>
      <c r="K284" s="129"/>
      <c r="L284" s="131"/>
      <c r="M284" s="131"/>
      <c r="N284" s="131"/>
      <c r="O284" s="131"/>
      <c r="P284" s="131"/>
      <c r="Q284" s="129"/>
      <c r="R284" s="129"/>
      <c r="S284" s="129"/>
      <c r="T284" s="132"/>
      <c r="U284" s="133"/>
      <c r="X284" s="135"/>
      <c r="Z284" s="137"/>
      <c r="AA284" s="137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39"/>
      <c r="AO284" s="75"/>
      <c r="AP284" s="138"/>
      <c r="AQ284" s="61"/>
      <c r="AR284" s="61"/>
      <c r="AT284" s="120"/>
    </row>
    <row r="285" customFormat="false" ht="12.75" hidden="false" customHeight="false" outlineLevel="0" collapsed="false">
      <c r="A285" s="127"/>
      <c r="B285" s="128"/>
      <c r="C285" s="116"/>
      <c r="D285" s="116"/>
      <c r="E285" s="129"/>
      <c r="F285" s="130"/>
      <c r="G285" s="131"/>
      <c r="H285" s="129"/>
      <c r="I285" s="131"/>
      <c r="J285" s="131"/>
      <c r="K285" s="129"/>
      <c r="L285" s="131"/>
      <c r="M285" s="131"/>
      <c r="N285" s="131"/>
      <c r="O285" s="131"/>
      <c r="P285" s="131"/>
      <c r="Q285" s="129"/>
      <c r="R285" s="129"/>
      <c r="S285" s="129"/>
      <c r="T285" s="132"/>
      <c r="U285" s="133"/>
      <c r="X285" s="135"/>
      <c r="Z285" s="137"/>
      <c r="AA285" s="137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39"/>
      <c r="AO285" s="75"/>
      <c r="AP285" s="138"/>
      <c r="AQ285" s="61"/>
      <c r="AR285" s="61"/>
      <c r="AT285" s="120"/>
    </row>
    <row r="286" customFormat="false" ht="12.75" hidden="false" customHeight="false" outlineLevel="0" collapsed="false">
      <c r="A286" s="127"/>
      <c r="B286" s="128"/>
      <c r="C286" s="116"/>
      <c r="D286" s="116"/>
      <c r="E286" s="129"/>
      <c r="F286" s="130"/>
      <c r="G286" s="131"/>
      <c r="H286" s="129"/>
      <c r="I286" s="131"/>
      <c r="J286" s="131"/>
      <c r="K286" s="129"/>
      <c r="L286" s="131"/>
      <c r="M286" s="131"/>
      <c r="N286" s="131"/>
      <c r="O286" s="131"/>
      <c r="P286" s="131"/>
      <c r="Q286" s="129"/>
      <c r="R286" s="129"/>
      <c r="S286" s="129"/>
      <c r="T286" s="132"/>
      <c r="U286" s="133"/>
      <c r="X286" s="135"/>
      <c r="Z286" s="137"/>
      <c r="AA286" s="137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39"/>
      <c r="AO286" s="75"/>
      <c r="AP286" s="138"/>
      <c r="AQ286" s="61"/>
      <c r="AR286" s="61"/>
      <c r="AT286" s="120"/>
    </row>
    <row r="287" customFormat="false" ht="12.75" hidden="false" customHeight="false" outlineLevel="0" collapsed="false">
      <c r="A287" s="127"/>
      <c r="B287" s="128"/>
      <c r="C287" s="116"/>
      <c r="D287" s="116"/>
      <c r="E287" s="129"/>
      <c r="F287" s="130"/>
      <c r="G287" s="131"/>
      <c r="H287" s="129"/>
      <c r="I287" s="131"/>
      <c r="J287" s="131"/>
      <c r="K287" s="129"/>
      <c r="L287" s="131"/>
      <c r="M287" s="131"/>
      <c r="N287" s="131"/>
      <c r="O287" s="131"/>
      <c r="P287" s="131"/>
      <c r="Q287" s="129"/>
      <c r="R287" s="129"/>
      <c r="S287" s="129"/>
      <c r="T287" s="132"/>
      <c r="U287" s="133"/>
      <c r="X287" s="135"/>
      <c r="Z287" s="137"/>
      <c r="AA287" s="137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39"/>
      <c r="AO287" s="75"/>
      <c r="AP287" s="138"/>
      <c r="AQ287" s="61"/>
      <c r="AR287" s="61"/>
      <c r="AT287" s="120"/>
    </row>
    <row r="288" customFormat="false" ht="12.75" hidden="false" customHeight="false" outlineLevel="0" collapsed="false">
      <c r="A288" s="127"/>
      <c r="B288" s="128"/>
      <c r="C288" s="116"/>
      <c r="D288" s="116"/>
      <c r="E288" s="129"/>
      <c r="F288" s="130"/>
      <c r="G288" s="131"/>
      <c r="H288" s="129"/>
      <c r="I288" s="131"/>
      <c r="J288" s="131"/>
      <c r="K288" s="129"/>
      <c r="L288" s="131"/>
      <c r="M288" s="131"/>
      <c r="N288" s="131"/>
      <c r="O288" s="131"/>
      <c r="P288" s="131"/>
      <c r="Q288" s="129"/>
      <c r="R288" s="129"/>
      <c r="S288" s="129"/>
      <c r="T288" s="132"/>
      <c r="U288" s="133"/>
      <c r="X288" s="135"/>
      <c r="Z288" s="137"/>
      <c r="AA288" s="137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39"/>
      <c r="AO288" s="75"/>
      <c r="AP288" s="138"/>
      <c r="AQ288" s="61"/>
      <c r="AR288" s="61"/>
      <c r="AT288" s="120"/>
    </row>
    <row r="289" customFormat="false" ht="12.75" hidden="false" customHeight="false" outlineLevel="0" collapsed="false">
      <c r="A289" s="127"/>
      <c r="B289" s="128"/>
      <c r="C289" s="116"/>
      <c r="D289" s="116"/>
      <c r="E289" s="129"/>
      <c r="F289" s="130"/>
      <c r="G289" s="131"/>
      <c r="H289" s="129"/>
      <c r="I289" s="131"/>
      <c r="J289" s="131"/>
      <c r="K289" s="129"/>
      <c r="L289" s="131"/>
      <c r="M289" s="131"/>
      <c r="N289" s="131"/>
      <c r="O289" s="131"/>
      <c r="P289" s="131"/>
      <c r="Q289" s="129"/>
      <c r="R289" s="129"/>
      <c r="S289" s="129"/>
      <c r="T289" s="132"/>
      <c r="U289" s="133"/>
      <c r="X289" s="135"/>
      <c r="Z289" s="137"/>
      <c r="AA289" s="137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39"/>
      <c r="AO289" s="75"/>
      <c r="AP289" s="138"/>
      <c r="AQ289" s="61"/>
      <c r="AR289" s="61"/>
      <c r="AT289" s="120"/>
    </row>
    <row r="290" customFormat="false" ht="12.75" hidden="false" customHeight="false" outlineLevel="0" collapsed="false">
      <c r="A290" s="127"/>
      <c r="B290" s="128"/>
      <c r="C290" s="116"/>
      <c r="D290" s="116"/>
      <c r="E290" s="129"/>
      <c r="F290" s="130"/>
      <c r="G290" s="131"/>
      <c r="H290" s="129"/>
      <c r="I290" s="131"/>
      <c r="J290" s="131"/>
      <c r="K290" s="129"/>
      <c r="L290" s="131"/>
      <c r="M290" s="131"/>
      <c r="N290" s="131"/>
      <c r="O290" s="131"/>
      <c r="P290" s="131"/>
      <c r="Q290" s="129"/>
      <c r="R290" s="129"/>
      <c r="S290" s="129"/>
      <c r="T290" s="132"/>
      <c r="U290" s="133"/>
      <c r="X290" s="135"/>
      <c r="Z290" s="137"/>
      <c r="AA290" s="137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39"/>
      <c r="AO290" s="75"/>
      <c r="AP290" s="138"/>
      <c r="AQ290" s="61"/>
      <c r="AR290" s="61"/>
      <c r="AT290" s="120"/>
    </row>
    <row r="291" customFormat="false" ht="12.75" hidden="false" customHeight="false" outlineLevel="0" collapsed="false">
      <c r="A291" s="127"/>
      <c r="B291" s="128"/>
      <c r="C291" s="116"/>
      <c r="D291" s="116"/>
      <c r="E291" s="129"/>
      <c r="F291" s="130"/>
      <c r="G291" s="131"/>
      <c r="H291" s="129"/>
      <c r="I291" s="131"/>
      <c r="J291" s="131"/>
      <c r="K291" s="129"/>
      <c r="L291" s="131"/>
      <c r="M291" s="131"/>
      <c r="N291" s="131"/>
      <c r="O291" s="131"/>
      <c r="P291" s="131"/>
      <c r="Q291" s="129"/>
      <c r="R291" s="129"/>
      <c r="S291" s="129"/>
      <c r="T291" s="132"/>
      <c r="U291" s="133"/>
      <c r="X291" s="135"/>
      <c r="Z291" s="137"/>
      <c r="AA291" s="137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39"/>
      <c r="AO291" s="75"/>
      <c r="AP291" s="138"/>
      <c r="AQ291" s="61"/>
      <c r="AR291" s="61"/>
      <c r="AT291" s="120"/>
    </row>
    <row r="292" customFormat="false" ht="12.75" hidden="false" customHeight="false" outlineLevel="0" collapsed="false">
      <c r="A292" s="127"/>
      <c r="B292" s="128"/>
      <c r="C292" s="116"/>
      <c r="D292" s="116"/>
      <c r="E292" s="129"/>
      <c r="F292" s="130"/>
      <c r="G292" s="131"/>
      <c r="H292" s="129"/>
      <c r="I292" s="131"/>
      <c r="J292" s="131"/>
      <c r="K292" s="129"/>
      <c r="L292" s="131"/>
      <c r="M292" s="131"/>
      <c r="N292" s="131"/>
      <c r="O292" s="131"/>
      <c r="P292" s="131"/>
      <c r="Q292" s="129"/>
      <c r="R292" s="129"/>
      <c r="S292" s="129"/>
      <c r="T292" s="132"/>
      <c r="U292" s="133"/>
      <c r="X292" s="135"/>
      <c r="Z292" s="137"/>
      <c r="AA292" s="137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39"/>
      <c r="AO292" s="75"/>
      <c r="AP292" s="138"/>
      <c r="AQ292" s="61"/>
      <c r="AR292" s="61"/>
      <c r="AT292" s="120"/>
    </row>
    <row r="293" customFormat="false" ht="12.75" hidden="false" customHeight="false" outlineLevel="0" collapsed="false">
      <c r="A293" s="127"/>
      <c r="B293" s="128"/>
      <c r="C293" s="116"/>
      <c r="D293" s="116"/>
      <c r="E293" s="129"/>
      <c r="F293" s="130"/>
      <c r="G293" s="131"/>
      <c r="H293" s="129"/>
      <c r="I293" s="131"/>
      <c r="J293" s="131"/>
      <c r="K293" s="129"/>
      <c r="L293" s="131"/>
      <c r="M293" s="131"/>
      <c r="N293" s="131"/>
      <c r="O293" s="131"/>
      <c r="P293" s="131"/>
      <c r="Q293" s="129"/>
      <c r="R293" s="129"/>
      <c r="S293" s="129"/>
      <c r="T293" s="132"/>
      <c r="U293" s="133"/>
      <c r="X293" s="135"/>
      <c r="Z293" s="137"/>
      <c r="AA293" s="137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39"/>
      <c r="AO293" s="75"/>
      <c r="AP293" s="138"/>
      <c r="AQ293" s="61"/>
      <c r="AR293" s="61"/>
      <c r="AT293" s="120"/>
    </row>
    <row r="294" customFormat="false" ht="12.75" hidden="false" customHeight="false" outlineLevel="0" collapsed="false">
      <c r="A294" s="127"/>
      <c r="B294" s="128"/>
      <c r="C294" s="116"/>
      <c r="D294" s="116"/>
      <c r="E294" s="129"/>
      <c r="F294" s="130"/>
      <c r="G294" s="131"/>
      <c r="H294" s="129"/>
      <c r="I294" s="131"/>
      <c r="J294" s="131"/>
      <c r="K294" s="129"/>
      <c r="L294" s="131"/>
      <c r="M294" s="131"/>
      <c r="N294" s="131"/>
      <c r="O294" s="131"/>
      <c r="P294" s="131"/>
      <c r="Q294" s="129"/>
      <c r="R294" s="129"/>
      <c r="S294" s="129"/>
      <c r="T294" s="132"/>
      <c r="U294" s="133"/>
      <c r="X294" s="135"/>
      <c r="Z294" s="137"/>
      <c r="AA294" s="137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39"/>
      <c r="AO294" s="75"/>
      <c r="AP294" s="138"/>
      <c r="AQ294" s="61"/>
      <c r="AR294" s="61"/>
      <c r="AT294" s="120"/>
    </row>
    <row r="295" customFormat="false" ht="12.75" hidden="false" customHeight="false" outlineLevel="0" collapsed="false">
      <c r="A295" s="127"/>
      <c r="B295" s="128"/>
      <c r="C295" s="116"/>
      <c r="D295" s="116"/>
      <c r="E295" s="129"/>
      <c r="F295" s="130"/>
      <c r="G295" s="131"/>
      <c r="H295" s="129"/>
      <c r="I295" s="131"/>
      <c r="J295" s="131"/>
      <c r="K295" s="129"/>
      <c r="L295" s="131"/>
      <c r="M295" s="131"/>
      <c r="N295" s="131"/>
      <c r="O295" s="131"/>
      <c r="P295" s="131"/>
      <c r="Q295" s="129"/>
      <c r="R295" s="129"/>
      <c r="S295" s="129"/>
      <c r="T295" s="132"/>
      <c r="U295" s="133"/>
      <c r="X295" s="135"/>
      <c r="Z295" s="137"/>
      <c r="AA295" s="137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39"/>
      <c r="AO295" s="75"/>
      <c r="AP295" s="138"/>
      <c r="AQ295" s="61"/>
      <c r="AR295" s="61"/>
      <c r="AT295" s="120"/>
    </row>
    <row r="296" customFormat="false" ht="12.75" hidden="false" customHeight="false" outlineLevel="0" collapsed="false">
      <c r="A296" s="127"/>
      <c r="B296" s="128"/>
      <c r="C296" s="116"/>
      <c r="D296" s="116"/>
      <c r="E296" s="129"/>
      <c r="F296" s="130"/>
      <c r="G296" s="131"/>
      <c r="H296" s="129"/>
      <c r="I296" s="131"/>
      <c r="J296" s="131"/>
      <c r="K296" s="129"/>
      <c r="L296" s="131"/>
      <c r="M296" s="131"/>
      <c r="N296" s="131"/>
      <c r="O296" s="131"/>
      <c r="P296" s="131"/>
      <c r="Q296" s="129"/>
      <c r="R296" s="129"/>
      <c r="S296" s="129"/>
      <c r="T296" s="132"/>
      <c r="U296" s="133"/>
      <c r="X296" s="135"/>
      <c r="Z296" s="137"/>
      <c r="AA296" s="137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39"/>
      <c r="AO296" s="75"/>
      <c r="AP296" s="138"/>
      <c r="AQ296" s="61"/>
      <c r="AR296" s="61"/>
      <c r="AT296" s="120"/>
    </row>
    <row r="297" customFormat="false" ht="12.75" hidden="false" customHeight="false" outlineLevel="0" collapsed="false">
      <c r="A297" s="127"/>
      <c r="B297" s="128"/>
      <c r="C297" s="116"/>
      <c r="D297" s="116"/>
      <c r="E297" s="129"/>
      <c r="F297" s="130"/>
      <c r="G297" s="131"/>
      <c r="H297" s="129"/>
      <c r="I297" s="131"/>
      <c r="J297" s="131"/>
      <c r="K297" s="129"/>
      <c r="L297" s="131"/>
      <c r="M297" s="131"/>
      <c r="N297" s="131"/>
      <c r="O297" s="131"/>
      <c r="P297" s="131"/>
      <c r="Q297" s="129"/>
      <c r="R297" s="129"/>
      <c r="S297" s="129"/>
      <c r="T297" s="132"/>
      <c r="U297" s="133"/>
      <c r="X297" s="135"/>
      <c r="Z297" s="137"/>
      <c r="AA297" s="137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39"/>
      <c r="AO297" s="75"/>
      <c r="AP297" s="138"/>
      <c r="AQ297" s="61"/>
      <c r="AR297" s="61"/>
      <c r="AT297" s="120"/>
    </row>
    <row r="298" customFormat="false" ht="12.75" hidden="false" customHeight="false" outlineLevel="0" collapsed="false">
      <c r="A298" s="127"/>
      <c r="B298" s="128"/>
      <c r="C298" s="116"/>
      <c r="D298" s="116"/>
      <c r="E298" s="129"/>
      <c r="F298" s="130"/>
      <c r="G298" s="131"/>
      <c r="H298" s="129"/>
      <c r="I298" s="131"/>
      <c r="J298" s="131"/>
      <c r="K298" s="129"/>
      <c r="L298" s="131"/>
      <c r="M298" s="131"/>
      <c r="N298" s="131"/>
      <c r="O298" s="131"/>
      <c r="P298" s="131"/>
      <c r="Q298" s="129"/>
      <c r="R298" s="129"/>
      <c r="S298" s="129"/>
      <c r="T298" s="132"/>
      <c r="U298" s="133"/>
      <c r="X298" s="135"/>
      <c r="Z298" s="137"/>
      <c r="AA298" s="137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39"/>
      <c r="AO298" s="75"/>
      <c r="AP298" s="138"/>
      <c r="AQ298" s="61"/>
      <c r="AR298" s="61"/>
      <c r="AT298" s="120"/>
    </row>
    <row r="299" customFormat="false" ht="12.75" hidden="false" customHeight="false" outlineLevel="0" collapsed="false">
      <c r="A299" s="127"/>
      <c r="B299" s="128"/>
      <c r="C299" s="116"/>
      <c r="D299" s="116"/>
      <c r="E299" s="129"/>
      <c r="F299" s="130"/>
      <c r="G299" s="131"/>
      <c r="H299" s="129"/>
      <c r="I299" s="131"/>
      <c r="J299" s="131"/>
      <c r="K299" s="129"/>
      <c r="L299" s="131"/>
      <c r="M299" s="131"/>
      <c r="N299" s="131"/>
      <c r="O299" s="131"/>
      <c r="P299" s="131"/>
      <c r="Q299" s="129"/>
      <c r="R299" s="129"/>
      <c r="S299" s="129"/>
      <c r="T299" s="132"/>
      <c r="U299" s="133"/>
      <c r="X299" s="135"/>
      <c r="Z299" s="137"/>
      <c r="AA299" s="137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39"/>
      <c r="AO299" s="75"/>
      <c r="AP299" s="138"/>
      <c r="AQ299" s="61"/>
      <c r="AR299" s="61"/>
      <c r="AT299" s="120"/>
    </row>
    <row r="300" customFormat="false" ht="12.75" hidden="false" customHeight="false" outlineLevel="0" collapsed="false">
      <c r="A300" s="127"/>
      <c r="B300" s="128"/>
      <c r="C300" s="116"/>
      <c r="D300" s="116"/>
      <c r="E300" s="129"/>
      <c r="F300" s="130"/>
      <c r="G300" s="131"/>
      <c r="H300" s="129"/>
      <c r="I300" s="131"/>
      <c r="J300" s="131"/>
      <c r="K300" s="129"/>
      <c r="L300" s="131"/>
      <c r="M300" s="131"/>
      <c r="N300" s="131"/>
      <c r="O300" s="131"/>
      <c r="P300" s="131"/>
      <c r="Q300" s="129"/>
      <c r="R300" s="129"/>
      <c r="S300" s="129"/>
      <c r="T300" s="132"/>
      <c r="U300" s="133"/>
      <c r="X300" s="135"/>
      <c r="Z300" s="137"/>
      <c r="AA300" s="137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39"/>
      <c r="AO300" s="75"/>
      <c r="AP300" s="138"/>
      <c r="AQ300" s="61"/>
      <c r="AR300" s="61"/>
      <c r="AT300" s="120"/>
    </row>
    <row r="301" customFormat="false" ht="12.75" hidden="false" customHeight="false" outlineLevel="0" collapsed="false">
      <c r="A301" s="127"/>
      <c r="B301" s="128"/>
      <c r="C301" s="116"/>
      <c r="D301" s="116"/>
      <c r="E301" s="129"/>
      <c r="F301" s="130"/>
      <c r="G301" s="131"/>
      <c r="H301" s="129"/>
      <c r="I301" s="131"/>
      <c r="J301" s="131"/>
      <c r="K301" s="129"/>
      <c r="L301" s="131"/>
      <c r="M301" s="131"/>
      <c r="N301" s="131"/>
      <c r="O301" s="131"/>
      <c r="P301" s="131"/>
      <c r="Q301" s="129"/>
      <c r="R301" s="129"/>
      <c r="S301" s="129"/>
      <c r="T301" s="132"/>
      <c r="U301" s="133"/>
      <c r="X301" s="135"/>
      <c r="Z301" s="137"/>
      <c r="AA301" s="137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39"/>
      <c r="AO301" s="75"/>
      <c r="AP301" s="138"/>
      <c r="AQ301" s="61"/>
      <c r="AR301" s="61"/>
      <c r="AT301" s="120"/>
    </row>
    <row r="302" customFormat="false" ht="12.75" hidden="false" customHeight="false" outlineLevel="0" collapsed="false">
      <c r="A302" s="127"/>
      <c r="B302" s="128"/>
      <c r="C302" s="116"/>
      <c r="D302" s="116"/>
      <c r="E302" s="129"/>
      <c r="F302" s="130"/>
      <c r="G302" s="131"/>
      <c r="H302" s="129"/>
      <c r="I302" s="131"/>
      <c r="J302" s="131"/>
      <c r="K302" s="129"/>
      <c r="L302" s="131"/>
      <c r="M302" s="131"/>
      <c r="N302" s="131"/>
      <c r="O302" s="131"/>
      <c r="P302" s="131"/>
      <c r="Q302" s="129"/>
      <c r="R302" s="129"/>
      <c r="S302" s="129"/>
      <c r="T302" s="132"/>
      <c r="U302" s="133"/>
      <c r="X302" s="135"/>
      <c r="Z302" s="137"/>
      <c r="AA302" s="137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39"/>
      <c r="AO302" s="75"/>
      <c r="AP302" s="138"/>
      <c r="AQ302" s="61"/>
      <c r="AR302" s="61"/>
      <c r="AT302" s="120"/>
    </row>
    <row r="303" customFormat="false" ht="12.75" hidden="false" customHeight="false" outlineLevel="0" collapsed="false">
      <c r="A303" s="127"/>
      <c r="B303" s="128"/>
      <c r="C303" s="116"/>
      <c r="D303" s="116"/>
      <c r="E303" s="129"/>
      <c r="F303" s="130"/>
      <c r="G303" s="131"/>
      <c r="H303" s="129"/>
      <c r="I303" s="131"/>
      <c r="J303" s="131"/>
      <c r="K303" s="129"/>
      <c r="L303" s="131"/>
      <c r="M303" s="131"/>
      <c r="N303" s="131"/>
      <c r="O303" s="131"/>
      <c r="P303" s="131"/>
      <c r="Q303" s="129"/>
      <c r="R303" s="129"/>
      <c r="S303" s="129"/>
      <c r="T303" s="132"/>
      <c r="U303" s="133"/>
      <c r="X303" s="135"/>
      <c r="Z303" s="137"/>
      <c r="AA303" s="137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39"/>
      <c r="AO303" s="75"/>
      <c r="AP303" s="138"/>
      <c r="AQ303" s="61"/>
      <c r="AR303" s="61"/>
      <c r="AT303" s="120"/>
    </row>
    <row r="304" customFormat="false" ht="12.75" hidden="false" customHeight="false" outlineLevel="0" collapsed="false">
      <c r="A304" s="127"/>
      <c r="B304" s="128"/>
      <c r="C304" s="116"/>
      <c r="D304" s="116"/>
      <c r="E304" s="129"/>
      <c r="F304" s="130"/>
      <c r="G304" s="131"/>
      <c r="H304" s="129"/>
      <c r="I304" s="131"/>
      <c r="J304" s="131"/>
      <c r="K304" s="129"/>
      <c r="L304" s="131"/>
      <c r="M304" s="131"/>
      <c r="N304" s="131"/>
      <c r="O304" s="131"/>
      <c r="P304" s="131"/>
      <c r="Q304" s="129"/>
      <c r="R304" s="129"/>
      <c r="S304" s="129"/>
      <c r="T304" s="132"/>
      <c r="U304" s="133"/>
      <c r="X304" s="135"/>
      <c r="Z304" s="137"/>
      <c r="AA304" s="137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39"/>
      <c r="AO304" s="75"/>
      <c r="AP304" s="138"/>
      <c r="AQ304" s="61"/>
      <c r="AR304" s="61"/>
      <c r="AT304" s="120"/>
    </row>
    <row r="305" customFormat="false" ht="12.75" hidden="false" customHeight="false" outlineLevel="0" collapsed="false">
      <c r="A305" s="127"/>
      <c r="B305" s="128"/>
      <c r="C305" s="116"/>
      <c r="D305" s="116"/>
      <c r="E305" s="129"/>
      <c r="F305" s="130"/>
      <c r="G305" s="131"/>
      <c r="H305" s="129"/>
      <c r="I305" s="131"/>
      <c r="J305" s="131"/>
      <c r="K305" s="129"/>
      <c r="L305" s="131"/>
      <c r="M305" s="131"/>
      <c r="N305" s="131"/>
      <c r="O305" s="131"/>
      <c r="P305" s="131"/>
      <c r="Q305" s="129"/>
      <c r="R305" s="129"/>
      <c r="S305" s="129"/>
      <c r="T305" s="132"/>
      <c r="U305" s="133"/>
      <c r="X305" s="135"/>
      <c r="Z305" s="137"/>
      <c r="AA305" s="137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39"/>
      <c r="AO305" s="75"/>
      <c r="AP305" s="138"/>
      <c r="AQ305" s="61"/>
      <c r="AR305" s="61"/>
      <c r="AT305" s="120"/>
    </row>
    <row r="306" customFormat="false" ht="12.75" hidden="false" customHeight="false" outlineLevel="0" collapsed="false">
      <c r="A306" s="127"/>
      <c r="B306" s="128"/>
      <c r="C306" s="116"/>
      <c r="D306" s="116"/>
      <c r="E306" s="129"/>
      <c r="F306" s="130"/>
      <c r="G306" s="131"/>
      <c r="H306" s="129"/>
      <c r="I306" s="131"/>
      <c r="J306" s="131"/>
      <c r="K306" s="129"/>
      <c r="L306" s="131"/>
      <c r="M306" s="131"/>
      <c r="N306" s="131"/>
      <c r="O306" s="131"/>
      <c r="P306" s="131"/>
      <c r="Q306" s="129"/>
      <c r="R306" s="129"/>
      <c r="S306" s="129"/>
      <c r="T306" s="132"/>
      <c r="U306" s="133"/>
      <c r="X306" s="135"/>
      <c r="Z306" s="137"/>
      <c r="AA306" s="137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39"/>
      <c r="AO306" s="75"/>
      <c r="AP306" s="138"/>
      <c r="AQ306" s="61"/>
      <c r="AR306" s="61"/>
      <c r="AT306" s="120"/>
    </row>
    <row r="307" customFormat="false" ht="12.75" hidden="false" customHeight="false" outlineLevel="0" collapsed="false">
      <c r="A307" s="127"/>
      <c r="B307" s="128"/>
      <c r="C307" s="116"/>
      <c r="D307" s="116"/>
      <c r="E307" s="129"/>
      <c r="F307" s="130"/>
      <c r="G307" s="131"/>
      <c r="H307" s="129"/>
      <c r="I307" s="131"/>
      <c r="J307" s="131"/>
      <c r="K307" s="129"/>
      <c r="L307" s="131"/>
      <c r="M307" s="131"/>
      <c r="N307" s="131"/>
      <c r="O307" s="131"/>
      <c r="P307" s="131"/>
      <c r="Q307" s="129"/>
      <c r="R307" s="129"/>
      <c r="S307" s="129"/>
      <c r="T307" s="132"/>
      <c r="U307" s="133"/>
      <c r="X307" s="135"/>
      <c r="Z307" s="137"/>
      <c r="AA307" s="137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39"/>
      <c r="AO307" s="75"/>
      <c r="AP307" s="138"/>
      <c r="AQ307" s="61"/>
      <c r="AR307" s="61"/>
      <c r="AT307" s="120"/>
    </row>
    <row r="308" customFormat="false" ht="12.75" hidden="false" customHeight="false" outlineLevel="0" collapsed="false">
      <c r="A308" s="127"/>
      <c r="B308" s="128"/>
      <c r="C308" s="116"/>
      <c r="D308" s="116"/>
      <c r="E308" s="129"/>
      <c r="F308" s="130"/>
      <c r="G308" s="131"/>
      <c r="H308" s="129"/>
      <c r="I308" s="131"/>
      <c r="J308" s="131"/>
      <c r="K308" s="129"/>
      <c r="L308" s="131"/>
      <c r="M308" s="131"/>
      <c r="N308" s="131"/>
      <c r="O308" s="131"/>
      <c r="P308" s="131"/>
      <c r="Q308" s="129"/>
      <c r="R308" s="129"/>
      <c r="S308" s="129"/>
      <c r="T308" s="132"/>
      <c r="U308" s="133"/>
      <c r="X308" s="135"/>
      <c r="Z308" s="137"/>
      <c r="AA308" s="137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39"/>
      <c r="AO308" s="75"/>
      <c r="AP308" s="138"/>
      <c r="AQ308" s="61"/>
      <c r="AR308" s="61"/>
      <c r="AT308" s="120"/>
    </row>
    <row r="309" customFormat="false" ht="12.75" hidden="false" customHeight="false" outlineLevel="0" collapsed="false">
      <c r="A309" s="127"/>
      <c r="B309" s="128"/>
      <c r="C309" s="116"/>
      <c r="D309" s="116"/>
      <c r="E309" s="129"/>
      <c r="F309" s="130"/>
      <c r="G309" s="131"/>
      <c r="H309" s="129"/>
      <c r="I309" s="131"/>
      <c r="J309" s="131"/>
      <c r="K309" s="129"/>
      <c r="L309" s="131"/>
      <c r="M309" s="131"/>
      <c r="N309" s="131"/>
      <c r="O309" s="131"/>
      <c r="P309" s="131"/>
      <c r="Q309" s="129"/>
      <c r="R309" s="129"/>
      <c r="S309" s="129"/>
      <c r="T309" s="132"/>
      <c r="U309" s="133"/>
      <c r="X309" s="135"/>
      <c r="Z309" s="137"/>
      <c r="AA309" s="137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39"/>
      <c r="AO309" s="75"/>
      <c r="AP309" s="138"/>
      <c r="AQ309" s="61"/>
      <c r="AR309" s="61"/>
      <c r="AT309" s="120"/>
    </row>
    <row r="310" customFormat="false" ht="12.75" hidden="false" customHeight="false" outlineLevel="0" collapsed="false">
      <c r="A310" s="127"/>
      <c r="B310" s="128"/>
      <c r="C310" s="116"/>
      <c r="D310" s="116"/>
      <c r="E310" s="129"/>
      <c r="F310" s="130"/>
      <c r="G310" s="131"/>
      <c r="H310" s="129"/>
      <c r="I310" s="131"/>
      <c r="J310" s="131"/>
      <c r="K310" s="129"/>
      <c r="L310" s="131"/>
      <c r="M310" s="131"/>
      <c r="N310" s="131"/>
      <c r="O310" s="131"/>
      <c r="P310" s="131"/>
      <c r="Q310" s="129"/>
      <c r="R310" s="129"/>
      <c r="S310" s="129"/>
      <c r="T310" s="132"/>
      <c r="U310" s="133"/>
      <c r="X310" s="135"/>
      <c r="Z310" s="137"/>
      <c r="AA310" s="137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39"/>
      <c r="AO310" s="75"/>
      <c r="AP310" s="138"/>
      <c r="AQ310" s="61"/>
      <c r="AR310" s="61"/>
      <c r="AT310" s="120"/>
    </row>
    <row r="311" customFormat="false" ht="12.75" hidden="false" customHeight="false" outlineLevel="0" collapsed="false">
      <c r="A311" s="127"/>
      <c r="B311" s="128"/>
      <c r="C311" s="116"/>
      <c r="D311" s="116"/>
      <c r="E311" s="129"/>
      <c r="F311" s="130"/>
      <c r="G311" s="131"/>
      <c r="H311" s="129"/>
      <c r="I311" s="131"/>
      <c r="J311" s="131"/>
      <c r="K311" s="129"/>
      <c r="L311" s="131"/>
      <c r="M311" s="131"/>
      <c r="N311" s="131"/>
      <c r="O311" s="131"/>
      <c r="P311" s="131"/>
      <c r="Q311" s="129"/>
      <c r="R311" s="129"/>
      <c r="S311" s="129"/>
      <c r="T311" s="132"/>
      <c r="U311" s="133"/>
      <c r="X311" s="135"/>
      <c r="Z311" s="137"/>
      <c r="AA311" s="137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39"/>
      <c r="AO311" s="75"/>
      <c r="AP311" s="138"/>
      <c r="AQ311" s="61"/>
      <c r="AR311" s="61"/>
      <c r="AT311" s="120"/>
    </row>
    <row r="312" customFormat="false" ht="12.75" hidden="false" customHeight="false" outlineLevel="0" collapsed="false">
      <c r="A312" s="127"/>
      <c r="B312" s="128"/>
      <c r="C312" s="116"/>
      <c r="D312" s="116"/>
      <c r="E312" s="129"/>
      <c r="F312" s="130"/>
      <c r="G312" s="131"/>
      <c r="H312" s="129"/>
      <c r="I312" s="131"/>
      <c r="J312" s="131"/>
      <c r="K312" s="129"/>
      <c r="L312" s="131"/>
      <c r="M312" s="131"/>
      <c r="N312" s="131"/>
      <c r="O312" s="131"/>
      <c r="P312" s="131"/>
      <c r="Q312" s="129"/>
      <c r="R312" s="129"/>
      <c r="S312" s="129"/>
      <c r="T312" s="132"/>
      <c r="U312" s="133"/>
      <c r="X312" s="135"/>
      <c r="Z312" s="137"/>
      <c r="AA312" s="137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39"/>
      <c r="AO312" s="75"/>
      <c r="AP312" s="138"/>
      <c r="AQ312" s="61"/>
      <c r="AR312" s="61"/>
      <c r="AT312" s="120"/>
    </row>
    <row r="313" customFormat="false" ht="12.75" hidden="false" customHeight="false" outlineLevel="0" collapsed="false">
      <c r="A313" s="127"/>
      <c r="B313" s="128"/>
      <c r="C313" s="116"/>
      <c r="D313" s="116"/>
      <c r="E313" s="129"/>
      <c r="F313" s="130"/>
      <c r="G313" s="131"/>
      <c r="H313" s="129"/>
      <c r="I313" s="131"/>
      <c r="J313" s="131"/>
      <c r="K313" s="129"/>
      <c r="L313" s="131"/>
      <c r="M313" s="131"/>
      <c r="N313" s="131"/>
      <c r="O313" s="131"/>
      <c r="P313" s="131"/>
      <c r="Q313" s="129"/>
      <c r="R313" s="129"/>
      <c r="S313" s="129"/>
      <c r="T313" s="132"/>
      <c r="U313" s="133"/>
      <c r="X313" s="135"/>
      <c r="Z313" s="137"/>
      <c r="AA313" s="137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39"/>
      <c r="AO313" s="75"/>
      <c r="AP313" s="138"/>
      <c r="AQ313" s="61"/>
      <c r="AR313" s="61"/>
      <c r="AT313" s="120"/>
    </row>
    <row r="314" customFormat="false" ht="12.75" hidden="false" customHeight="false" outlineLevel="0" collapsed="false">
      <c r="A314" s="127"/>
      <c r="B314" s="128"/>
      <c r="C314" s="116"/>
      <c r="D314" s="116"/>
      <c r="E314" s="129"/>
      <c r="F314" s="130"/>
      <c r="G314" s="131"/>
      <c r="H314" s="129"/>
      <c r="I314" s="131"/>
      <c r="J314" s="131"/>
      <c r="K314" s="129"/>
      <c r="L314" s="131"/>
      <c r="M314" s="131"/>
      <c r="N314" s="131"/>
      <c r="O314" s="131"/>
      <c r="P314" s="131"/>
      <c r="Q314" s="129"/>
      <c r="R314" s="129"/>
      <c r="S314" s="129"/>
      <c r="T314" s="132"/>
      <c r="U314" s="133"/>
      <c r="X314" s="135"/>
      <c r="Z314" s="137"/>
      <c r="AA314" s="137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39"/>
      <c r="AO314" s="75"/>
      <c r="AP314" s="138"/>
      <c r="AQ314" s="61"/>
      <c r="AR314" s="61"/>
      <c r="AT314" s="120"/>
    </row>
    <row r="315" customFormat="false" ht="12.75" hidden="false" customHeight="false" outlineLevel="0" collapsed="false">
      <c r="A315" s="127"/>
      <c r="B315" s="128"/>
      <c r="C315" s="116"/>
      <c r="D315" s="116"/>
      <c r="E315" s="129"/>
      <c r="F315" s="130"/>
      <c r="G315" s="131"/>
      <c r="H315" s="129"/>
      <c r="I315" s="131"/>
      <c r="J315" s="131"/>
      <c r="K315" s="129"/>
      <c r="L315" s="131"/>
      <c r="M315" s="131"/>
      <c r="N315" s="131"/>
      <c r="O315" s="131"/>
      <c r="P315" s="131"/>
      <c r="Q315" s="129"/>
      <c r="R315" s="129"/>
      <c r="S315" s="129"/>
      <c r="T315" s="132"/>
      <c r="U315" s="133"/>
      <c r="X315" s="135"/>
      <c r="Z315" s="137"/>
      <c r="AA315" s="137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39"/>
      <c r="AO315" s="75"/>
      <c r="AP315" s="138"/>
      <c r="AQ315" s="61"/>
      <c r="AR315" s="61"/>
      <c r="AT315" s="120"/>
    </row>
    <row r="316" customFormat="false" ht="12.75" hidden="false" customHeight="false" outlineLevel="0" collapsed="false">
      <c r="A316" s="127"/>
      <c r="B316" s="128"/>
      <c r="C316" s="116"/>
      <c r="D316" s="116"/>
      <c r="E316" s="129"/>
      <c r="F316" s="130"/>
      <c r="G316" s="131"/>
      <c r="H316" s="129"/>
      <c r="I316" s="131"/>
      <c r="J316" s="131"/>
      <c r="K316" s="129"/>
      <c r="L316" s="131"/>
      <c r="M316" s="131"/>
      <c r="N316" s="131"/>
      <c r="O316" s="131"/>
      <c r="P316" s="131"/>
      <c r="Q316" s="129"/>
      <c r="R316" s="129"/>
      <c r="S316" s="129"/>
      <c r="T316" s="132"/>
      <c r="U316" s="133"/>
      <c r="X316" s="135"/>
      <c r="Z316" s="137"/>
      <c r="AA316" s="137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39"/>
      <c r="AO316" s="75"/>
      <c r="AP316" s="138"/>
      <c r="AQ316" s="61"/>
      <c r="AR316" s="61"/>
      <c r="AT316" s="120"/>
    </row>
    <row r="317" customFormat="false" ht="12.75" hidden="false" customHeight="false" outlineLevel="0" collapsed="false">
      <c r="A317" s="127"/>
      <c r="B317" s="128"/>
      <c r="C317" s="116"/>
      <c r="D317" s="116"/>
      <c r="E317" s="129"/>
      <c r="F317" s="130"/>
      <c r="G317" s="131"/>
      <c r="H317" s="129"/>
      <c r="I317" s="131"/>
      <c r="J317" s="131"/>
      <c r="K317" s="129"/>
      <c r="L317" s="131"/>
      <c r="M317" s="131"/>
      <c r="N317" s="131"/>
      <c r="O317" s="131"/>
      <c r="P317" s="131"/>
      <c r="Q317" s="129"/>
      <c r="R317" s="129"/>
      <c r="S317" s="129"/>
      <c r="T317" s="132"/>
      <c r="U317" s="133"/>
      <c r="X317" s="135"/>
      <c r="Z317" s="137"/>
      <c r="AA317" s="137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39"/>
      <c r="AO317" s="75"/>
      <c r="AP317" s="138"/>
      <c r="AQ317" s="61"/>
      <c r="AR317" s="61"/>
      <c r="AT317" s="120"/>
    </row>
    <row r="318" customFormat="false" ht="12.75" hidden="false" customHeight="false" outlineLevel="0" collapsed="false">
      <c r="A318" s="127"/>
      <c r="B318" s="128"/>
      <c r="C318" s="116"/>
      <c r="D318" s="116"/>
      <c r="E318" s="129"/>
      <c r="F318" s="130"/>
      <c r="G318" s="131"/>
      <c r="H318" s="129"/>
      <c r="I318" s="131"/>
      <c r="J318" s="131"/>
      <c r="K318" s="129"/>
      <c r="L318" s="131"/>
      <c r="M318" s="131"/>
      <c r="N318" s="131"/>
      <c r="O318" s="131"/>
      <c r="P318" s="131"/>
      <c r="Q318" s="129"/>
      <c r="R318" s="129"/>
      <c r="S318" s="129"/>
      <c r="T318" s="132"/>
      <c r="U318" s="133"/>
      <c r="X318" s="135"/>
      <c r="Z318" s="137"/>
      <c r="AA318" s="137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39"/>
      <c r="AO318" s="75"/>
      <c r="AP318" s="138"/>
      <c r="AQ318" s="61"/>
      <c r="AR318" s="61"/>
      <c r="AT318" s="120"/>
    </row>
    <row r="319" customFormat="false" ht="12.75" hidden="false" customHeight="false" outlineLevel="0" collapsed="false">
      <c r="A319" s="127"/>
      <c r="B319" s="128"/>
      <c r="C319" s="116"/>
      <c r="D319" s="116"/>
      <c r="E319" s="129"/>
      <c r="F319" s="130"/>
      <c r="G319" s="131"/>
      <c r="H319" s="129"/>
      <c r="I319" s="131"/>
      <c r="J319" s="131"/>
      <c r="K319" s="129"/>
      <c r="L319" s="131"/>
      <c r="M319" s="131"/>
      <c r="N319" s="131"/>
      <c r="O319" s="131"/>
      <c r="P319" s="131"/>
      <c r="Q319" s="129"/>
      <c r="R319" s="129"/>
      <c r="S319" s="129"/>
      <c r="T319" s="132"/>
      <c r="U319" s="133"/>
      <c r="X319" s="135"/>
      <c r="Z319" s="137"/>
      <c r="AA319" s="137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39"/>
      <c r="AO319" s="75"/>
      <c r="AP319" s="138"/>
      <c r="AQ319" s="61"/>
      <c r="AR319" s="61"/>
      <c r="AT319" s="120"/>
    </row>
    <row r="320" customFormat="false" ht="12.75" hidden="false" customHeight="false" outlineLevel="0" collapsed="false">
      <c r="A320" s="127"/>
      <c r="B320" s="128"/>
      <c r="C320" s="116"/>
      <c r="D320" s="116"/>
      <c r="E320" s="129"/>
      <c r="F320" s="130"/>
      <c r="G320" s="131"/>
      <c r="H320" s="129"/>
      <c r="I320" s="131"/>
      <c r="J320" s="131"/>
      <c r="K320" s="129"/>
      <c r="L320" s="131"/>
      <c r="M320" s="131"/>
      <c r="N320" s="131"/>
      <c r="O320" s="131"/>
      <c r="P320" s="131"/>
      <c r="Q320" s="129"/>
      <c r="R320" s="129"/>
      <c r="S320" s="129"/>
      <c r="T320" s="132"/>
      <c r="U320" s="133"/>
      <c r="X320" s="135"/>
      <c r="Z320" s="137"/>
      <c r="AA320" s="137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39"/>
      <c r="AO320" s="75"/>
      <c r="AP320" s="138"/>
      <c r="AQ320" s="61"/>
      <c r="AR320" s="61"/>
      <c r="AT320" s="120"/>
    </row>
    <row r="321" customFormat="false" ht="12.75" hidden="false" customHeight="false" outlineLevel="0" collapsed="false">
      <c r="A321" s="127"/>
      <c r="B321" s="128"/>
      <c r="C321" s="116"/>
      <c r="D321" s="116"/>
      <c r="E321" s="129"/>
      <c r="F321" s="130"/>
      <c r="G321" s="131"/>
      <c r="H321" s="129"/>
      <c r="I321" s="131"/>
      <c r="J321" s="131"/>
      <c r="K321" s="129"/>
      <c r="L321" s="131"/>
      <c r="M321" s="131"/>
      <c r="N321" s="131"/>
      <c r="O321" s="131"/>
      <c r="P321" s="131"/>
      <c r="Q321" s="129"/>
      <c r="R321" s="129"/>
      <c r="S321" s="129"/>
      <c r="T321" s="132"/>
      <c r="U321" s="133"/>
      <c r="X321" s="135"/>
      <c r="Z321" s="137"/>
      <c r="AA321" s="137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39"/>
      <c r="AO321" s="75"/>
      <c r="AP321" s="138"/>
      <c r="AQ321" s="61"/>
      <c r="AR321" s="61"/>
      <c r="AT321" s="120"/>
    </row>
    <row r="322" customFormat="false" ht="12.75" hidden="false" customHeight="false" outlineLevel="0" collapsed="false">
      <c r="A322" s="127"/>
      <c r="B322" s="128"/>
      <c r="C322" s="116"/>
      <c r="D322" s="116"/>
      <c r="E322" s="129"/>
      <c r="F322" s="130"/>
      <c r="G322" s="131"/>
      <c r="H322" s="129"/>
      <c r="I322" s="131"/>
      <c r="J322" s="131"/>
      <c r="K322" s="129"/>
      <c r="L322" s="131"/>
      <c r="M322" s="131"/>
      <c r="N322" s="131"/>
      <c r="O322" s="131"/>
      <c r="P322" s="131"/>
      <c r="Q322" s="129"/>
      <c r="R322" s="129"/>
      <c r="S322" s="129"/>
      <c r="T322" s="132"/>
      <c r="U322" s="133"/>
      <c r="X322" s="135"/>
      <c r="Z322" s="137"/>
      <c r="AA322" s="137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39"/>
      <c r="AO322" s="75"/>
      <c r="AP322" s="138"/>
      <c r="AQ322" s="61"/>
      <c r="AR322" s="61"/>
      <c r="AT322" s="120"/>
    </row>
    <row r="323" customFormat="false" ht="12.75" hidden="false" customHeight="false" outlineLevel="0" collapsed="false"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Z323" s="137"/>
    </row>
    <row r="324" customFormat="false" ht="12.75" hidden="false" customHeight="false" outlineLevel="0" collapsed="false"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Z324" s="137"/>
    </row>
    <row r="325" customFormat="false" ht="12.75" hidden="false" customHeight="false" outlineLevel="0" collapsed="false"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Z325" s="137"/>
    </row>
    <row r="326" customFormat="false" ht="12.75" hidden="false" customHeight="false" outlineLevel="0" collapsed="false"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Z326" s="137"/>
    </row>
    <row r="327" customFormat="false" ht="12.75" hidden="false" customHeight="false" outlineLevel="0" collapsed="false"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Z327" s="137"/>
    </row>
    <row r="328" customFormat="false" ht="12.75" hidden="false" customHeight="false" outlineLevel="0" collapsed="false"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Z328" s="137"/>
    </row>
    <row r="329" customFormat="false" ht="12.75" hidden="false" customHeight="false" outlineLevel="0" collapsed="false"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Z329" s="137"/>
    </row>
    <row r="330" customFormat="false" ht="12.75" hidden="false" customHeight="false" outlineLevel="0" collapsed="false"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Z330" s="137"/>
    </row>
    <row r="331" customFormat="false" ht="12.75" hidden="false" customHeight="false" outlineLevel="0" collapsed="false"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Z331" s="137"/>
    </row>
    <row r="332" customFormat="false" ht="12.75" hidden="false" customHeight="false" outlineLevel="0" collapsed="false"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Z332" s="137"/>
    </row>
    <row r="333" customFormat="false" ht="12.75" hidden="false" customHeight="false" outlineLevel="0" collapsed="false"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Z333" s="137"/>
    </row>
    <row r="334" customFormat="false" ht="12.75" hidden="false" customHeight="false" outlineLevel="0" collapsed="false"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Z334" s="137"/>
    </row>
    <row r="335" customFormat="false" ht="12.75" hidden="false" customHeight="false" outlineLevel="0" collapsed="false"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Z335" s="137"/>
    </row>
    <row r="336" customFormat="false" ht="12.75" hidden="false" customHeight="false" outlineLevel="0" collapsed="false"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Z336" s="137"/>
    </row>
    <row r="337" customFormat="false" ht="12.75" hidden="false" customHeight="false" outlineLevel="0" collapsed="false"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Z337" s="137"/>
    </row>
    <row r="338" customFormat="false" ht="12.75" hidden="false" customHeight="false" outlineLevel="0" collapsed="false"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Z338" s="137"/>
    </row>
    <row r="339" customFormat="false" ht="12.75" hidden="false" customHeight="false" outlineLevel="0" collapsed="false"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Z339" s="137"/>
    </row>
    <row r="340" customFormat="false" ht="12.75" hidden="false" customHeight="false" outlineLevel="0" collapsed="false"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Z340" s="137"/>
    </row>
    <row r="341" customFormat="false" ht="12.75" hidden="false" customHeight="false" outlineLevel="0" collapsed="false"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Z341" s="137"/>
    </row>
    <row r="342" customFormat="false" ht="12.75" hidden="false" customHeight="false" outlineLevel="0" collapsed="false"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Z342" s="137"/>
    </row>
    <row r="343" customFormat="false" ht="12.75" hidden="false" customHeight="false" outlineLevel="0" collapsed="false"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Z343" s="137"/>
    </row>
    <row r="344" customFormat="false" ht="12.75" hidden="false" customHeight="false" outlineLevel="0" collapsed="false"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Z344" s="137"/>
    </row>
    <row r="345" customFormat="false" ht="12.75" hidden="false" customHeight="false" outlineLevel="0" collapsed="false"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Z345" s="137"/>
    </row>
    <row r="346" customFormat="false" ht="12.75" hidden="false" customHeight="false" outlineLevel="0" collapsed="false"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Z346" s="137"/>
    </row>
    <row r="347" customFormat="false" ht="12.75" hidden="false" customHeight="false" outlineLevel="0" collapsed="false"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Z347" s="137"/>
    </row>
    <row r="348" customFormat="false" ht="12.75" hidden="false" customHeight="false" outlineLevel="0" collapsed="false"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Z348" s="137"/>
    </row>
    <row r="349" customFormat="false" ht="12.75" hidden="false" customHeight="false" outlineLevel="0" collapsed="false"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Z349" s="137"/>
    </row>
    <row r="350" customFormat="false" ht="12.75" hidden="false" customHeight="false" outlineLevel="0" collapsed="false"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Z350" s="137"/>
    </row>
    <row r="351" customFormat="false" ht="12.75" hidden="false" customHeight="false" outlineLevel="0" collapsed="false"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Z351" s="137"/>
    </row>
    <row r="352" customFormat="false" ht="12.75" hidden="false" customHeight="false" outlineLevel="0" collapsed="false"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Z352" s="137"/>
    </row>
    <row r="353" customFormat="false" ht="12.75" hidden="false" customHeight="false" outlineLevel="0" collapsed="false"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Z353" s="137"/>
    </row>
    <row r="354" customFormat="false" ht="12.75" hidden="false" customHeight="false" outlineLevel="0" collapsed="false">
      <c r="E354" s="142"/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Z354" s="137"/>
    </row>
    <row r="355" customFormat="false" ht="12.75" hidden="false" customHeight="false" outlineLevel="0" collapsed="false"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Z355" s="137"/>
    </row>
    <row r="356" customFormat="false" ht="12.75" hidden="false" customHeight="false" outlineLevel="0" collapsed="false"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Z356" s="137"/>
    </row>
    <row r="357" customFormat="false" ht="12.75" hidden="false" customHeight="false" outlineLevel="0" collapsed="false">
      <c r="Z357" s="137"/>
    </row>
    <row r="358" customFormat="false" ht="12.75" hidden="false" customHeight="false" outlineLevel="0" collapsed="false">
      <c r="Z358" s="137"/>
    </row>
    <row r="359" customFormat="false" ht="12.75" hidden="false" customHeight="false" outlineLevel="0" collapsed="false">
      <c r="Z359" s="137"/>
    </row>
    <row r="360" customFormat="false" ht="12.75" hidden="false" customHeight="false" outlineLevel="0" collapsed="false">
      <c r="Z360" s="137"/>
    </row>
    <row r="361" customFormat="false" ht="12.75" hidden="false" customHeight="false" outlineLevel="0" collapsed="false">
      <c r="Z361" s="137"/>
    </row>
    <row r="362" customFormat="false" ht="12.75" hidden="false" customHeight="false" outlineLevel="0" collapsed="false">
      <c r="Z362" s="137"/>
    </row>
    <row r="363" customFormat="false" ht="12.75" hidden="false" customHeight="false" outlineLevel="0" collapsed="false">
      <c r="Z363" s="137"/>
    </row>
    <row r="364" customFormat="false" ht="12.75" hidden="false" customHeight="false" outlineLevel="0" collapsed="false">
      <c r="Z364" s="137"/>
    </row>
    <row r="365" customFormat="false" ht="12.75" hidden="false" customHeight="false" outlineLevel="0" collapsed="false">
      <c r="Z365" s="137"/>
    </row>
    <row r="366" customFormat="false" ht="12.75" hidden="false" customHeight="false" outlineLevel="0" collapsed="false">
      <c r="Z366" s="137"/>
    </row>
    <row r="367" customFormat="false" ht="12.75" hidden="false" customHeight="false" outlineLevel="0" collapsed="false">
      <c r="Z367" s="137"/>
    </row>
    <row r="368" customFormat="false" ht="12.75" hidden="false" customHeight="false" outlineLevel="0" collapsed="false">
      <c r="Z368" s="137"/>
    </row>
    <row r="369" customFormat="false" ht="12.75" hidden="false" customHeight="false" outlineLevel="0" collapsed="false">
      <c r="Z369" s="137"/>
    </row>
    <row r="370" customFormat="false" ht="12.75" hidden="false" customHeight="false" outlineLevel="0" collapsed="false">
      <c r="Z370" s="137"/>
    </row>
    <row r="371" customFormat="false" ht="12.75" hidden="false" customHeight="false" outlineLevel="0" collapsed="false">
      <c r="Z371" s="137"/>
    </row>
    <row r="372" customFormat="false" ht="12.75" hidden="false" customHeight="false" outlineLevel="0" collapsed="false">
      <c r="Z372" s="137"/>
    </row>
    <row r="373" customFormat="false" ht="12.75" hidden="false" customHeight="false" outlineLevel="0" collapsed="false">
      <c r="Z373" s="137"/>
    </row>
    <row r="374" customFormat="false" ht="12.75" hidden="false" customHeight="false" outlineLevel="0" collapsed="false">
      <c r="Z374" s="137"/>
    </row>
    <row r="375" customFormat="false" ht="12.75" hidden="false" customHeight="false" outlineLevel="0" collapsed="false">
      <c r="Z375" s="137"/>
    </row>
    <row r="376" customFormat="false" ht="12.75" hidden="false" customHeight="false" outlineLevel="0" collapsed="false">
      <c r="Z376" s="137"/>
    </row>
    <row r="377" customFormat="false" ht="12.75" hidden="false" customHeight="false" outlineLevel="0" collapsed="false">
      <c r="Z377" s="137"/>
    </row>
    <row r="378" customFormat="false" ht="12.75" hidden="false" customHeight="false" outlineLevel="0" collapsed="false">
      <c r="Z378" s="137"/>
    </row>
    <row r="379" customFormat="false" ht="12.75" hidden="false" customHeight="false" outlineLevel="0" collapsed="false">
      <c r="Z379" s="137"/>
    </row>
    <row r="380" customFormat="false" ht="12.75" hidden="false" customHeight="false" outlineLevel="0" collapsed="false">
      <c r="Z380" s="137"/>
    </row>
    <row r="381" customFormat="false" ht="12.75" hidden="false" customHeight="false" outlineLevel="0" collapsed="false">
      <c r="Z381" s="137"/>
    </row>
    <row r="382" customFormat="false" ht="12.75" hidden="false" customHeight="false" outlineLevel="0" collapsed="false">
      <c r="Z382" s="137"/>
    </row>
    <row r="383" customFormat="false" ht="12.75" hidden="false" customHeight="false" outlineLevel="0" collapsed="false">
      <c r="Z383" s="137"/>
    </row>
    <row r="384" customFormat="false" ht="12.75" hidden="false" customHeight="false" outlineLevel="0" collapsed="false">
      <c r="Z384" s="137"/>
    </row>
    <row r="385" customFormat="false" ht="12.75" hidden="false" customHeight="false" outlineLevel="0" collapsed="false">
      <c r="Z385" s="137"/>
    </row>
    <row r="386" customFormat="false" ht="12.75" hidden="false" customHeight="false" outlineLevel="0" collapsed="false">
      <c r="Z386" s="137"/>
    </row>
    <row r="387" customFormat="false" ht="12.75" hidden="false" customHeight="false" outlineLevel="0" collapsed="false">
      <c r="Z387" s="137"/>
    </row>
    <row r="388" customFormat="false" ht="12.75" hidden="false" customHeight="false" outlineLevel="0" collapsed="false">
      <c r="Z388" s="137"/>
    </row>
    <row r="389" customFormat="false" ht="12.75" hidden="false" customHeight="false" outlineLevel="0" collapsed="false">
      <c r="Z389" s="137"/>
    </row>
    <row r="390" customFormat="false" ht="12.75" hidden="false" customHeight="false" outlineLevel="0" collapsed="false">
      <c r="Z390" s="137"/>
    </row>
    <row r="391" customFormat="false" ht="12.75" hidden="false" customHeight="false" outlineLevel="0" collapsed="false">
      <c r="Z391" s="137"/>
    </row>
    <row r="392" customFormat="false" ht="12.75" hidden="false" customHeight="false" outlineLevel="0" collapsed="false">
      <c r="Z392" s="137"/>
    </row>
    <row r="393" customFormat="false" ht="12.75" hidden="false" customHeight="false" outlineLevel="0" collapsed="false">
      <c r="Z393" s="137"/>
    </row>
    <row r="394" customFormat="false" ht="12.75" hidden="false" customHeight="false" outlineLevel="0" collapsed="false">
      <c r="Z394" s="137"/>
    </row>
    <row r="395" customFormat="false" ht="12.75" hidden="false" customHeight="false" outlineLevel="0" collapsed="false">
      <c r="Z395" s="137"/>
    </row>
    <row r="396" customFormat="false" ht="12.75" hidden="false" customHeight="false" outlineLevel="0" collapsed="false">
      <c r="Z396" s="137"/>
    </row>
    <row r="397" customFormat="false" ht="12.75" hidden="false" customHeight="false" outlineLevel="0" collapsed="false">
      <c r="Z397" s="137"/>
    </row>
    <row r="398" customFormat="false" ht="12.75" hidden="false" customHeight="false" outlineLevel="0" collapsed="false">
      <c r="Z398" s="137"/>
    </row>
    <row r="399" customFormat="false" ht="12.75" hidden="false" customHeight="false" outlineLevel="0" collapsed="false">
      <c r="Z399" s="137"/>
    </row>
    <row r="400" customFormat="false" ht="12.75" hidden="false" customHeight="false" outlineLevel="0" collapsed="false">
      <c r="Z400" s="137"/>
    </row>
    <row r="401" customFormat="false" ht="12.75" hidden="false" customHeight="false" outlineLevel="0" collapsed="false">
      <c r="Z401" s="137"/>
    </row>
    <row r="402" customFormat="false" ht="12.75" hidden="false" customHeight="false" outlineLevel="0" collapsed="false">
      <c r="Z402" s="137"/>
    </row>
    <row r="403" customFormat="false" ht="12.75" hidden="false" customHeight="false" outlineLevel="0" collapsed="false">
      <c r="Z403" s="137"/>
    </row>
    <row r="404" customFormat="false" ht="12.75" hidden="false" customHeight="false" outlineLevel="0" collapsed="false">
      <c r="Z404" s="137"/>
    </row>
    <row r="405" customFormat="false" ht="12.75" hidden="false" customHeight="false" outlineLevel="0" collapsed="false">
      <c r="Z405" s="137"/>
    </row>
    <row r="406" customFormat="false" ht="12.75" hidden="false" customHeight="false" outlineLevel="0" collapsed="false">
      <c r="Z406" s="137"/>
    </row>
    <row r="407" customFormat="false" ht="12.75" hidden="false" customHeight="false" outlineLevel="0" collapsed="false">
      <c r="Z407" s="137"/>
    </row>
    <row r="408" customFormat="false" ht="12.75" hidden="false" customHeight="false" outlineLevel="0" collapsed="false">
      <c r="Z408" s="137"/>
    </row>
    <row r="409" customFormat="false" ht="12.75" hidden="false" customHeight="false" outlineLevel="0" collapsed="false">
      <c r="Z409" s="137"/>
    </row>
    <row r="410" customFormat="false" ht="12.75" hidden="false" customHeight="false" outlineLevel="0" collapsed="false">
      <c r="Z410" s="137"/>
    </row>
    <row r="411" customFormat="false" ht="12.75" hidden="false" customHeight="false" outlineLevel="0" collapsed="false">
      <c r="Z411" s="137"/>
    </row>
    <row r="412" customFormat="false" ht="12.75" hidden="false" customHeight="false" outlineLevel="0" collapsed="false">
      <c r="Z412" s="137"/>
    </row>
    <row r="413" customFormat="false" ht="12.75" hidden="false" customHeight="false" outlineLevel="0" collapsed="false">
      <c r="Z413" s="137"/>
    </row>
    <row r="414" customFormat="false" ht="12.75" hidden="false" customHeight="false" outlineLevel="0" collapsed="false">
      <c r="Z414" s="137"/>
    </row>
    <row r="415" customFormat="false" ht="12.75" hidden="false" customHeight="false" outlineLevel="0" collapsed="false">
      <c r="Z415" s="137"/>
    </row>
    <row r="416" customFormat="false" ht="12.75" hidden="false" customHeight="false" outlineLevel="0" collapsed="false">
      <c r="Z416" s="137"/>
    </row>
    <row r="417" customFormat="false" ht="12.75" hidden="false" customHeight="false" outlineLevel="0" collapsed="false">
      <c r="Z417" s="137"/>
    </row>
    <row r="418" customFormat="false" ht="12.75" hidden="false" customHeight="false" outlineLevel="0" collapsed="false">
      <c r="Z418" s="137"/>
    </row>
    <row r="419" customFormat="false" ht="12.75" hidden="false" customHeight="false" outlineLevel="0" collapsed="false">
      <c r="Z419" s="137"/>
    </row>
    <row r="420" customFormat="false" ht="12.75" hidden="false" customHeight="false" outlineLevel="0" collapsed="false">
      <c r="Z420" s="137"/>
    </row>
    <row r="421" customFormat="false" ht="12.75" hidden="false" customHeight="false" outlineLevel="0" collapsed="false">
      <c r="Z421" s="137"/>
    </row>
    <row r="422" customFormat="false" ht="12.75" hidden="false" customHeight="false" outlineLevel="0" collapsed="false">
      <c r="Z422" s="137"/>
    </row>
    <row r="423" customFormat="false" ht="12.75" hidden="false" customHeight="false" outlineLevel="0" collapsed="false">
      <c r="Z423" s="137"/>
    </row>
    <row r="424" customFormat="false" ht="12.75" hidden="false" customHeight="false" outlineLevel="0" collapsed="false">
      <c r="Z424" s="137"/>
    </row>
    <row r="425" customFormat="false" ht="12.75" hidden="false" customHeight="false" outlineLevel="0" collapsed="false">
      <c r="Z425" s="137"/>
    </row>
    <row r="426" customFormat="false" ht="12.75" hidden="false" customHeight="false" outlineLevel="0" collapsed="false">
      <c r="Z426" s="137"/>
    </row>
    <row r="427" customFormat="false" ht="12.75" hidden="false" customHeight="false" outlineLevel="0" collapsed="false">
      <c r="Z427" s="137"/>
    </row>
    <row r="428" customFormat="false" ht="12.75" hidden="false" customHeight="false" outlineLevel="0" collapsed="false">
      <c r="Z428" s="137"/>
    </row>
    <row r="429" customFormat="false" ht="12.75" hidden="false" customHeight="false" outlineLevel="0" collapsed="false">
      <c r="Z429" s="137"/>
    </row>
    <row r="430" customFormat="false" ht="12.75" hidden="false" customHeight="false" outlineLevel="0" collapsed="false">
      <c r="Z430" s="137"/>
    </row>
    <row r="431" customFormat="false" ht="12.75" hidden="false" customHeight="false" outlineLevel="0" collapsed="false">
      <c r="Z431" s="137"/>
    </row>
    <row r="432" customFormat="false" ht="12.75" hidden="false" customHeight="false" outlineLevel="0" collapsed="false">
      <c r="Z432" s="137"/>
    </row>
    <row r="433" customFormat="false" ht="12.75" hidden="false" customHeight="false" outlineLevel="0" collapsed="false">
      <c r="Z433" s="137"/>
    </row>
    <row r="434" customFormat="false" ht="12.75" hidden="false" customHeight="false" outlineLevel="0" collapsed="false">
      <c r="Z434" s="137"/>
    </row>
    <row r="435" customFormat="false" ht="12.75" hidden="false" customHeight="false" outlineLevel="0" collapsed="false">
      <c r="Z435" s="137"/>
    </row>
    <row r="436" customFormat="false" ht="12.75" hidden="false" customHeight="false" outlineLevel="0" collapsed="false">
      <c r="Z436" s="137"/>
    </row>
    <row r="437" customFormat="false" ht="12.75" hidden="false" customHeight="false" outlineLevel="0" collapsed="false">
      <c r="Z437" s="137"/>
    </row>
    <row r="438" customFormat="false" ht="12.75" hidden="false" customHeight="false" outlineLevel="0" collapsed="false">
      <c r="Z438" s="137"/>
    </row>
    <row r="439" customFormat="false" ht="12.75" hidden="false" customHeight="false" outlineLevel="0" collapsed="false">
      <c r="Z439" s="137"/>
    </row>
    <row r="440" customFormat="false" ht="12.75" hidden="false" customHeight="false" outlineLevel="0" collapsed="false">
      <c r="Z440" s="137"/>
    </row>
    <row r="441" customFormat="false" ht="12.75" hidden="false" customHeight="false" outlineLevel="0" collapsed="false">
      <c r="Z441" s="137"/>
    </row>
    <row r="442" customFormat="false" ht="12.75" hidden="false" customHeight="false" outlineLevel="0" collapsed="false">
      <c r="Z442" s="137"/>
    </row>
    <row r="443" customFormat="false" ht="12.75" hidden="false" customHeight="false" outlineLevel="0" collapsed="false">
      <c r="Z443" s="137"/>
    </row>
    <row r="444" customFormat="false" ht="12.75" hidden="false" customHeight="false" outlineLevel="0" collapsed="false">
      <c r="Z444" s="137"/>
    </row>
    <row r="445" customFormat="false" ht="12.75" hidden="false" customHeight="false" outlineLevel="0" collapsed="false">
      <c r="Z445" s="137"/>
    </row>
    <row r="446" customFormat="false" ht="12.75" hidden="false" customHeight="false" outlineLevel="0" collapsed="false">
      <c r="Z446" s="137"/>
    </row>
    <row r="447" customFormat="false" ht="12.75" hidden="false" customHeight="false" outlineLevel="0" collapsed="false">
      <c r="Z447" s="137"/>
    </row>
    <row r="448" customFormat="false" ht="12.75" hidden="false" customHeight="false" outlineLevel="0" collapsed="false">
      <c r="Z448" s="137"/>
    </row>
    <row r="449" customFormat="false" ht="12.75" hidden="false" customHeight="false" outlineLevel="0" collapsed="false">
      <c r="Z449" s="137"/>
    </row>
    <row r="450" customFormat="false" ht="12.75" hidden="false" customHeight="false" outlineLevel="0" collapsed="false">
      <c r="Z450" s="137"/>
    </row>
    <row r="451" customFormat="false" ht="12.75" hidden="false" customHeight="false" outlineLevel="0" collapsed="false">
      <c r="Z451" s="137"/>
    </row>
    <row r="452" customFormat="false" ht="12.75" hidden="false" customHeight="false" outlineLevel="0" collapsed="false">
      <c r="Z452" s="137"/>
    </row>
    <row r="453" customFormat="false" ht="12.75" hidden="false" customHeight="false" outlineLevel="0" collapsed="false">
      <c r="Z453" s="137"/>
    </row>
    <row r="454" customFormat="false" ht="12.75" hidden="false" customHeight="false" outlineLevel="0" collapsed="false">
      <c r="Z454" s="137"/>
    </row>
    <row r="455" customFormat="false" ht="12.75" hidden="false" customHeight="false" outlineLevel="0" collapsed="false">
      <c r="Z455" s="137"/>
    </row>
    <row r="456" customFormat="false" ht="12.75" hidden="false" customHeight="false" outlineLevel="0" collapsed="false">
      <c r="Z456" s="137"/>
    </row>
    <row r="457" customFormat="false" ht="12.75" hidden="false" customHeight="false" outlineLevel="0" collapsed="false">
      <c r="Z457" s="137"/>
    </row>
    <row r="458" customFormat="false" ht="12.75" hidden="false" customHeight="false" outlineLevel="0" collapsed="false">
      <c r="Z458" s="137"/>
    </row>
    <row r="459" customFormat="false" ht="12.75" hidden="false" customHeight="false" outlineLevel="0" collapsed="false">
      <c r="Z459" s="137"/>
    </row>
    <row r="460" customFormat="false" ht="12.75" hidden="false" customHeight="false" outlineLevel="0" collapsed="false">
      <c r="Z460" s="137"/>
    </row>
    <row r="461" customFormat="false" ht="12.75" hidden="false" customHeight="false" outlineLevel="0" collapsed="false">
      <c r="Z461" s="137"/>
    </row>
    <row r="462" customFormat="false" ht="12.75" hidden="false" customHeight="false" outlineLevel="0" collapsed="false">
      <c r="Z462" s="137"/>
    </row>
    <row r="463" customFormat="false" ht="12.75" hidden="false" customHeight="false" outlineLevel="0" collapsed="false">
      <c r="Z463" s="137"/>
    </row>
    <row r="464" customFormat="false" ht="12.75" hidden="false" customHeight="false" outlineLevel="0" collapsed="false">
      <c r="Z464" s="137"/>
    </row>
    <row r="465" customFormat="false" ht="12.75" hidden="false" customHeight="false" outlineLevel="0" collapsed="false">
      <c r="Z465" s="137"/>
    </row>
    <row r="466" customFormat="false" ht="12.75" hidden="false" customHeight="false" outlineLevel="0" collapsed="false">
      <c r="Z466" s="137"/>
    </row>
    <row r="467" customFormat="false" ht="12.75" hidden="false" customHeight="false" outlineLevel="0" collapsed="false">
      <c r="Z467" s="137"/>
    </row>
    <row r="468" customFormat="false" ht="12.75" hidden="false" customHeight="false" outlineLevel="0" collapsed="false">
      <c r="Z468" s="137"/>
    </row>
    <row r="469" customFormat="false" ht="12.75" hidden="false" customHeight="false" outlineLevel="0" collapsed="false">
      <c r="Z469" s="137"/>
    </row>
    <row r="470" customFormat="false" ht="12.75" hidden="false" customHeight="false" outlineLevel="0" collapsed="false">
      <c r="Z470" s="137"/>
    </row>
    <row r="471" customFormat="false" ht="12.75" hidden="false" customHeight="false" outlineLevel="0" collapsed="false">
      <c r="Z471" s="137"/>
    </row>
    <row r="472" customFormat="false" ht="12.75" hidden="false" customHeight="false" outlineLevel="0" collapsed="false">
      <c r="Z472" s="137"/>
    </row>
    <row r="473" customFormat="false" ht="12.75" hidden="false" customHeight="false" outlineLevel="0" collapsed="false">
      <c r="Z473" s="137"/>
    </row>
    <row r="474" customFormat="false" ht="12.75" hidden="false" customHeight="false" outlineLevel="0" collapsed="false">
      <c r="Z474" s="137"/>
    </row>
    <row r="475" customFormat="false" ht="12.75" hidden="false" customHeight="false" outlineLevel="0" collapsed="false">
      <c r="Z475" s="137"/>
    </row>
    <row r="476" customFormat="false" ht="12.75" hidden="false" customHeight="false" outlineLevel="0" collapsed="false">
      <c r="Z476" s="137"/>
    </row>
    <row r="477" customFormat="false" ht="12.75" hidden="false" customHeight="false" outlineLevel="0" collapsed="false">
      <c r="Z477" s="137"/>
    </row>
    <row r="478" customFormat="false" ht="12.75" hidden="false" customHeight="false" outlineLevel="0" collapsed="false">
      <c r="Z478" s="137"/>
    </row>
    <row r="479" customFormat="false" ht="12.75" hidden="false" customHeight="false" outlineLevel="0" collapsed="false">
      <c r="Z479" s="137"/>
    </row>
    <row r="480" customFormat="false" ht="12.75" hidden="false" customHeight="false" outlineLevel="0" collapsed="false">
      <c r="Z480" s="137"/>
    </row>
    <row r="481" customFormat="false" ht="12.75" hidden="false" customHeight="false" outlineLevel="0" collapsed="false">
      <c r="Z481" s="137"/>
    </row>
    <row r="482" customFormat="false" ht="12.75" hidden="false" customHeight="false" outlineLevel="0" collapsed="false">
      <c r="Z482" s="137"/>
    </row>
    <row r="483" customFormat="false" ht="12.75" hidden="false" customHeight="false" outlineLevel="0" collapsed="false">
      <c r="Z483" s="137"/>
    </row>
    <row r="484" customFormat="false" ht="12.75" hidden="false" customHeight="false" outlineLevel="0" collapsed="false">
      <c r="Z484" s="137"/>
    </row>
    <row r="485" customFormat="false" ht="12.75" hidden="false" customHeight="false" outlineLevel="0" collapsed="false">
      <c r="Z485" s="137"/>
    </row>
    <row r="486" customFormat="false" ht="12.75" hidden="false" customHeight="false" outlineLevel="0" collapsed="false">
      <c r="Z486" s="137"/>
    </row>
    <row r="487" customFormat="false" ht="12.75" hidden="false" customHeight="false" outlineLevel="0" collapsed="false">
      <c r="Z487" s="137"/>
    </row>
    <row r="488" customFormat="false" ht="12.75" hidden="false" customHeight="false" outlineLevel="0" collapsed="false">
      <c r="Z488" s="137"/>
    </row>
    <row r="489" customFormat="false" ht="12.75" hidden="false" customHeight="false" outlineLevel="0" collapsed="false">
      <c r="Z489" s="137"/>
    </row>
    <row r="490" customFormat="false" ht="12.75" hidden="false" customHeight="false" outlineLevel="0" collapsed="false">
      <c r="Z490" s="137"/>
    </row>
    <row r="491" customFormat="false" ht="12.75" hidden="false" customHeight="false" outlineLevel="0" collapsed="false">
      <c r="Z491" s="137"/>
    </row>
    <row r="492" customFormat="false" ht="12.75" hidden="false" customHeight="false" outlineLevel="0" collapsed="false">
      <c r="Z492" s="137"/>
    </row>
    <row r="493" customFormat="false" ht="12.75" hidden="false" customHeight="false" outlineLevel="0" collapsed="false">
      <c r="Z493" s="137"/>
    </row>
    <row r="494" customFormat="false" ht="12.75" hidden="false" customHeight="false" outlineLevel="0" collapsed="false">
      <c r="Z494" s="137"/>
    </row>
    <row r="495" customFormat="false" ht="12.75" hidden="false" customHeight="false" outlineLevel="0" collapsed="false">
      <c r="Z495" s="137"/>
    </row>
    <row r="496" customFormat="false" ht="12.75" hidden="false" customHeight="false" outlineLevel="0" collapsed="false">
      <c r="Z496" s="137"/>
    </row>
    <row r="497" customFormat="false" ht="12.75" hidden="false" customHeight="false" outlineLevel="0" collapsed="false">
      <c r="Z497" s="137"/>
    </row>
    <row r="498" customFormat="false" ht="12.75" hidden="false" customHeight="false" outlineLevel="0" collapsed="false">
      <c r="Z498" s="137"/>
    </row>
    <row r="499" customFormat="false" ht="12.75" hidden="false" customHeight="false" outlineLevel="0" collapsed="false">
      <c r="Z499" s="137"/>
    </row>
    <row r="500" customFormat="false" ht="12.75" hidden="false" customHeight="false" outlineLevel="0" collapsed="false">
      <c r="Z500" s="137"/>
    </row>
    <row r="501" customFormat="false" ht="12.75" hidden="false" customHeight="false" outlineLevel="0" collapsed="false">
      <c r="Z501" s="137"/>
    </row>
    <row r="502" customFormat="false" ht="12.75" hidden="false" customHeight="false" outlineLevel="0" collapsed="false">
      <c r="Z502" s="137"/>
    </row>
    <row r="503" customFormat="false" ht="12.75" hidden="false" customHeight="false" outlineLevel="0" collapsed="false">
      <c r="Z503" s="137"/>
    </row>
    <row r="504" customFormat="false" ht="12.75" hidden="false" customHeight="false" outlineLevel="0" collapsed="false">
      <c r="Z504" s="137"/>
    </row>
    <row r="505" customFormat="false" ht="12.75" hidden="false" customHeight="false" outlineLevel="0" collapsed="false">
      <c r="Z505" s="137"/>
    </row>
    <row r="506" customFormat="false" ht="12.75" hidden="false" customHeight="false" outlineLevel="0" collapsed="false">
      <c r="Z506" s="137"/>
    </row>
    <row r="507" customFormat="false" ht="12.75" hidden="false" customHeight="false" outlineLevel="0" collapsed="false">
      <c r="Z507" s="137"/>
    </row>
    <row r="508" customFormat="false" ht="12.75" hidden="false" customHeight="false" outlineLevel="0" collapsed="false">
      <c r="Z508" s="137"/>
    </row>
    <row r="509" customFormat="false" ht="12.75" hidden="false" customHeight="false" outlineLevel="0" collapsed="false">
      <c r="Z509" s="137"/>
    </row>
    <row r="510" customFormat="false" ht="12.75" hidden="false" customHeight="false" outlineLevel="0" collapsed="false">
      <c r="Z510" s="137"/>
    </row>
    <row r="511" customFormat="false" ht="12.75" hidden="false" customHeight="false" outlineLevel="0" collapsed="false">
      <c r="Z511" s="137"/>
    </row>
    <row r="512" customFormat="false" ht="12.75" hidden="false" customHeight="false" outlineLevel="0" collapsed="false">
      <c r="Z512" s="137"/>
    </row>
    <row r="513" customFormat="false" ht="12.75" hidden="false" customHeight="false" outlineLevel="0" collapsed="false">
      <c r="Z513" s="137"/>
    </row>
    <row r="514" customFormat="false" ht="12.75" hidden="false" customHeight="false" outlineLevel="0" collapsed="false">
      <c r="Z514" s="137"/>
    </row>
    <row r="515" customFormat="false" ht="12.75" hidden="false" customHeight="false" outlineLevel="0" collapsed="false">
      <c r="Z515" s="137"/>
    </row>
    <row r="516" customFormat="false" ht="12.75" hidden="false" customHeight="false" outlineLevel="0" collapsed="false">
      <c r="Z516" s="137"/>
    </row>
    <row r="517" customFormat="false" ht="12.75" hidden="false" customHeight="false" outlineLevel="0" collapsed="false">
      <c r="Z517" s="137"/>
    </row>
    <row r="518" customFormat="false" ht="12.75" hidden="false" customHeight="false" outlineLevel="0" collapsed="false">
      <c r="Z518" s="137"/>
    </row>
    <row r="519" customFormat="false" ht="12.75" hidden="false" customHeight="false" outlineLevel="0" collapsed="false">
      <c r="Z519" s="137"/>
    </row>
    <row r="520" customFormat="false" ht="12.75" hidden="false" customHeight="false" outlineLevel="0" collapsed="false">
      <c r="Z520" s="137"/>
    </row>
    <row r="521" customFormat="false" ht="12.75" hidden="false" customHeight="false" outlineLevel="0" collapsed="false">
      <c r="Z521" s="137"/>
    </row>
    <row r="522" customFormat="false" ht="12.75" hidden="false" customHeight="false" outlineLevel="0" collapsed="false">
      <c r="Z522" s="137"/>
    </row>
    <row r="523" customFormat="false" ht="12.75" hidden="false" customHeight="false" outlineLevel="0" collapsed="false">
      <c r="Z523" s="137"/>
    </row>
    <row r="524" customFormat="false" ht="12.75" hidden="false" customHeight="false" outlineLevel="0" collapsed="false">
      <c r="Z524" s="137"/>
    </row>
    <row r="525" customFormat="false" ht="12.75" hidden="false" customHeight="false" outlineLevel="0" collapsed="false">
      <c r="Z525" s="137"/>
    </row>
    <row r="526" customFormat="false" ht="12.75" hidden="false" customHeight="false" outlineLevel="0" collapsed="false">
      <c r="Z526" s="137"/>
    </row>
    <row r="527" customFormat="false" ht="12.75" hidden="false" customHeight="false" outlineLevel="0" collapsed="false">
      <c r="Z527" s="137"/>
    </row>
    <row r="528" customFormat="false" ht="12.75" hidden="false" customHeight="false" outlineLevel="0" collapsed="false">
      <c r="Z528" s="137"/>
    </row>
    <row r="529" customFormat="false" ht="12.75" hidden="false" customHeight="false" outlineLevel="0" collapsed="false">
      <c r="Z529" s="137"/>
    </row>
    <row r="530" customFormat="false" ht="12.75" hidden="false" customHeight="false" outlineLevel="0" collapsed="false">
      <c r="Z530" s="137"/>
    </row>
    <row r="531" customFormat="false" ht="12.75" hidden="false" customHeight="false" outlineLevel="0" collapsed="false">
      <c r="Z531" s="137"/>
    </row>
    <row r="532" customFormat="false" ht="12.75" hidden="false" customHeight="false" outlineLevel="0" collapsed="false">
      <c r="Z532" s="137"/>
    </row>
    <row r="533" customFormat="false" ht="12.75" hidden="false" customHeight="false" outlineLevel="0" collapsed="false">
      <c r="Z533" s="137"/>
    </row>
    <row r="534" customFormat="false" ht="12.75" hidden="false" customHeight="false" outlineLevel="0" collapsed="false">
      <c r="Z534" s="137"/>
    </row>
    <row r="535" customFormat="false" ht="12.75" hidden="false" customHeight="false" outlineLevel="0" collapsed="false">
      <c r="Z535" s="137"/>
    </row>
    <row r="536" customFormat="false" ht="12.75" hidden="false" customHeight="false" outlineLevel="0" collapsed="false">
      <c r="Z536" s="137"/>
    </row>
    <row r="537" customFormat="false" ht="12.75" hidden="false" customHeight="false" outlineLevel="0" collapsed="false">
      <c r="Z537" s="137"/>
    </row>
    <row r="538" customFormat="false" ht="12.75" hidden="false" customHeight="false" outlineLevel="0" collapsed="false">
      <c r="Z538" s="137"/>
    </row>
    <row r="539" customFormat="false" ht="12.75" hidden="false" customHeight="false" outlineLevel="0" collapsed="false">
      <c r="Z539" s="137"/>
    </row>
    <row r="540" customFormat="false" ht="12.75" hidden="false" customHeight="false" outlineLevel="0" collapsed="false">
      <c r="Z540" s="137"/>
    </row>
    <row r="541" customFormat="false" ht="12.75" hidden="false" customHeight="false" outlineLevel="0" collapsed="false">
      <c r="Z541" s="137"/>
    </row>
    <row r="542" customFormat="false" ht="12.75" hidden="false" customHeight="false" outlineLevel="0" collapsed="false">
      <c r="Z542" s="137"/>
    </row>
    <row r="543" customFormat="false" ht="12.75" hidden="false" customHeight="false" outlineLevel="0" collapsed="false">
      <c r="Z543" s="137"/>
    </row>
    <row r="544" customFormat="false" ht="12.75" hidden="false" customHeight="false" outlineLevel="0" collapsed="false">
      <c r="Z544" s="137"/>
    </row>
    <row r="545" customFormat="false" ht="12.75" hidden="false" customHeight="false" outlineLevel="0" collapsed="false">
      <c r="Z545" s="137"/>
    </row>
    <row r="546" customFormat="false" ht="12.75" hidden="false" customHeight="false" outlineLevel="0" collapsed="false">
      <c r="Z546" s="137"/>
    </row>
    <row r="547" customFormat="false" ht="12.75" hidden="false" customHeight="false" outlineLevel="0" collapsed="false">
      <c r="Z547" s="137"/>
    </row>
    <row r="548" customFormat="false" ht="12.75" hidden="false" customHeight="false" outlineLevel="0" collapsed="false">
      <c r="Z548" s="137"/>
    </row>
    <row r="549" customFormat="false" ht="12.75" hidden="false" customHeight="false" outlineLevel="0" collapsed="false">
      <c r="Z549" s="137"/>
    </row>
    <row r="550" customFormat="false" ht="12.75" hidden="false" customHeight="false" outlineLevel="0" collapsed="false">
      <c r="Z550" s="137"/>
    </row>
    <row r="551" customFormat="false" ht="12.75" hidden="false" customHeight="false" outlineLevel="0" collapsed="false">
      <c r="Z551" s="137"/>
    </row>
    <row r="552" customFormat="false" ht="12.75" hidden="false" customHeight="false" outlineLevel="0" collapsed="false">
      <c r="Z552" s="137"/>
    </row>
    <row r="553" customFormat="false" ht="12.75" hidden="false" customHeight="false" outlineLevel="0" collapsed="false">
      <c r="Z553" s="137"/>
    </row>
    <row r="554" customFormat="false" ht="12.75" hidden="false" customHeight="false" outlineLevel="0" collapsed="false">
      <c r="Z554" s="137"/>
    </row>
    <row r="555" customFormat="false" ht="12.75" hidden="false" customHeight="false" outlineLevel="0" collapsed="false">
      <c r="Z555" s="137"/>
    </row>
    <row r="556" customFormat="false" ht="12.75" hidden="false" customHeight="false" outlineLevel="0" collapsed="false">
      <c r="Z556" s="137"/>
    </row>
    <row r="557" customFormat="false" ht="12.75" hidden="false" customHeight="false" outlineLevel="0" collapsed="false">
      <c r="Z557" s="137"/>
    </row>
    <row r="558" customFormat="false" ht="12.75" hidden="false" customHeight="false" outlineLevel="0" collapsed="false">
      <c r="Z558" s="137"/>
    </row>
    <row r="559" customFormat="false" ht="12.75" hidden="false" customHeight="false" outlineLevel="0" collapsed="false">
      <c r="Z559" s="137"/>
    </row>
    <row r="560" customFormat="false" ht="12.75" hidden="false" customHeight="false" outlineLevel="0" collapsed="false">
      <c r="Z560" s="137"/>
    </row>
    <row r="561" customFormat="false" ht="12.75" hidden="false" customHeight="false" outlineLevel="0" collapsed="false">
      <c r="Z561" s="137"/>
    </row>
    <row r="562" customFormat="false" ht="12.75" hidden="false" customHeight="false" outlineLevel="0" collapsed="false">
      <c r="Z562" s="137"/>
    </row>
    <row r="563" customFormat="false" ht="12.75" hidden="false" customHeight="false" outlineLevel="0" collapsed="false">
      <c r="Z563" s="137"/>
    </row>
    <row r="564" customFormat="false" ht="12.75" hidden="false" customHeight="false" outlineLevel="0" collapsed="false">
      <c r="Z564" s="137"/>
    </row>
    <row r="565" customFormat="false" ht="12.75" hidden="false" customHeight="false" outlineLevel="0" collapsed="false">
      <c r="Z565" s="137"/>
    </row>
    <row r="566" customFormat="false" ht="12.75" hidden="false" customHeight="false" outlineLevel="0" collapsed="false">
      <c r="Z566" s="137"/>
    </row>
    <row r="567" customFormat="false" ht="12.75" hidden="false" customHeight="false" outlineLevel="0" collapsed="false">
      <c r="Z567" s="137"/>
    </row>
    <row r="568" customFormat="false" ht="12.75" hidden="false" customHeight="false" outlineLevel="0" collapsed="false">
      <c r="Z568" s="137"/>
    </row>
    <row r="569" customFormat="false" ht="12.75" hidden="false" customHeight="false" outlineLevel="0" collapsed="false">
      <c r="Z569" s="137"/>
    </row>
    <row r="570" customFormat="false" ht="12.75" hidden="false" customHeight="false" outlineLevel="0" collapsed="false">
      <c r="Z570" s="137"/>
    </row>
    <row r="571" customFormat="false" ht="12.75" hidden="false" customHeight="false" outlineLevel="0" collapsed="false">
      <c r="Z571" s="137"/>
    </row>
    <row r="572" customFormat="false" ht="12.75" hidden="false" customHeight="false" outlineLevel="0" collapsed="false">
      <c r="Z572" s="137"/>
    </row>
    <row r="573" customFormat="false" ht="12.75" hidden="false" customHeight="false" outlineLevel="0" collapsed="false">
      <c r="Z573" s="137"/>
    </row>
    <row r="574" customFormat="false" ht="12.75" hidden="false" customHeight="false" outlineLevel="0" collapsed="false">
      <c r="Z574" s="137"/>
    </row>
    <row r="575" customFormat="false" ht="12.75" hidden="false" customHeight="false" outlineLevel="0" collapsed="false">
      <c r="Z575" s="137"/>
    </row>
    <row r="576" customFormat="false" ht="12.75" hidden="false" customHeight="false" outlineLevel="0" collapsed="false">
      <c r="Z576" s="137"/>
    </row>
    <row r="577" customFormat="false" ht="12.75" hidden="false" customHeight="false" outlineLevel="0" collapsed="false">
      <c r="Z577" s="137"/>
    </row>
    <row r="578" customFormat="false" ht="12.75" hidden="false" customHeight="false" outlineLevel="0" collapsed="false">
      <c r="Z578" s="137"/>
    </row>
    <row r="579" customFormat="false" ht="12.75" hidden="false" customHeight="false" outlineLevel="0" collapsed="false">
      <c r="Z579" s="137"/>
    </row>
    <row r="580" customFormat="false" ht="12.75" hidden="false" customHeight="false" outlineLevel="0" collapsed="false">
      <c r="Z580" s="137"/>
    </row>
    <row r="581" customFormat="false" ht="12.75" hidden="false" customHeight="false" outlineLevel="0" collapsed="false">
      <c r="Z581" s="137"/>
    </row>
    <row r="582" customFormat="false" ht="12.75" hidden="false" customHeight="false" outlineLevel="0" collapsed="false">
      <c r="Z582" s="137"/>
    </row>
    <row r="583" customFormat="false" ht="12.75" hidden="false" customHeight="false" outlineLevel="0" collapsed="false">
      <c r="Z583" s="137"/>
    </row>
    <row r="584" customFormat="false" ht="12.75" hidden="false" customHeight="false" outlineLevel="0" collapsed="false">
      <c r="Z584" s="137"/>
    </row>
    <row r="585" customFormat="false" ht="12.75" hidden="false" customHeight="false" outlineLevel="0" collapsed="false">
      <c r="Z585" s="137"/>
    </row>
    <row r="586" customFormat="false" ht="12.75" hidden="false" customHeight="false" outlineLevel="0" collapsed="false">
      <c r="Z586" s="137"/>
    </row>
    <row r="587" customFormat="false" ht="12.75" hidden="false" customHeight="false" outlineLevel="0" collapsed="false">
      <c r="Z587" s="137"/>
    </row>
    <row r="588" customFormat="false" ht="12.75" hidden="false" customHeight="false" outlineLevel="0" collapsed="false">
      <c r="Z588" s="137"/>
    </row>
    <row r="589" customFormat="false" ht="12.75" hidden="false" customHeight="false" outlineLevel="0" collapsed="false">
      <c r="Z589" s="137"/>
    </row>
    <row r="590" customFormat="false" ht="12.75" hidden="false" customHeight="false" outlineLevel="0" collapsed="false">
      <c r="Z590" s="137"/>
    </row>
    <row r="591" customFormat="false" ht="12.75" hidden="false" customHeight="false" outlineLevel="0" collapsed="false">
      <c r="Z591" s="137"/>
    </row>
    <row r="592" customFormat="false" ht="12.75" hidden="false" customHeight="false" outlineLevel="0" collapsed="false">
      <c r="Z592" s="137"/>
    </row>
    <row r="593" customFormat="false" ht="12.75" hidden="false" customHeight="false" outlineLevel="0" collapsed="false">
      <c r="Z593" s="137"/>
    </row>
    <row r="594" customFormat="false" ht="12.75" hidden="false" customHeight="false" outlineLevel="0" collapsed="false">
      <c r="Z594" s="137"/>
    </row>
    <row r="595" customFormat="false" ht="12.75" hidden="false" customHeight="false" outlineLevel="0" collapsed="false">
      <c r="Z595" s="137"/>
    </row>
    <row r="596" customFormat="false" ht="12.75" hidden="false" customHeight="false" outlineLevel="0" collapsed="false">
      <c r="Z596" s="137"/>
    </row>
    <row r="597" customFormat="false" ht="12.75" hidden="false" customHeight="false" outlineLevel="0" collapsed="false">
      <c r="Z597" s="137"/>
    </row>
    <row r="598" customFormat="false" ht="12.75" hidden="false" customHeight="false" outlineLevel="0" collapsed="false">
      <c r="Z598" s="137"/>
    </row>
    <row r="599" customFormat="false" ht="12.75" hidden="false" customHeight="false" outlineLevel="0" collapsed="false">
      <c r="Z599" s="137"/>
    </row>
    <row r="600" customFormat="false" ht="12.75" hidden="false" customHeight="false" outlineLevel="0" collapsed="false">
      <c r="Z600" s="137"/>
    </row>
    <row r="601" customFormat="false" ht="12.75" hidden="false" customHeight="false" outlineLevel="0" collapsed="false">
      <c r="Z601" s="137"/>
    </row>
    <row r="602" customFormat="false" ht="12.75" hidden="false" customHeight="false" outlineLevel="0" collapsed="false">
      <c r="Z602" s="137"/>
    </row>
    <row r="603" customFormat="false" ht="12.75" hidden="false" customHeight="false" outlineLevel="0" collapsed="false">
      <c r="Z603" s="137"/>
    </row>
    <row r="604" customFormat="false" ht="12.75" hidden="false" customHeight="false" outlineLevel="0" collapsed="false">
      <c r="Z604" s="137"/>
    </row>
    <row r="605" customFormat="false" ht="12.75" hidden="false" customHeight="false" outlineLevel="0" collapsed="false">
      <c r="Z605" s="137"/>
    </row>
    <row r="606" customFormat="false" ht="12.75" hidden="false" customHeight="false" outlineLevel="0" collapsed="false">
      <c r="Z606" s="137"/>
    </row>
    <row r="607" customFormat="false" ht="12.75" hidden="false" customHeight="false" outlineLevel="0" collapsed="false">
      <c r="Z607" s="137"/>
    </row>
    <row r="608" customFormat="false" ht="12.75" hidden="false" customHeight="false" outlineLevel="0" collapsed="false">
      <c r="Z608" s="137"/>
    </row>
    <row r="609" customFormat="false" ht="12.75" hidden="false" customHeight="false" outlineLevel="0" collapsed="false">
      <c r="Z609" s="137"/>
    </row>
    <row r="610" customFormat="false" ht="12.75" hidden="false" customHeight="false" outlineLevel="0" collapsed="false">
      <c r="Z610" s="137"/>
    </row>
    <row r="611" customFormat="false" ht="12.75" hidden="false" customHeight="false" outlineLevel="0" collapsed="false">
      <c r="Z611" s="137"/>
    </row>
    <row r="612" customFormat="false" ht="12.75" hidden="false" customHeight="false" outlineLevel="0" collapsed="false">
      <c r="Z612" s="137"/>
    </row>
    <row r="613" customFormat="false" ht="12.75" hidden="false" customHeight="false" outlineLevel="0" collapsed="false">
      <c r="Z613" s="137"/>
    </row>
    <row r="614" customFormat="false" ht="12.75" hidden="false" customHeight="false" outlineLevel="0" collapsed="false">
      <c r="Z614" s="137"/>
    </row>
    <row r="615" customFormat="false" ht="12.75" hidden="false" customHeight="false" outlineLevel="0" collapsed="false">
      <c r="Z615" s="137"/>
    </row>
    <row r="616" customFormat="false" ht="12.75" hidden="false" customHeight="false" outlineLevel="0" collapsed="false">
      <c r="Z616" s="137"/>
    </row>
    <row r="617" customFormat="false" ht="12.75" hidden="false" customHeight="false" outlineLevel="0" collapsed="false">
      <c r="Z617" s="137"/>
    </row>
    <row r="618" customFormat="false" ht="12.75" hidden="false" customHeight="false" outlineLevel="0" collapsed="false">
      <c r="Z618" s="137"/>
    </row>
    <row r="619" customFormat="false" ht="12.75" hidden="false" customHeight="false" outlineLevel="0" collapsed="false">
      <c r="Z619" s="137"/>
    </row>
    <row r="620" customFormat="false" ht="12.75" hidden="false" customHeight="false" outlineLevel="0" collapsed="false">
      <c r="Z620" s="137"/>
    </row>
    <row r="621" customFormat="false" ht="12.75" hidden="false" customHeight="false" outlineLevel="0" collapsed="false">
      <c r="Z621" s="137"/>
    </row>
    <row r="622" customFormat="false" ht="12.75" hidden="false" customHeight="false" outlineLevel="0" collapsed="false">
      <c r="Z622" s="137"/>
    </row>
    <row r="623" customFormat="false" ht="12.75" hidden="false" customHeight="false" outlineLevel="0" collapsed="false">
      <c r="Z623" s="137"/>
    </row>
    <row r="624" customFormat="false" ht="12.75" hidden="false" customHeight="false" outlineLevel="0" collapsed="false">
      <c r="Z624" s="137"/>
    </row>
    <row r="625" customFormat="false" ht="12.75" hidden="false" customHeight="false" outlineLevel="0" collapsed="false">
      <c r="Z625" s="137"/>
    </row>
    <row r="626" customFormat="false" ht="12.75" hidden="false" customHeight="false" outlineLevel="0" collapsed="false">
      <c r="Z626" s="137"/>
    </row>
    <row r="627" customFormat="false" ht="12.75" hidden="false" customHeight="false" outlineLevel="0" collapsed="false">
      <c r="Z627" s="137"/>
    </row>
    <row r="628" customFormat="false" ht="12.75" hidden="false" customHeight="false" outlineLevel="0" collapsed="false">
      <c r="Z628" s="137"/>
    </row>
    <row r="629" customFormat="false" ht="12.75" hidden="false" customHeight="false" outlineLevel="0" collapsed="false">
      <c r="Z629" s="137"/>
    </row>
    <row r="630" customFormat="false" ht="12.75" hidden="false" customHeight="false" outlineLevel="0" collapsed="false">
      <c r="Z630" s="137"/>
    </row>
    <row r="631" customFormat="false" ht="12.75" hidden="false" customHeight="false" outlineLevel="0" collapsed="false">
      <c r="Z631" s="137"/>
    </row>
    <row r="632" customFormat="false" ht="12.75" hidden="false" customHeight="false" outlineLevel="0" collapsed="false">
      <c r="Z632" s="137"/>
    </row>
    <row r="633" customFormat="false" ht="12.75" hidden="false" customHeight="false" outlineLevel="0" collapsed="false">
      <c r="Z633" s="137"/>
    </row>
    <row r="634" customFormat="false" ht="12.75" hidden="false" customHeight="false" outlineLevel="0" collapsed="false">
      <c r="Z634" s="137"/>
    </row>
    <row r="635" customFormat="false" ht="12.75" hidden="false" customHeight="false" outlineLevel="0" collapsed="false">
      <c r="Z635" s="137"/>
    </row>
    <row r="636" customFormat="false" ht="12.75" hidden="false" customHeight="false" outlineLevel="0" collapsed="false">
      <c r="Z636" s="137"/>
    </row>
    <row r="637" customFormat="false" ht="12.75" hidden="false" customHeight="false" outlineLevel="0" collapsed="false">
      <c r="Z637" s="137"/>
    </row>
    <row r="638" customFormat="false" ht="12.75" hidden="false" customHeight="false" outlineLevel="0" collapsed="false">
      <c r="Z638" s="137"/>
    </row>
    <row r="639" customFormat="false" ht="12.75" hidden="false" customHeight="false" outlineLevel="0" collapsed="false">
      <c r="Z639" s="137"/>
    </row>
    <row r="640" customFormat="false" ht="12.75" hidden="false" customHeight="false" outlineLevel="0" collapsed="false">
      <c r="Z640" s="137"/>
    </row>
    <row r="641" customFormat="false" ht="12.75" hidden="false" customHeight="false" outlineLevel="0" collapsed="false">
      <c r="Z641" s="137"/>
    </row>
    <row r="642" customFormat="false" ht="12.75" hidden="false" customHeight="false" outlineLevel="0" collapsed="false">
      <c r="Z642" s="137"/>
    </row>
    <row r="643" customFormat="false" ht="12.75" hidden="false" customHeight="false" outlineLevel="0" collapsed="false">
      <c r="Z643" s="137"/>
    </row>
    <row r="644" customFormat="false" ht="12.75" hidden="false" customHeight="false" outlineLevel="0" collapsed="false">
      <c r="Z644" s="137"/>
    </row>
    <row r="645" customFormat="false" ht="12.75" hidden="false" customHeight="false" outlineLevel="0" collapsed="false">
      <c r="Z645" s="137"/>
    </row>
    <row r="646" customFormat="false" ht="12.75" hidden="false" customHeight="false" outlineLevel="0" collapsed="false">
      <c r="Z646" s="137"/>
    </row>
    <row r="647" customFormat="false" ht="12.75" hidden="false" customHeight="false" outlineLevel="0" collapsed="false">
      <c r="Z647" s="137"/>
    </row>
    <row r="648" customFormat="false" ht="12.75" hidden="false" customHeight="false" outlineLevel="0" collapsed="false">
      <c r="Z648" s="137"/>
    </row>
    <row r="649" customFormat="false" ht="12.75" hidden="false" customHeight="false" outlineLevel="0" collapsed="false">
      <c r="Z649" s="137"/>
    </row>
    <row r="650" customFormat="false" ht="12.75" hidden="false" customHeight="false" outlineLevel="0" collapsed="false">
      <c r="Z650" s="137"/>
    </row>
    <row r="651" customFormat="false" ht="12.75" hidden="false" customHeight="false" outlineLevel="0" collapsed="false">
      <c r="Z651" s="137"/>
    </row>
    <row r="652" customFormat="false" ht="12.75" hidden="false" customHeight="false" outlineLevel="0" collapsed="false">
      <c r="Z652" s="137"/>
    </row>
    <row r="653" customFormat="false" ht="12.75" hidden="false" customHeight="false" outlineLevel="0" collapsed="false">
      <c r="Z653" s="137"/>
    </row>
    <row r="654" customFormat="false" ht="12.75" hidden="false" customHeight="false" outlineLevel="0" collapsed="false">
      <c r="Z654" s="137"/>
    </row>
    <row r="655" customFormat="false" ht="12.75" hidden="false" customHeight="false" outlineLevel="0" collapsed="false">
      <c r="Z655" s="137"/>
    </row>
    <row r="656" customFormat="false" ht="12.75" hidden="false" customHeight="false" outlineLevel="0" collapsed="false">
      <c r="Z656" s="137"/>
    </row>
    <row r="657" customFormat="false" ht="12.75" hidden="false" customHeight="false" outlineLevel="0" collapsed="false">
      <c r="Z657" s="137"/>
    </row>
    <row r="658" customFormat="false" ht="12.75" hidden="false" customHeight="false" outlineLevel="0" collapsed="false">
      <c r="Z658" s="137"/>
    </row>
    <row r="659" customFormat="false" ht="12.75" hidden="false" customHeight="false" outlineLevel="0" collapsed="false">
      <c r="Z659" s="137"/>
    </row>
    <row r="660" customFormat="false" ht="12.75" hidden="false" customHeight="false" outlineLevel="0" collapsed="false">
      <c r="Z660" s="137"/>
    </row>
    <row r="661" customFormat="false" ht="12.75" hidden="false" customHeight="false" outlineLevel="0" collapsed="false">
      <c r="Z661" s="137"/>
    </row>
    <row r="662" customFormat="false" ht="12.75" hidden="false" customHeight="false" outlineLevel="0" collapsed="false">
      <c r="Z662" s="137"/>
    </row>
    <row r="663" customFormat="false" ht="12.75" hidden="false" customHeight="false" outlineLevel="0" collapsed="false">
      <c r="Z663" s="137"/>
    </row>
    <row r="664" customFormat="false" ht="12.75" hidden="false" customHeight="false" outlineLevel="0" collapsed="false">
      <c r="Z664" s="137"/>
    </row>
    <row r="665" customFormat="false" ht="12.75" hidden="false" customHeight="false" outlineLevel="0" collapsed="false">
      <c r="Z665" s="137"/>
    </row>
    <row r="666" customFormat="false" ht="12.75" hidden="false" customHeight="false" outlineLevel="0" collapsed="false">
      <c r="Z666" s="137"/>
    </row>
    <row r="667" customFormat="false" ht="12.75" hidden="false" customHeight="false" outlineLevel="0" collapsed="false">
      <c r="Z667" s="137"/>
    </row>
    <row r="668" customFormat="false" ht="12.75" hidden="false" customHeight="false" outlineLevel="0" collapsed="false">
      <c r="Z668" s="137"/>
    </row>
    <row r="669" customFormat="false" ht="12.75" hidden="false" customHeight="false" outlineLevel="0" collapsed="false">
      <c r="Z669" s="137"/>
    </row>
    <row r="670" customFormat="false" ht="12.75" hidden="false" customHeight="false" outlineLevel="0" collapsed="false">
      <c r="Z670" s="137"/>
    </row>
    <row r="671" customFormat="false" ht="12.75" hidden="false" customHeight="false" outlineLevel="0" collapsed="false">
      <c r="Z671" s="137"/>
    </row>
    <row r="672" customFormat="false" ht="12.75" hidden="false" customHeight="false" outlineLevel="0" collapsed="false">
      <c r="Z672" s="137"/>
    </row>
    <row r="673" customFormat="false" ht="12.75" hidden="false" customHeight="false" outlineLevel="0" collapsed="false">
      <c r="Z673" s="137"/>
    </row>
    <row r="674" customFormat="false" ht="12.75" hidden="false" customHeight="false" outlineLevel="0" collapsed="false">
      <c r="Z674" s="137"/>
    </row>
    <row r="675" customFormat="false" ht="12.75" hidden="false" customHeight="false" outlineLevel="0" collapsed="false">
      <c r="Z675" s="137"/>
    </row>
    <row r="676" customFormat="false" ht="12.75" hidden="false" customHeight="false" outlineLevel="0" collapsed="false">
      <c r="Z676" s="137"/>
    </row>
    <row r="677" customFormat="false" ht="12.75" hidden="false" customHeight="false" outlineLevel="0" collapsed="false">
      <c r="Z677" s="137"/>
    </row>
    <row r="678" customFormat="false" ht="12.75" hidden="false" customHeight="false" outlineLevel="0" collapsed="false">
      <c r="Z678" s="137"/>
    </row>
    <row r="679" customFormat="false" ht="12.75" hidden="false" customHeight="false" outlineLevel="0" collapsed="false">
      <c r="Z679" s="137"/>
    </row>
    <row r="680" customFormat="false" ht="12.75" hidden="false" customHeight="false" outlineLevel="0" collapsed="false">
      <c r="Z680" s="137"/>
    </row>
    <row r="681" customFormat="false" ht="12.75" hidden="false" customHeight="false" outlineLevel="0" collapsed="false">
      <c r="Z681" s="137"/>
    </row>
    <row r="682" customFormat="false" ht="12.75" hidden="false" customHeight="false" outlineLevel="0" collapsed="false">
      <c r="Z682" s="137"/>
    </row>
    <row r="683" customFormat="false" ht="12.75" hidden="false" customHeight="false" outlineLevel="0" collapsed="false">
      <c r="Z683" s="137"/>
    </row>
    <row r="684" customFormat="false" ht="12.75" hidden="false" customHeight="false" outlineLevel="0" collapsed="false">
      <c r="Z684" s="137"/>
    </row>
    <row r="685" customFormat="false" ht="12.75" hidden="false" customHeight="false" outlineLevel="0" collapsed="false">
      <c r="Z685" s="137"/>
    </row>
    <row r="686" customFormat="false" ht="12.75" hidden="false" customHeight="false" outlineLevel="0" collapsed="false">
      <c r="Z686" s="137"/>
    </row>
    <row r="687" customFormat="false" ht="12.75" hidden="false" customHeight="false" outlineLevel="0" collapsed="false">
      <c r="Z687" s="137"/>
    </row>
    <row r="688" customFormat="false" ht="12.75" hidden="false" customHeight="false" outlineLevel="0" collapsed="false">
      <c r="Z688" s="137"/>
    </row>
    <row r="689" customFormat="false" ht="12.75" hidden="false" customHeight="false" outlineLevel="0" collapsed="false">
      <c r="Z689" s="137"/>
    </row>
    <row r="690" customFormat="false" ht="12.75" hidden="false" customHeight="false" outlineLevel="0" collapsed="false">
      <c r="Z690" s="137"/>
    </row>
    <row r="691" customFormat="false" ht="12.75" hidden="false" customHeight="false" outlineLevel="0" collapsed="false">
      <c r="Z691" s="137"/>
    </row>
    <row r="692" customFormat="false" ht="12.75" hidden="false" customHeight="false" outlineLevel="0" collapsed="false">
      <c r="Z692" s="137"/>
    </row>
    <row r="693" customFormat="false" ht="12.75" hidden="false" customHeight="false" outlineLevel="0" collapsed="false">
      <c r="Z693" s="137"/>
    </row>
    <row r="694" customFormat="false" ht="12.75" hidden="false" customHeight="false" outlineLevel="0" collapsed="false">
      <c r="Z694" s="137"/>
    </row>
    <row r="695" customFormat="false" ht="12.75" hidden="false" customHeight="false" outlineLevel="0" collapsed="false">
      <c r="Z695" s="137"/>
    </row>
    <row r="696" customFormat="false" ht="12.75" hidden="false" customHeight="false" outlineLevel="0" collapsed="false">
      <c r="Z696" s="137"/>
    </row>
    <row r="697" customFormat="false" ht="12.75" hidden="false" customHeight="false" outlineLevel="0" collapsed="false">
      <c r="Z697" s="137"/>
    </row>
    <row r="698" customFormat="false" ht="12.75" hidden="false" customHeight="false" outlineLevel="0" collapsed="false">
      <c r="Z698" s="137"/>
    </row>
    <row r="699" customFormat="false" ht="12.75" hidden="false" customHeight="false" outlineLevel="0" collapsed="false">
      <c r="Z699" s="137"/>
    </row>
    <row r="700" customFormat="false" ht="12.75" hidden="false" customHeight="false" outlineLevel="0" collapsed="false">
      <c r="Z700" s="137"/>
    </row>
    <row r="701" customFormat="false" ht="12.75" hidden="false" customHeight="false" outlineLevel="0" collapsed="false">
      <c r="Z701" s="137"/>
    </row>
    <row r="702" customFormat="false" ht="12.75" hidden="false" customHeight="false" outlineLevel="0" collapsed="false">
      <c r="Z702" s="137"/>
    </row>
    <row r="703" customFormat="false" ht="12.75" hidden="false" customHeight="false" outlineLevel="0" collapsed="false">
      <c r="Z703" s="137"/>
    </row>
    <row r="704" customFormat="false" ht="12.75" hidden="false" customHeight="false" outlineLevel="0" collapsed="false">
      <c r="Z704" s="137"/>
    </row>
    <row r="705" customFormat="false" ht="12.75" hidden="false" customHeight="false" outlineLevel="0" collapsed="false">
      <c r="Z705" s="137"/>
    </row>
    <row r="706" customFormat="false" ht="12.75" hidden="false" customHeight="false" outlineLevel="0" collapsed="false">
      <c r="Z706" s="137"/>
    </row>
    <row r="707" customFormat="false" ht="12.75" hidden="false" customHeight="false" outlineLevel="0" collapsed="false">
      <c r="Z707" s="137"/>
    </row>
    <row r="708" customFormat="false" ht="12.75" hidden="false" customHeight="false" outlineLevel="0" collapsed="false">
      <c r="Z708" s="137"/>
    </row>
    <row r="709" customFormat="false" ht="12.75" hidden="false" customHeight="false" outlineLevel="0" collapsed="false">
      <c r="Z709" s="137"/>
    </row>
    <row r="710" customFormat="false" ht="12.75" hidden="false" customHeight="false" outlineLevel="0" collapsed="false">
      <c r="Z710" s="137"/>
    </row>
    <row r="711" customFormat="false" ht="12.75" hidden="false" customHeight="false" outlineLevel="0" collapsed="false">
      <c r="Z711" s="137"/>
    </row>
    <row r="712" customFormat="false" ht="12.75" hidden="false" customHeight="false" outlineLevel="0" collapsed="false">
      <c r="Z712" s="137"/>
    </row>
    <row r="713" customFormat="false" ht="12.75" hidden="false" customHeight="false" outlineLevel="0" collapsed="false">
      <c r="Z713" s="137"/>
    </row>
    <row r="714" customFormat="false" ht="12.75" hidden="false" customHeight="false" outlineLevel="0" collapsed="false">
      <c r="Z714" s="137"/>
    </row>
    <row r="715" customFormat="false" ht="12.75" hidden="false" customHeight="false" outlineLevel="0" collapsed="false">
      <c r="Z715" s="137"/>
    </row>
    <row r="716" customFormat="false" ht="12.75" hidden="false" customHeight="false" outlineLevel="0" collapsed="false">
      <c r="Z716" s="137"/>
    </row>
    <row r="717" customFormat="false" ht="12.75" hidden="false" customHeight="false" outlineLevel="0" collapsed="false">
      <c r="Z717" s="137"/>
    </row>
    <row r="718" customFormat="false" ht="12.75" hidden="false" customHeight="false" outlineLevel="0" collapsed="false">
      <c r="Z718" s="137"/>
    </row>
    <row r="719" customFormat="false" ht="12.75" hidden="false" customHeight="false" outlineLevel="0" collapsed="false">
      <c r="Z719" s="137"/>
    </row>
    <row r="720" customFormat="false" ht="12.75" hidden="false" customHeight="false" outlineLevel="0" collapsed="false">
      <c r="Z720" s="137"/>
    </row>
    <row r="721" customFormat="false" ht="12.75" hidden="false" customHeight="false" outlineLevel="0" collapsed="false">
      <c r="Z721" s="137"/>
    </row>
    <row r="722" customFormat="false" ht="12.75" hidden="false" customHeight="false" outlineLevel="0" collapsed="false">
      <c r="Z722" s="137"/>
    </row>
    <row r="723" customFormat="false" ht="12.75" hidden="false" customHeight="false" outlineLevel="0" collapsed="false">
      <c r="Z723" s="137"/>
    </row>
    <row r="724" customFormat="false" ht="12.75" hidden="false" customHeight="false" outlineLevel="0" collapsed="false">
      <c r="Z724" s="137"/>
    </row>
    <row r="725" customFormat="false" ht="12.75" hidden="false" customHeight="false" outlineLevel="0" collapsed="false">
      <c r="Z725" s="137"/>
    </row>
    <row r="726" customFormat="false" ht="12.75" hidden="false" customHeight="false" outlineLevel="0" collapsed="false">
      <c r="Z726" s="137"/>
    </row>
    <row r="727" customFormat="false" ht="12.75" hidden="false" customHeight="false" outlineLevel="0" collapsed="false">
      <c r="Z727" s="137"/>
    </row>
    <row r="728" customFormat="false" ht="12.75" hidden="false" customHeight="false" outlineLevel="0" collapsed="false">
      <c r="Z728" s="137"/>
    </row>
    <row r="729" customFormat="false" ht="12.75" hidden="false" customHeight="false" outlineLevel="0" collapsed="false">
      <c r="Z729" s="137"/>
    </row>
    <row r="730" customFormat="false" ht="12.75" hidden="false" customHeight="false" outlineLevel="0" collapsed="false">
      <c r="Z730" s="137"/>
    </row>
    <row r="731" customFormat="false" ht="12.75" hidden="false" customHeight="false" outlineLevel="0" collapsed="false">
      <c r="Z731" s="137"/>
    </row>
    <row r="732" customFormat="false" ht="12.75" hidden="false" customHeight="false" outlineLevel="0" collapsed="false">
      <c r="Z732" s="137"/>
    </row>
    <row r="733" customFormat="false" ht="12.75" hidden="false" customHeight="false" outlineLevel="0" collapsed="false">
      <c r="Z733" s="137"/>
    </row>
    <row r="734" customFormat="false" ht="12.75" hidden="false" customHeight="false" outlineLevel="0" collapsed="false">
      <c r="Z734" s="137"/>
    </row>
    <row r="735" customFormat="false" ht="12.75" hidden="false" customHeight="false" outlineLevel="0" collapsed="false">
      <c r="Z735" s="137"/>
    </row>
    <row r="736" customFormat="false" ht="12.75" hidden="false" customHeight="false" outlineLevel="0" collapsed="false">
      <c r="Z736" s="137"/>
    </row>
    <row r="737" customFormat="false" ht="12.75" hidden="false" customHeight="false" outlineLevel="0" collapsed="false">
      <c r="Z737" s="137"/>
    </row>
    <row r="738" customFormat="false" ht="12.75" hidden="false" customHeight="false" outlineLevel="0" collapsed="false">
      <c r="Z738" s="137"/>
    </row>
    <row r="739" customFormat="false" ht="12.75" hidden="false" customHeight="false" outlineLevel="0" collapsed="false">
      <c r="Z739" s="137"/>
    </row>
    <row r="740" customFormat="false" ht="12.75" hidden="false" customHeight="false" outlineLevel="0" collapsed="false">
      <c r="Z740" s="137"/>
    </row>
    <row r="741" customFormat="false" ht="12.75" hidden="false" customHeight="false" outlineLevel="0" collapsed="false">
      <c r="Z741" s="137"/>
    </row>
    <row r="742" customFormat="false" ht="12.75" hidden="false" customHeight="false" outlineLevel="0" collapsed="false">
      <c r="Z742" s="137"/>
    </row>
    <row r="743" customFormat="false" ht="12.75" hidden="false" customHeight="false" outlineLevel="0" collapsed="false">
      <c r="Z743" s="137"/>
    </row>
    <row r="744" customFormat="false" ht="12.75" hidden="false" customHeight="false" outlineLevel="0" collapsed="false">
      <c r="Z744" s="137"/>
    </row>
    <row r="745" customFormat="false" ht="12.75" hidden="false" customHeight="false" outlineLevel="0" collapsed="false">
      <c r="Z745" s="137"/>
    </row>
    <row r="746" customFormat="false" ht="12.75" hidden="false" customHeight="false" outlineLevel="0" collapsed="false">
      <c r="Z746" s="137"/>
    </row>
    <row r="747" customFormat="false" ht="12.75" hidden="false" customHeight="false" outlineLevel="0" collapsed="false">
      <c r="Z747" s="137"/>
    </row>
    <row r="748" customFormat="false" ht="12.75" hidden="false" customHeight="false" outlineLevel="0" collapsed="false">
      <c r="Z748" s="137"/>
    </row>
    <row r="749" customFormat="false" ht="12.75" hidden="false" customHeight="false" outlineLevel="0" collapsed="false">
      <c r="Z749" s="137"/>
    </row>
    <row r="750" customFormat="false" ht="12.75" hidden="false" customHeight="false" outlineLevel="0" collapsed="false">
      <c r="Z750" s="137"/>
    </row>
    <row r="751" customFormat="false" ht="12.75" hidden="false" customHeight="false" outlineLevel="0" collapsed="false">
      <c r="Z751" s="137"/>
    </row>
    <row r="752" customFormat="false" ht="12.75" hidden="false" customHeight="false" outlineLevel="0" collapsed="false">
      <c r="Z752" s="137"/>
    </row>
    <row r="753" customFormat="false" ht="12.75" hidden="false" customHeight="false" outlineLevel="0" collapsed="false">
      <c r="Z753" s="137"/>
    </row>
    <row r="754" customFormat="false" ht="12.75" hidden="false" customHeight="false" outlineLevel="0" collapsed="false">
      <c r="Z754" s="137"/>
    </row>
    <row r="755" customFormat="false" ht="12.75" hidden="false" customHeight="false" outlineLevel="0" collapsed="false">
      <c r="Z755" s="137"/>
    </row>
    <row r="756" customFormat="false" ht="12.75" hidden="false" customHeight="false" outlineLevel="0" collapsed="false">
      <c r="Z756" s="137"/>
    </row>
    <row r="757" customFormat="false" ht="12.75" hidden="false" customHeight="false" outlineLevel="0" collapsed="false">
      <c r="Z757" s="137"/>
    </row>
    <row r="758" customFormat="false" ht="12.75" hidden="false" customHeight="false" outlineLevel="0" collapsed="false">
      <c r="Z758" s="137"/>
    </row>
    <row r="759" customFormat="false" ht="12.75" hidden="false" customHeight="false" outlineLevel="0" collapsed="false">
      <c r="Z759" s="137"/>
    </row>
    <row r="760" customFormat="false" ht="12.75" hidden="false" customHeight="false" outlineLevel="0" collapsed="false">
      <c r="Z760" s="137"/>
    </row>
    <row r="761" customFormat="false" ht="12.75" hidden="false" customHeight="false" outlineLevel="0" collapsed="false">
      <c r="Z761" s="137"/>
    </row>
    <row r="762" customFormat="false" ht="12.75" hidden="false" customHeight="false" outlineLevel="0" collapsed="false">
      <c r="Z762" s="137"/>
    </row>
    <row r="763" customFormat="false" ht="12.75" hidden="false" customHeight="false" outlineLevel="0" collapsed="false">
      <c r="Z763" s="137"/>
    </row>
    <row r="764" customFormat="false" ht="12.75" hidden="false" customHeight="false" outlineLevel="0" collapsed="false">
      <c r="Z764" s="137"/>
    </row>
    <row r="765" customFormat="false" ht="12.75" hidden="false" customHeight="false" outlineLevel="0" collapsed="false">
      <c r="Z765" s="137"/>
    </row>
    <row r="766" customFormat="false" ht="12.75" hidden="false" customHeight="false" outlineLevel="0" collapsed="false">
      <c r="Z766" s="137"/>
    </row>
    <row r="767" customFormat="false" ht="12.75" hidden="false" customHeight="false" outlineLevel="0" collapsed="false">
      <c r="Z767" s="137"/>
    </row>
    <row r="768" customFormat="false" ht="12.75" hidden="false" customHeight="false" outlineLevel="0" collapsed="false">
      <c r="Z768" s="137"/>
    </row>
    <row r="769" customFormat="false" ht="12.75" hidden="false" customHeight="false" outlineLevel="0" collapsed="false">
      <c r="Z769" s="137"/>
    </row>
    <row r="770" customFormat="false" ht="12.75" hidden="false" customHeight="false" outlineLevel="0" collapsed="false">
      <c r="Z770" s="137"/>
    </row>
    <row r="771" customFormat="false" ht="12.75" hidden="false" customHeight="false" outlineLevel="0" collapsed="false">
      <c r="Z771" s="137"/>
    </row>
    <row r="772" customFormat="false" ht="12.75" hidden="false" customHeight="false" outlineLevel="0" collapsed="false">
      <c r="Z772" s="137"/>
    </row>
    <row r="773" customFormat="false" ht="12.75" hidden="false" customHeight="false" outlineLevel="0" collapsed="false">
      <c r="Z773" s="137"/>
    </row>
    <row r="774" customFormat="false" ht="12.75" hidden="false" customHeight="false" outlineLevel="0" collapsed="false">
      <c r="Z774" s="137"/>
    </row>
    <row r="775" customFormat="false" ht="12.75" hidden="false" customHeight="false" outlineLevel="0" collapsed="false">
      <c r="Z775" s="137"/>
    </row>
    <row r="776" customFormat="false" ht="12.75" hidden="false" customHeight="false" outlineLevel="0" collapsed="false">
      <c r="Z776" s="137"/>
    </row>
    <row r="777" customFormat="false" ht="12.75" hidden="false" customHeight="false" outlineLevel="0" collapsed="false">
      <c r="Z777" s="137"/>
    </row>
    <row r="778" customFormat="false" ht="12.75" hidden="false" customHeight="false" outlineLevel="0" collapsed="false">
      <c r="Z778" s="137"/>
    </row>
    <row r="779" customFormat="false" ht="12.75" hidden="false" customHeight="false" outlineLevel="0" collapsed="false">
      <c r="Z779" s="137"/>
    </row>
    <row r="780" customFormat="false" ht="12.75" hidden="false" customHeight="false" outlineLevel="0" collapsed="false">
      <c r="Z780" s="137"/>
    </row>
    <row r="781" customFormat="false" ht="12.75" hidden="false" customHeight="false" outlineLevel="0" collapsed="false">
      <c r="Z781" s="137"/>
    </row>
    <row r="782" customFormat="false" ht="12.75" hidden="false" customHeight="false" outlineLevel="0" collapsed="false">
      <c r="Z782" s="137"/>
    </row>
    <row r="783" customFormat="false" ht="12.75" hidden="false" customHeight="false" outlineLevel="0" collapsed="false">
      <c r="Z783" s="137"/>
    </row>
    <row r="784" customFormat="false" ht="12.75" hidden="false" customHeight="false" outlineLevel="0" collapsed="false">
      <c r="Z784" s="137"/>
    </row>
    <row r="785" customFormat="false" ht="12.75" hidden="false" customHeight="false" outlineLevel="0" collapsed="false">
      <c r="Z785" s="137"/>
    </row>
    <row r="786" customFormat="false" ht="12.75" hidden="false" customHeight="false" outlineLevel="0" collapsed="false">
      <c r="Z786" s="137"/>
    </row>
    <row r="787" customFormat="false" ht="12.75" hidden="false" customHeight="false" outlineLevel="0" collapsed="false">
      <c r="Z787" s="137"/>
    </row>
    <row r="788" customFormat="false" ht="12.75" hidden="false" customHeight="false" outlineLevel="0" collapsed="false">
      <c r="Z788" s="137"/>
    </row>
    <row r="789" customFormat="false" ht="12.75" hidden="false" customHeight="false" outlineLevel="0" collapsed="false">
      <c r="Z789" s="137"/>
    </row>
    <row r="790" customFormat="false" ht="12.75" hidden="false" customHeight="false" outlineLevel="0" collapsed="false">
      <c r="Z790" s="137"/>
    </row>
    <row r="791" customFormat="false" ht="12.75" hidden="false" customHeight="false" outlineLevel="0" collapsed="false">
      <c r="Z791" s="137"/>
    </row>
    <row r="792" customFormat="false" ht="12.75" hidden="false" customHeight="false" outlineLevel="0" collapsed="false">
      <c r="Z792" s="137"/>
    </row>
    <row r="793" customFormat="false" ht="12.75" hidden="false" customHeight="false" outlineLevel="0" collapsed="false">
      <c r="Z793" s="137"/>
    </row>
    <row r="794" customFormat="false" ht="12.75" hidden="false" customHeight="false" outlineLevel="0" collapsed="false">
      <c r="Z794" s="137"/>
    </row>
    <row r="795" customFormat="false" ht="12.75" hidden="false" customHeight="false" outlineLevel="0" collapsed="false">
      <c r="Z795" s="137"/>
    </row>
    <row r="796" customFormat="false" ht="12.75" hidden="false" customHeight="false" outlineLevel="0" collapsed="false">
      <c r="Z796" s="137"/>
    </row>
    <row r="797" customFormat="false" ht="12.75" hidden="false" customHeight="false" outlineLevel="0" collapsed="false">
      <c r="Z797" s="137"/>
    </row>
    <row r="798" customFormat="false" ht="12.75" hidden="false" customHeight="false" outlineLevel="0" collapsed="false">
      <c r="Z798" s="137"/>
    </row>
    <row r="799" customFormat="false" ht="12.75" hidden="false" customHeight="false" outlineLevel="0" collapsed="false">
      <c r="Z799" s="137"/>
    </row>
    <row r="800" customFormat="false" ht="12.75" hidden="false" customHeight="false" outlineLevel="0" collapsed="false">
      <c r="Z800" s="137"/>
    </row>
    <row r="801" customFormat="false" ht="12.75" hidden="false" customHeight="false" outlineLevel="0" collapsed="false">
      <c r="Z801" s="137"/>
    </row>
    <row r="802" customFormat="false" ht="12.75" hidden="false" customHeight="false" outlineLevel="0" collapsed="false">
      <c r="Z802" s="137"/>
    </row>
    <row r="803" customFormat="false" ht="12.75" hidden="false" customHeight="false" outlineLevel="0" collapsed="false">
      <c r="Z803" s="137"/>
    </row>
    <row r="804" customFormat="false" ht="12.75" hidden="false" customHeight="false" outlineLevel="0" collapsed="false">
      <c r="Z804" s="137"/>
    </row>
    <row r="805" customFormat="false" ht="12.75" hidden="false" customHeight="false" outlineLevel="0" collapsed="false">
      <c r="Z805" s="137"/>
    </row>
    <row r="806" customFormat="false" ht="12.75" hidden="false" customHeight="false" outlineLevel="0" collapsed="false">
      <c r="Z806" s="137"/>
    </row>
    <row r="807" customFormat="false" ht="12.75" hidden="false" customHeight="false" outlineLevel="0" collapsed="false">
      <c r="Z807" s="137"/>
    </row>
    <row r="808" customFormat="false" ht="12.75" hidden="false" customHeight="false" outlineLevel="0" collapsed="false">
      <c r="Z808" s="137"/>
    </row>
    <row r="809" customFormat="false" ht="12.75" hidden="false" customHeight="false" outlineLevel="0" collapsed="false">
      <c r="Z809" s="137"/>
    </row>
    <row r="810" customFormat="false" ht="12.75" hidden="false" customHeight="false" outlineLevel="0" collapsed="false">
      <c r="Z810" s="137"/>
    </row>
    <row r="811" customFormat="false" ht="12.75" hidden="false" customHeight="false" outlineLevel="0" collapsed="false">
      <c r="Z811" s="137"/>
    </row>
    <row r="812" customFormat="false" ht="12.75" hidden="false" customHeight="false" outlineLevel="0" collapsed="false">
      <c r="Z812" s="137"/>
    </row>
    <row r="813" customFormat="false" ht="12.75" hidden="false" customHeight="false" outlineLevel="0" collapsed="false">
      <c r="Z813" s="137"/>
    </row>
    <row r="814" customFormat="false" ht="12.75" hidden="false" customHeight="false" outlineLevel="0" collapsed="false">
      <c r="Z814" s="137"/>
    </row>
    <row r="815" customFormat="false" ht="12.75" hidden="false" customHeight="false" outlineLevel="0" collapsed="false">
      <c r="Z815" s="137"/>
    </row>
    <row r="816" customFormat="false" ht="12.75" hidden="false" customHeight="false" outlineLevel="0" collapsed="false">
      <c r="Z816" s="137"/>
    </row>
    <row r="817" customFormat="false" ht="12.75" hidden="false" customHeight="false" outlineLevel="0" collapsed="false">
      <c r="Z817" s="137"/>
    </row>
    <row r="818" customFormat="false" ht="12.75" hidden="false" customHeight="false" outlineLevel="0" collapsed="false">
      <c r="Z818" s="137"/>
    </row>
    <row r="819" customFormat="false" ht="12.75" hidden="false" customHeight="false" outlineLevel="0" collapsed="false">
      <c r="Z819" s="137"/>
    </row>
    <row r="820" customFormat="false" ht="12.75" hidden="false" customHeight="false" outlineLevel="0" collapsed="false">
      <c r="Z820" s="137"/>
    </row>
    <row r="821" customFormat="false" ht="12.75" hidden="false" customHeight="false" outlineLevel="0" collapsed="false">
      <c r="Z821" s="137"/>
    </row>
    <row r="822" customFormat="false" ht="12.75" hidden="false" customHeight="false" outlineLevel="0" collapsed="false">
      <c r="Z822" s="137"/>
    </row>
    <row r="823" customFormat="false" ht="12.75" hidden="false" customHeight="false" outlineLevel="0" collapsed="false">
      <c r="Z823" s="137"/>
    </row>
    <row r="824" customFormat="false" ht="12.75" hidden="false" customHeight="false" outlineLevel="0" collapsed="false">
      <c r="Z824" s="137"/>
    </row>
    <row r="825" customFormat="false" ht="12.75" hidden="false" customHeight="false" outlineLevel="0" collapsed="false">
      <c r="Z825" s="137"/>
    </row>
    <row r="826" customFormat="false" ht="12.75" hidden="false" customHeight="false" outlineLevel="0" collapsed="false">
      <c r="Z826" s="137"/>
    </row>
    <row r="827" customFormat="false" ht="12.75" hidden="false" customHeight="false" outlineLevel="0" collapsed="false">
      <c r="Z827" s="137"/>
    </row>
    <row r="828" customFormat="false" ht="12.75" hidden="false" customHeight="false" outlineLevel="0" collapsed="false">
      <c r="Z828" s="137"/>
    </row>
    <row r="829" customFormat="false" ht="12.75" hidden="false" customHeight="false" outlineLevel="0" collapsed="false">
      <c r="Z829" s="137"/>
    </row>
    <row r="830" customFormat="false" ht="12.75" hidden="false" customHeight="false" outlineLevel="0" collapsed="false">
      <c r="Z830" s="137"/>
    </row>
    <row r="831" customFormat="false" ht="12.75" hidden="false" customHeight="false" outlineLevel="0" collapsed="false">
      <c r="Z831" s="137"/>
    </row>
    <row r="832" customFormat="false" ht="12.75" hidden="false" customHeight="false" outlineLevel="0" collapsed="false">
      <c r="Z832" s="137"/>
    </row>
    <row r="833" customFormat="false" ht="12.75" hidden="false" customHeight="false" outlineLevel="0" collapsed="false">
      <c r="Z833" s="137"/>
    </row>
    <row r="834" customFormat="false" ht="12.75" hidden="false" customHeight="false" outlineLevel="0" collapsed="false">
      <c r="Z834" s="137"/>
    </row>
    <row r="835" customFormat="false" ht="12.75" hidden="false" customHeight="false" outlineLevel="0" collapsed="false">
      <c r="Z835" s="137"/>
    </row>
    <row r="836" customFormat="false" ht="12.75" hidden="false" customHeight="false" outlineLevel="0" collapsed="false">
      <c r="Z836" s="137"/>
    </row>
    <row r="837" customFormat="false" ht="12.75" hidden="false" customHeight="false" outlineLevel="0" collapsed="false">
      <c r="Z837" s="137"/>
    </row>
    <row r="838" customFormat="false" ht="12.75" hidden="false" customHeight="false" outlineLevel="0" collapsed="false">
      <c r="Z838" s="137"/>
    </row>
    <row r="839" customFormat="false" ht="12.75" hidden="false" customHeight="false" outlineLevel="0" collapsed="false">
      <c r="Z839" s="137"/>
    </row>
    <row r="840" customFormat="false" ht="12.75" hidden="false" customHeight="false" outlineLevel="0" collapsed="false">
      <c r="Z840" s="137"/>
    </row>
    <row r="841" customFormat="false" ht="12.75" hidden="false" customHeight="false" outlineLevel="0" collapsed="false">
      <c r="Z841" s="137"/>
    </row>
    <row r="842" customFormat="false" ht="12.75" hidden="false" customHeight="false" outlineLevel="0" collapsed="false">
      <c r="Z842" s="137"/>
    </row>
    <row r="843" customFormat="false" ht="12.75" hidden="false" customHeight="false" outlineLevel="0" collapsed="false">
      <c r="Z843" s="137"/>
    </row>
    <row r="844" customFormat="false" ht="12.75" hidden="false" customHeight="false" outlineLevel="0" collapsed="false">
      <c r="Z844" s="137"/>
    </row>
    <row r="845" customFormat="false" ht="12.75" hidden="false" customHeight="false" outlineLevel="0" collapsed="false">
      <c r="Z845" s="137"/>
    </row>
    <row r="846" customFormat="false" ht="12.75" hidden="false" customHeight="false" outlineLevel="0" collapsed="false">
      <c r="Z846" s="137"/>
    </row>
    <row r="847" customFormat="false" ht="12.75" hidden="false" customHeight="false" outlineLevel="0" collapsed="false">
      <c r="Z847" s="137"/>
    </row>
    <row r="848" customFormat="false" ht="12.75" hidden="false" customHeight="false" outlineLevel="0" collapsed="false">
      <c r="Z848" s="137"/>
    </row>
    <row r="849" customFormat="false" ht="12.75" hidden="false" customHeight="false" outlineLevel="0" collapsed="false">
      <c r="Z849" s="137"/>
    </row>
    <row r="850" customFormat="false" ht="12.75" hidden="false" customHeight="false" outlineLevel="0" collapsed="false">
      <c r="Z850" s="137"/>
    </row>
    <row r="851" customFormat="false" ht="12.75" hidden="false" customHeight="false" outlineLevel="0" collapsed="false">
      <c r="Z851" s="137"/>
    </row>
    <row r="852" customFormat="false" ht="12.75" hidden="false" customHeight="false" outlineLevel="0" collapsed="false">
      <c r="Z852" s="137"/>
    </row>
    <row r="853" customFormat="false" ht="12.75" hidden="false" customHeight="false" outlineLevel="0" collapsed="false">
      <c r="Z853" s="137"/>
    </row>
    <row r="854" customFormat="false" ht="12.75" hidden="false" customHeight="false" outlineLevel="0" collapsed="false">
      <c r="Z854" s="137"/>
    </row>
    <row r="855" customFormat="false" ht="12.75" hidden="false" customHeight="false" outlineLevel="0" collapsed="false">
      <c r="Z855" s="137"/>
    </row>
    <row r="856" customFormat="false" ht="12.75" hidden="false" customHeight="false" outlineLevel="0" collapsed="false">
      <c r="Z856" s="137"/>
    </row>
    <row r="857" customFormat="false" ht="12.75" hidden="false" customHeight="false" outlineLevel="0" collapsed="false">
      <c r="Z857" s="137"/>
    </row>
    <row r="858" customFormat="false" ht="12.75" hidden="false" customHeight="false" outlineLevel="0" collapsed="false">
      <c r="Z858" s="137"/>
    </row>
    <row r="859" customFormat="false" ht="12.75" hidden="false" customHeight="false" outlineLevel="0" collapsed="false">
      <c r="Z859" s="137"/>
    </row>
    <row r="860" customFormat="false" ht="12.75" hidden="false" customHeight="false" outlineLevel="0" collapsed="false">
      <c r="Z860" s="137"/>
    </row>
    <row r="861" customFormat="false" ht="12.75" hidden="false" customHeight="false" outlineLevel="0" collapsed="false">
      <c r="Z861" s="137"/>
    </row>
    <row r="862" customFormat="false" ht="12.75" hidden="false" customHeight="false" outlineLevel="0" collapsed="false">
      <c r="Z862" s="137"/>
    </row>
    <row r="863" customFormat="false" ht="12.75" hidden="false" customHeight="false" outlineLevel="0" collapsed="false">
      <c r="Z863" s="137"/>
    </row>
    <row r="864" customFormat="false" ht="12.75" hidden="false" customHeight="false" outlineLevel="0" collapsed="false">
      <c r="Z864" s="137"/>
    </row>
    <row r="865" customFormat="false" ht="12.75" hidden="false" customHeight="false" outlineLevel="0" collapsed="false">
      <c r="Z865" s="137"/>
    </row>
    <row r="866" customFormat="false" ht="12.75" hidden="false" customHeight="false" outlineLevel="0" collapsed="false">
      <c r="Z866" s="137"/>
    </row>
    <row r="867" customFormat="false" ht="12.75" hidden="false" customHeight="false" outlineLevel="0" collapsed="false">
      <c r="Z867" s="137"/>
    </row>
    <row r="868" customFormat="false" ht="12.75" hidden="false" customHeight="false" outlineLevel="0" collapsed="false">
      <c r="Z868" s="137"/>
    </row>
    <row r="869" customFormat="false" ht="12.75" hidden="false" customHeight="false" outlineLevel="0" collapsed="false">
      <c r="Z869" s="137"/>
    </row>
    <row r="870" customFormat="false" ht="12.75" hidden="false" customHeight="false" outlineLevel="0" collapsed="false">
      <c r="Z870" s="137"/>
    </row>
    <row r="871" customFormat="false" ht="12.75" hidden="false" customHeight="false" outlineLevel="0" collapsed="false">
      <c r="Z871" s="137"/>
    </row>
    <row r="872" customFormat="false" ht="12.75" hidden="false" customHeight="false" outlineLevel="0" collapsed="false">
      <c r="Z872" s="137"/>
    </row>
    <row r="873" customFormat="false" ht="12.75" hidden="false" customHeight="false" outlineLevel="0" collapsed="false">
      <c r="Z873" s="137"/>
    </row>
    <row r="874" customFormat="false" ht="12.75" hidden="false" customHeight="false" outlineLevel="0" collapsed="false">
      <c r="Z874" s="137"/>
    </row>
    <row r="875" customFormat="false" ht="12.75" hidden="false" customHeight="false" outlineLevel="0" collapsed="false">
      <c r="Z875" s="137"/>
    </row>
    <row r="876" customFormat="false" ht="12.75" hidden="false" customHeight="false" outlineLevel="0" collapsed="false">
      <c r="Z876" s="137"/>
    </row>
    <row r="877" customFormat="false" ht="12.75" hidden="false" customHeight="false" outlineLevel="0" collapsed="false">
      <c r="Z877" s="137"/>
    </row>
    <row r="878" customFormat="false" ht="12.75" hidden="false" customHeight="false" outlineLevel="0" collapsed="false">
      <c r="Z878" s="137"/>
    </row>
    <row r="879" customFormat="false" ht="12.75" hidden="false" customHeight="false" outlineLevel="0" collapsed="false">
      <c r="Z879" s="137"/>
    </row>
    <row r="880" customFormat="false" ht="12.75" hidden="false" customHeight="false" outlineLevel="0" collapsed="false">
      <c r="Z880" s="137"/>
    </row>
    <row r="881" customFormat="false" ht="12.75" hidden="false" customHeight="false" outlineLevel="0" collapsed="false">
      <c r="Z881" s="137"/>
    </row>
    <row r="882" customFormat="false" ht="12.75" hidden="false" customHeight="false" outlineLevel="0" collapsed="false">
      <c r="Z882" s="137"/>
    </row>
    <row r="883" customFormat="false" ht="12.75" hidden="false" customHeight="false" outlineLevel="0" collapsed="false">
      <c r="Z883" s="137"/>
    </row>
    <row r="884" customFormat="false" ht="12.75" hidden="false" customHeight="false" outlineLevel="0" collapsed="false">
      <c r="Z884" s="137"/>
    </row>
    <row r="885" customFormat="false" ht="12.75" hidden="false" customHeight="false" outlineLevel="0" collapsed="false">
      <c r="Z885" s="137"/>
    </row>
    <row r="886" customFormat="false" ht="12.75" hidden="false" customHeight="false" outlineLevel="0" collapsed="false">
      <c r="Z886" s="137"/>
    </row>
    <row r="887" customFormat="false" ht="12.75" hidden="false" customHeight="false" outlineLevel="0" collapsed="false">
      <c r="Z887" s="137"/>
    </row>
    <row r="888" customFormat="false" ht="12.75" hidden="false" customHeight="false" outlineLevel="0" collapsed="false">
      <c r="Z888" s="137"/>
    </row>
    <row r="889" customFormat="false" ht="12.75" hidden="false" customHeight="false" outlineLevel="0" collapsed="false">
      <c r="Z889" s="137"/>
    </row>
    <row r="890" customFormat="false" ht="12.75" hidden="false" customHeight="false" outlineLevel="0" collapsed="false">
      <c r="Z890" s="137"/>
    </row>
    <row r="891" customFormat="false" ht="12.75" hidden="false" customHeight="false" outlineLevel="0" collapsed="false">
      <c r="Z891" s="137"/>
    </row>
    <row r="892" customFormat="false" ht="12.75" hidden="false" customHeight="false" outlineLevel="0" collapsed="false">
      <c r="Z892" s="137"/>
    </row>
    <row r="893" customFormat="false" ht="12.75" hidden="false" customHeight="false" outlineLevel="0" collapsed="false">
      <c r="Z893" s="137"/>
    </row>
    <row r="894" customFormat="false" ht="12.75" hidden="false" customHeight="false" outlineLevel="0" collapsed="false">
      <c r="Z894" s="137"/>
    </row>
    <row r="895" customFormat="false" ht="12.75" hidden="false" customHeight="false" outlineLevel="0" collapsed="false">
      <c r="Z895" s="137"/>
    </row>
    <row r="896" customFormat="false" ht="12.75" hidden="false" customHeight="false" outlineLevel="0" collapsed="false">
      <c r="Z896" s="137"/>
    </row>
    <row r="897" customFormat="false" ht="12.75" hidden="false" customHeight="false" outlineLevel="0" collapsed="false">
      <c r="Z897" s="137"/>
    </row>
    <row r="898" customFormat="false" ht="12.75" hidden="false" customHeight="false" outlineLevel="0" collapsed="false">
      <c r="Z898" s="137"/>
    </row>
    <row r="899" customFormat="false" ht="12.75" hidden="false" customHeight="false" outlineLevel="0" collapsed="false">
      <c r="Z899" s="137"/>
    </row>
    <row r="900" customFormat="false" ht="12.75" hidden="false" customHeight="false" outlineLevel="0" collapsed="false">
      <c r="Z900" s="137"/>
    </row>
    <row r="901" customFormat="false" ht="12.75" hidden="false" customHeight="false" outlineLevel="0" collapsed="false">
      <c r="Z901" s="137"/>
    </row>
    <row r="902" customFormat="false" ht="12.75" hidden="false" customHeight="false" outlineLevel="0" collapsed="false">
      <c r="Z902" s="137"/>
    </row>
    <row r="903" customFormat="false" ht="12.75" hidden="false" customHeight="false" outlineLevel="0" collapsed="false">
      <c r="Z903" s="137"/>
    </row>
    <row r="904" customFormat="false" ht="12.75" hidden="false" customHeight="false" outlineLevel="0" collapsed="false">
      <c r="Z904" s="137"/>
    </row>
    <row r="905" customFormat="false" ht="12.75" hidden="false" customHeight="false" outlineLevel="0" collapsed="false">
      <c r="Z905" s="137"/>
    </row>
    <row r="906" customFormat="false" ht="12.75" hidden="false" customHeight="false" outlineLevel="0" collapsed="false">
      <c r="Z906" s="137"/>
    </row>
    <row r="907" customFormat="false" ht="12.75" hidden="false" customHeight="false" outlineLevel="0" collapsed="false">
      <c r="Z907" s="137"/>
    </row>
    <row r="908" customFormat="false" ht="12.75" hidden="false" customHeight="false" outlineLevel="0" collapsed="false">
      <c r="Z908" s="137"/>
    </row>
    <row r="909" customFormat="false" ht="12.75" hidden="false" customHeight="false" outlineLevel="0" collapsed="false">
      <c r="Z909" s="137"/>
    </row>
    <row r="910" customFormat="false" ht="12.75" hidden="false" customHeight="false" outlineLevel="0" collapsed="false">
      <c r="Z910" s="137"/>
    </row>
    <row r="911" customFormat="false" ht="12.75" hidden="false" customHeight="false" outlineLevel="0" collapsed="false">
      <c r="Z911" s="137"/>
    </row>
    <row r="912" customFormat="false" ht="12.75" hidden="false" customHeight="false" outlineLevel="0" collapsed="false">
      <c r="Z912" s="137"/>
    </row>
    <row r="913" customFormat="false" ht="12.75" hidden="false" customHeight="false" outlineLevel="0" collapsed="false">
      <c r="Z913" s="137"/>
    </row>
    <row r="914" customFormat="false" ht="12.75" hidden="false" customHeight="false" outlineLevel="0" collapsed="false">
      <c r="Z914" s="137"/>
    </row>
    <row r="915" customFormat="false" ht="12.75" hidden="false" customHeight="false" outlineLevel="0" collapsed="false">
      <c r="Z915" s="137"/>
    </row>
    <row r="916" customFormat="false" ht="12.75" hidden="false" customHeight="false" outlineLevel="0" collapsed="false">
      <c r="Z916" s="137"/>
    </row>
    <row r="917" customFormat="false" ht="12.75" hidden="false" customHeight="false" outlineLevel="0" collapsed="false">
      <c r="Z917" s="137"/>
    </row>
    <row r="918" customFormat="false" ht="12.75" hidden="false" customHeight="false" outlineLevel="0" collapsed="false">
      <c r="Z918" s="137"/>
    </row>
    <row r="919" customFormat="false" ht="12.75" hidden="false" customHeight="false" outlineLevel="0" collapsed="false">
      <c r="Z919" s="137"/>
    </row>
    <row r="920" customFormat="false" ht="12.75" hidden="false" customHeight="false" outlineLevel="0" collapsed="false">
      <c r="Z920" s="137"/>
    </row>
    <row r="921" customFormat="false" ht="12.75" hidden="false" customHeight="false" outlineLevel="0" collapsed="false">
      <c r="Z921" s="137"/>
    </row>
    <row r="922" customFormat="false" ht="12.75" hidden="false" customHeight="false" outlineLevel="0" collapsed="false">
      <c r="Z922" s="137"/>
    </row>
    <row r="923" customFormat="false" ht="12.75" hidden="false" customHeight="false" outlineLevel="0" collapsed="false">
      <c r="Z923" s="137"/>
    </row>
    <row r="924" customFormat="false" ht="12.75" hidden="false" customHeight="false" outlineLevel="0" collapsed="false">
      <c r="Z924" s="137"/>
    </row>
    <row r="925" customFormat="false" ht="12.75" hidden="false" customHeight="false" outlineLevel="0" collapsed="false">
      <c r="Z925" s="137"/>
    </row>
    <row r="926" customFormat="false" ht="12.75" hidden="false" customHeight="false" outlineLevel="0" collapsed="false">
      <c r="Z926" s="137"/>
    </row>
    <row r="927" customFormat="false" ht="12.75" hidden="false" customHeight="false" outlineLevel="0" collapsed="false">
      <c r="Z927" s="137"/>
    </row>
    <row r="928" customFormat="false" ht="12.75" hidden="false" customHeight="false" outlineLevel="0" collapsed="false">
      <c r="Z928" s="137"/>
    </row>
    <row r="929" customFormat="false" ht="12.75" hidden="false" customHeight="false" outlineLevel="0" collapsed="false">
      <c r="Z929" s="137"/>
    </row>
    <row r="930" customFormat="false" ht="12.75" hidden="false" customHeight="false" outlineLevel="0" collapsed="false">
      <c r="Z930" s="137"/>
    </row>
    <row r="931" customFormat="false" ht="12.75" hidden="false" customHeight="false" outlineLevel="0" collapsed="false">
      <c r="Z931" s="137"/>
    </row>
    <row r="932" customFormat="false" ht="12.75" hidden="false" customHeight="false" outlineLevel="0" collapsed="false">
      <c r="Z932" s="137"/>
    </row>
    <row r="933" customFormat="false" ht="12.75" hidden="false" customHeight="false" outlineLevel="0" collapsed="false">
      <c r="Z933" s="137"/>
    </row>
    <row r="934" customFormat="false" ht="12.75" hidden="false" customHeight="false" outlineLevel="0" collapsed="false">
      <c r="Z934" s="137"/>
    </row>
    <row r="935" customFormat="false" ht="12.75" hidden="false" customHeight="false" outlineLevel="0" collapsed="false">
      <c r="Z935" s="137"/>
    </row>
    <row r="936" customFormat="false" ht="12.75" hidden="false" customHeight="false" outlineLevel="0" collapsed="false">
      <c r="Z936" s="137"/>
    </row>
    <row r="937" customFormat="false" ht="12.75" hidden="false" customHeight="false" outlineLevel="0" collapsed="false">
      <c r="Z937" s="137"/>
    </row>
    <row r="938" customFormat="false" ht="12.75" hidden="false" customHeight="false" outlineLevel="0" collapsed="false">
      <c r="Z938" s="137"/>
    </row>
    <row r="939" customFormat="false" ht="12.75" hidden="false" customHeight="false" outlineLevel="0" collapsed="false">
      <c r="Z939" s="137"/>
    </row>
    <row r="940" customFormat="false" ht="12.75" hidden="false" customHeight="false" outlineLevel="0" collapsed="false">
      <c r="Z940" s="137"/>
    </row>
    <row r="941" customFormat="false" ht="12.75" hidden="false" customHeight="false" outlineLevel="0" collapsed="false">
      <c r="Z941" s="137"/>
    </row>
    <row r="942" customFormat="false" ht="12.75" hidden="false" customHeight="false" outlineLevel="0" collapsed="false">
      <c r="Z942" s="137"/>
    </row>
    <row r="943" customFormat="false" ht="12.75" hidden="false" customHeight="false" outlineLevel="0" collapsed="false">
      <c r="Z943" s="137"/>
    </row>
    <row r="944" customFormat="false" ht="12.75" hidden="false" customHeight="false" outlineLevel="0" collapsed="false">
      <c r="Z944" s="137"/>
    </row>
    <row r="945" customFormat="false" ht="12.75" hidden="false" customHeight="false" outlineLevel="0" collapsed="false">
      <c r="Z945" s="137"/>
    </row>
    <row r="946" customFormat="false" ht="12.75" hidden="false" customHeight="false" outlineLevel="0" collapsed="false">
      <c r="Z946" s="137"/>
    </row>
    <row r="947" customFormat="false" ht="12.75" hidden="false" customHeight="false" outlineLevel="0" collapsed="false">
      <c r="Z947" s="137"/>
    </row>
    <row r="948" customFormat="false" ht="12.75" hidden="false" customHeight="false" outlineLevel="0" collapsed="false">
      <c r="Z948" s="137"/>
    </row>
    <row r="949" customFormat="false" ht="12.75" hidden="false" customHeight="false" outlineLevel="0" collapsed="false">
      <c r="Z949" s="137"/>
    </row>
    <row r="950" customFormat="false" ht="12.75" hidden="false" customHeight="false" outlineLevel="0" collapsed="false">
      <c r="Z950" s="137"/>
    </row>
    <row r="951" customFormat="false" ht="12.75" hidden="false" customHeight="false" outlineLevel="0" collapsed="false">
      <c r="Z951" s="137"/>
    </row>
    <row r="952" customFormat="false" ht="12.75" hidden="false" customHeight="false" outlineLevel="0" collapsed="false">
      <c r="Z952" s="137"/>
    </row>
    <row r="953" customFormat="false" ht="12.75" hidden="false" customHeight="false" outlineLevel="0" collapsed="false">
      <c r="Z953" s="137"/>
    </row>
    <row r="954" customFormat="false" ht="12.75" hidden="false" customHeight="false" outlineLevel="0" collapsed="false">
      <c r="Z954" s="137"/>
    </row>
    <row r="955" customFormat="false" ht="12.75" hidden="false" customHeight="false" outlineLevel="0" collapsed="false">
      <c r="Z955" s="137"/>
    </row>
    <row r="956" customFormat="false" ht="12.75" hidden="false" customHeight="false" outlineLevel="0" collapsed="false">
      <c r="Z956" s="137"/>
    </row>
    <row r="957" customFormat="false" ht="12.75" hidden="false" customHeight="false" outlineLevel="0" collapsed="false">
      <c r="Z957" s="137"/>
    </row>
    <row r="958" customFormat="false" ht="12.75" hidden="false" customHeight="false" outlineLevel="0" collapsed="false">
      <c r="Z958" s="137"/>
    </row>
    <row r="959" customFormat="false" ht="12.75" hidden="false" customHeight="false" outlineLevel="0" collapsed="false">
      <c r="Z959" s="137"/>
    </row>
    <row r="960" customFormat="false" ht="12.75" hidden="false" customHeight="false" outlineLevel="0" collapsed="false">
      <c r="Z960" s="137"/>
    </row>
    <row r="961" customFormat="false" ht="12.75" hidden="false" customHeight="false" outlineLevel="0" collapsed="false">
      <c r="Z961" s="137"/>
    </row>
    <row r="962" customFormat="false" ht="12.75" hidden="false" customHeight="false" outlineLevel="0" collapsed="false">
      <c r="Z962" s="137"/>
    </row>
    <row r="963" customFormat="false" ht="12.75" hidden="false" customHeight="false" outlineLevel="0" collapsed="false">
      <c r="Z963" s="137"/>
    </row>
    <row r="964" customFormat="false" ht="12.75" hidden="false" customHeight="false" outlineLevel="0" collapsed="false">
      <c r="Z964" s="137"/>
    </row>
    <row r="965" customFormat="false" ht="12.75" hidden="false" customHeight="false" outlineLevel="0" collapsed="false">
      <c r="Z965" s="137"/>
    </row>
    <row r="966" customFormat="false" ht="12.75" hidden="false" customHeight="false" outlineLevel="0" collapsed="false">
      <c r="Z966" s="137"/>
    </row>
    <row r="967" customFormat="false" ht="12.75" hidden="false" customHeight="false" outlineLevel="0" collapsed="false">
      <c r="Z967" s="137"/>
    </row>
    <row r="968" customFormat="false" ht="12.75" hidden="false" customHeight="false" outlineLevel="0" collapsed="false">
      <c r="Z968" s="137"/>
    </row>
    <row r="969" customFormat="false" ht="12.75" hidden="false" customHeight="false" outlineLevel="0" collapsed="false">
      <c r="Z969" s="137"/>
    </row>
    <row r="970" customFormat="false" ht="12.75" hidden="false" customHeight="false" outlineLevel="0" collapsed="false">
      <c r="Z970" s="137"/>
    </row>
    <row r="971" customFormat="false" ht="12.75" hidden="false" customHeight="false" outlineLevel="0" collapsed="false">
      <c r="Z971" s="137"/>
    </row>
    <row r="972" customFormat="false" ht="12.75" hidden="false" customHeight="false" outlineLevel="0" collapsed="false">
      <c r="Z972" s="137"/>
    </row>
    <row r="973" customFormat="false" ht="12.75" hidden="false" customHeight="false" outlineLevel="0" collapsed="false">
      <c r="Z973" s="137"/>
    </row>
    <row r="974" customFormat="false" ht="12.75" hidden="false" customHeight="false" outlineLevel="0" collapsed="false">
      <c r="Z974" s="137"/>
    </row>
    <row r="975" customFormat="false" ht="12.75" hidden="false" customHeight="false" outlineLevel="0" collapsed="false">
      <c r="Z975" s="137"/>
    </row>
    <row r="976" customFormat="false" ht="12.75" hidden="false" customHeight="false" outlineLevel="0" collapsed="false">
      <c r="Z976" s="137"/>
    </row>
    <row r="977" customFormat="false" ht="12.75" hidden="false" customHeight="false" outlineLevel="0" collapsed="false">
      <c r="Z977" s="137"/>
    </row>
    <row r="978" customFormat="false" ht="12.75" hidden="false" customHeight="false" outlineLevel="0" collapsed="false">
      <c r="Z978" s="137"/>
    </row>
    <row r="979" customFormat="false" ht="12.75" hidden="false" customHeight="false" outlineLevel="0" collapsed="false">
      <c r="Z979" s="137"/>
    </row>
    <row r="980" customFormat="false" ht="12.75" hidden="false" customHeight="false" outlineLevel="0" collapsed="false">
      <c r="Z980" s="137"/>
    </row>
    <row r="981" customFormat="false" ht="12.75" hidden="false" customHeight="false" outlineLevel="0" collapsed="false">
      <c r="Z981" s="137"/>
    </row>
    <row r="982" customFormat="false" ht="12.75" hidden="false" customHeight="false" outlineLevel="0" collapsed="false">
      <c r="Z982" s="137"/>
    </row>
    <row r="983" customFormat="false" ht="12.75" hidden="false" customHeight="false" outlineLevel="0" collapsed="false">
      <c r="Z983" s="137"/>
    </row>
    <row r="984" customFormat="false" ht="12.75" hidden="false" customHeight="false" outlineLevel="0" collapsed="false">
      <c r="Z984" s="137"/>
    </row>
    <row r="985" customFormat="false" ht="12.75" hidden="false" customHeight="false" outlineLevel="0" collapsed="false">
      <c r="Z985" s="137"/>
    </row>
    <row r="986" customFormat="false" ht="12.75" hidden="false" customHeight="false" outlineLevel="0" collapsed="false">
      <c r="Z986" s="137"/>
    </row>
    <row r="987" customFormat="false" ht="12.75" hidden="false" customHeight="false" outlineLevel="0" collapsed="false">
      <c r="Z987" s="137"/>
    </row>
    <row r="988" customFormat="false" ht="12.75" hidden="false" customHeight="false" outlineLevel="0" collapsed="false">
      <c r="Z988" s="137"/>
    </row>
    <row r="989" customFormat="false" ht="12.75" hidden="false" customHeight="false" outlineLevel="0" collapsed="false">
      <c r="Z989" s="137"/>
    </row>
    <row r="990" customFormat="false" ht="12.75" hidden="false" customHeight="false" outlineLevel="0" collapsed="false">
      <c r="Z990" s="137"/>
    </row>
    <row r="991" customFormat="false" ht="12.75" hidden="false" customHeight="false" outlineLevel="0" collapsed="false">
      <c r="Z991" s="137"/>
    </row>
    <row r="992" customFormat="false" ht="12.75" hidden="false" customHeight="false" outlineLevel="0" collapsed="false">
      <c r="Z992" s="137"/>
    </row>
    <row r="993" customFormat="false" ht="12.75" hidden="false" customHeight="false" outlineLevel="0" collapsed="false">
      <c r="Z993" s="137"/>
    </row>
    <row r="994" customFormat="false" ht="12.75" hidden="false" customHeight="false" outlineLevel="0" collapsed="false">
      <c r="Z994" s="137"/>
    </row>
    <row r="995" customFormat="false" ht="12.75" hidden="false" customHeight="false" outlineLevel="0" collapsed="false">
      <c r="Z995" s="137"/>
    </row>
    <row r="996" customFormat="false" ht="12.75" hidden="false" customHeight="false" outlineLevel="0" collapsed="false">
      <c r="Z996" s="137"/>
    </row>
    <row r="997" customFormat="false" ht="12.75" hidden="false" customHeight="false" outlineLevel="0" collapsed="false">
      <c r="Z997" s="137"/>
    </row>
    <row r="998" customFormat="false" ht="12.75" hidden="false" customHeight="false" outlineLevel="0" collapsed="false">
      <c r="Z998" s="137"/>
    </row>
    <row r="999" customFormat="false" ht="12.75" hidden="false" customHeight="false" outlineLevel="0" collapsed="false">
      <c r="Z999" s="137"/>
    </row>
    <row r="1000" customFormat="false" ht="12.75" hidden="false" customHeight="false" outlineLevel="0" collapsed="false">
      <c r="Z1000" s="137"/>
    </row>
    <row r="1001" customFormat="false" ht="12.75" hidden="false" customHeight="false" outlineLevel="0" collapsed="false">
      <c r="Z1001" s="137"/>
    </row>
    <row r="1002" customFormat="false" ht="12.75" hidden="false" customHeight="false" outlineLevel="0" collapsed="false">
      <c r="Z1002" s="137"/>
    </row>
    <row r="1003" customFormat="false" ht="12.75" hidden="false" customHeight="false" outlineLevel="0" collapsed="false">
      <c r="Z1003" s="137"/>
    </row>
    <row r="1004" customFormat="false" ht="12.75" hidden="false" customHeight="false" outlineLevel="0" collapsed="false">
      <c r="Z1004" s="137"/>
    </row>
    <row r="1005" customFormat="false" ht="12.75" hidden="false" customHeight="false" outlineLevel="0" collapsed="false">
      <c r="Z1005" s="137"/>
    </row>
    <row r="1006" customFormat="false" ht="12.75" hidden="false" customHeight="false" outlineLevel="0" collapsed="false">
      <c r="Z1006" s="137"/>
    </row>
    <row r="1007" customFormat="false" ht="12.75" hidden="false" customHeight="false" outlineLevel="0" collapsed="false">
      <c r="Z1007" s="137"/>
    </row>
    <row r="1008" customFormat="false" ht="12.75" hidden="false" customHeight="false" outlineLevel="0" collapsed="false">
      <c r="Z1008" s="137"/>
    </row>
    <row r="1009" customFormat="false" ht="12.75" hidden="false" customHeight="false" outlineLevel="0" collapsed="false">
      <c r="Z1009" s="137"/>
    </row>
    <row r="1010" customFormat="false" ht="12.75" hidden="false" customHeight="false" outlineLevel="0" collapsed="false">
      <c r="Z1010" s="137"/>
    </row>
    <row r="1011" customFormat="false" ht="12.75" hidden="false" customHeight="false" outlineLevel="0" collapsed="false">
      <c r="Z1011" s="137"/>
    </row>
    <row r="1012" customFormat="false" ht="12.75" hidden="false" customHeight="false" outlineLevel="0" collapsed="false">
      <c r="Z1012" s="137"/>
    </row>
    <row r="1013" customFormat="false" ht="12.75" hidden="false" customHeight="false" outlineLevel="0" collapsed="false">
      <c r="Z1013" s="137"/>
    </row>
    <row r="1014" customFormat="false" ht="12.75" hidden="false" customHeight="false" outlineLevel="0" collapsed="false">
      <c r="Z1014" s="137"/>
    </row>
    <row r="1015" customFormat="false" ht="12.75" hidden="false" customHeight="false" outlineLevel="0" collapsed="false">
      <c r="Z1015" s="137"/>
    </row>
    <row r="1016" customFormat="false" ht="12.75" hidden="false" customHeight="false" outlineLevel="0" collapsed="false">
      <c r="Z1016" s="137"/>
    </row>
    <row r="1017" customFormat="false" ht="12.75" hidden="false" customHeight="false" outlineLevel="0" collapsed="false">
      <c r="Z1017" s="137"/>
    </row>
    <row r="1018" customFormat="false" ht="12.75" hidden="false" customHeight="false" outlineLevel="0" collapsed="false">
      <c r="Z1018" s="137"/>
    </row>
    <row r="1019" customFormat="false" ht="12.75" hidden="false" customHeight="false" outlineLevel="0" collapsed="false">
      <c r="Z1019" s="137"/>
    </row>
    <row r="1020" customFormat="false" ht="12.75" hidden="false" customHeight="false" outlineLevel="0" collapsed="false">
      <c r="Z1020" s="137"/>
    </row>
    <row r="1021" customFormat="false" ht="12.75" hidden="false" customHeight="false" outlineLevel="0" collapsed="false">
      <c r="Z1021" s="137"/>
    </row>
    <row r="1022" customFormat="false" ht="12.75" hidden="false" customHeight="false" outlineLevel="0" collapsed="false">
      <c r="Z1022" s="137"/>
    </row>
    <row r="1023" customFormat="false" ht="12.75" hidden="false" customHeight="false" outlineLevel="0" collapsed="false">
      <c r="Z1023" s="137"/>
    </row>
    <row r="1024" customFormat="false" ht="12.75" hidden="false" customHeight="false" outlineLevel="0" collapsed="false">
      <c r="Z1024" s="137"/>
    </row>
    <row r="1025" customFormat="false" ht="12.75" hidden="false" customHeight="false" outlineLevel="0" collapsed="false">
      <c r="Z1025" s="137"/>
    </row>
    <row r="1026" customFormat="false" ht="12.75" hidden="false" customHeight="false" outlineLevel="0" collapsed="false">
      <c r="Z1026" s="137"/>
    </row>
    <row r="1027" customFormat="false" ht="12.75" hidden="false" customHeight="false" outlineLevel="0" collapsed="false">
      <c r="Z1027" s="137"/>
    </row>
    <row r="1028" customFormat="false" ht="12.75" hidden="false" customHeight="false" outlineLevel="0" collapsed="false">
      <c r="Z1028" s="137"/>
    </row>
    <row r="1029" customFormat="false" ht="12.75" hidden="false" customHeight="false" outlineLevel="0" collapsed="false">
      <c r="Z1029" s="137"/>
    </row>
    <row r="1030" customFormat="false" ht="12.75" hidden="false" customHeight="false" outlineLevel="0" collapsed="false">
      <c r="Z1030" s="137"/>
    </row>
    <row r="1031" customFormat="false" ht="12.75" hidden="false" customHeight="false" outlineLevel="0" collapsed="false">
      <c r="Z1031" s="137"/>
    </row>
    <row r="1032" customFormat="false" ht="12.75" hidden="false" customHeight="false" outlineLevel="0" collapsed="false">
      <c r="Z1032" s="137"/>
    </row>
    <row r="1033" customFormat="false" ht="12.75" hidden="false" customHeight="false" outlineLevel="0" collapsed="false">
      <c r="Z1033" s="137"/>
    </row>
    <row r="1034" customFormat="false" ht="12.75" hidden="false" customHeight="false" outlineLevel="0" collapsed="false">
      <c r="Z1034" s="137"/>
    </row>
    <row r="1035" customFormat="false" ht="12.75" hidden="false" customHeight="false" outlineLevel="0" collapsed="false">
      <c r="Z1035" s="137"/>
    </row>
    <row r="1036" customFormat="false" ht="12.75" hidden="false" customHeight="false" outlineLevel="0" collapsed="false">
      <c r="Z1036" s="137"/>
    </row>
    <row r="1037" customFormat="false" ht="12.75" hidden="false" customHeight="false" outlineLevel="0" collapsed="false">
      <c r="Z1037" s="137"/>
    </row>
    <row r="1038" customFormat="false" ht="12.75" hidden="false" customHeight="false" outlineLevel="0" collapsed="false">
      <c r="Z1038" s="137"/>
    </row>
    <row r="1039" customFormat="false" ht="12.75" hidden="false" customHeight="false" outlineLevel="0" collapsed="false">
      <c r="Z1039" s="137"/>
    </row>
    <row r="1040" customFormat="false" ht="12.75" hidden="false" customHeight="false" outlineLevel="0" collapsed="false">
      <c r="Z1040" s="137"/>
    </row>
    <row r="1041" customFormat="false" ht="12.75" hidden="false" customHeight="false" outlineLevel="0" collapsed="false">
      <c r="Z1041" s="137"/>
    </row>
    <row r="1042" customFormat="false" ht="12.75" hidden="false" customHeight="false" outlineLevel="0" collapsed="false">
      <c r="Z1042" s="137"/>
    </row>
    <row r="1043" customFormat="false" ht="12.75" hidden="false" customHeight="false" outlineLevel="0" collapsed="false">
      <c r="Z1043" s="137"/>
    </row>
    <row r="1044" customFormat="false" ht="12.75" hidden="false" customHeight="false" outlineLevel="0" collapsed="false">
      <c r="Z1044" s="137"/>
    </row>
    <row r="1045" customFormat="false" ht="12.75" hidden="false" customHeight="false" outlineLevel="0" collapsed="false">
      <c r="Z1045" s="137"/>
    </row>
    <row r="1046" customFormat="false" ht="12.75" hidden="false" customHeight="false" outlineLevel="0" collapsed="false">
      <c r="Z1046" s="137"/>
    </row>
    <row r="1047" customFormat="false" ht="12.75" hidden="false" customHeight="false" outlineLevel="0" collapsed="false">
      <c r="Z1047" s="137"/>
    </row>
    <row r="1048" customFormat="false" ht="12.75" hidden="false" customHeight="false" outlineLevel="0" collapsed="false">
      <c r="Z1048" s="137"/>
    </row>
    <row r="1049" customFormat="false" ht="12.75" hidden="false" customHeight="false" outlineLevel="0" collapsed="false">
      <c r="Z1049" s="137"/>
    </row>
    <row r="1050" customFormat="false" ht="12.75" hidden="false" customHeight="false" outlineLevel="0" collapsed="false">
      <c r="Z1050" s="137"/>
    </row>
    <row r="1051" customFormat="false" ht="12.75" hidden="false" customHeight="false" outlineLevel="0" collapsed="false">
      <c r="Z1051" s="137"/>
    </row>
    <row r="1052" customFormat="false" ht="12.75" hidden="false" customHeight="false" outlineLevel="0" collapsed="false">
      <c r="Z1052" s="137"/>
    </row>
    <row r="1053" customFormat="false" ht="12.75" hidden="false" customHeight="false" outlineLevel="0" collapsed="false">
      <c r="Z1053" s="137"/>
    </row>
    <row r="1054" customFormat="false" ht="12.75" hidden="false" customHeight="false" outlineLevel="0" collapsed="false">
      <c r="Z1054" s="137"/>
    </row>
    <row r="1055" customFormat="false" ht="12.75" hidden="false" customHeight="false" outlineLevel="0" collapsed="false">
      <c r="Z1055" s="137"/>
    </row>
    <row r="1056" customFormat="false" ht="12.75" hidden="false" customHeight="false" outlineLevel="0" collapsed="false">
      <c r="Z1056" s="137"/>
    </row>
    <row r="1057" customFormat="false" ht="12.75" hidden="false" customHeight="false" outlineLevel="0" collapsed="false">
      <c r="Z1057" s="137"/>
    </row>
    <row r="1058" customFormat="false" ht="12.75" hidden="false" customHeight="false" outlineLevel="0" collapsed="false">
      <c r="Z1058" s="137"/>
    </row>
    <row r="1059" customFormat="false" ht="12.75" hidden="false" customHeight="false" outlineLevel="0" collapsed="false">
      <c r="Z1059" s="137"/>
    </row>
    <row r="1060" customFormat="false" ht="12.75" hidden="false" customHeight="false" outlineLevel="0" collapsed="false">
      <c r="Z1060" s="137"/>
    </row>
    <row r="1061" customFormat="false" ht="12.75" hidden="false" customHeight="false" outlineLevel="0" collapsed="false">
      <c r="Z1061" s="137"/>
    </row>
    <row r="1062" customFormat="false" ht="12.75" hidden="false" customHeight="false" outlineLevel="0" collapsed="false">
      <c r="Z1062" s="137"/>
    </row>
    <row r="1063" customFormat="false" ht="12.75" hidden="false" customHeight="false" outlineLevel="0" collapsed="false">
      <c r="Z1063" s="137"/>
    </row>
    <row r="1064" customFormat="false" ht="12.75" hidden="false" customHeight="false" outlineLevel="0" collapsed="false">
      <c r="Z1064" s="137"/>
    </row>
    <row r="1065" customFormat="false" ht="12.75" hidden="false" customHeight="false" outlineLevel="0" collapsed="false">
      <c r="Z1065" s="137"/>
    </row>
    <row r="1066" customFormat="false" ht="12.75" hidden="false" customHeight="false" outlineLevel="0" collapsed="false">
      <c r="Z1066" s="137"/>
    </row>
    <row r="1067" customFormat="false" ht="12.75" hidden="false" customHeight="false" outlineLevel="0" collapsed="false">
      <c r="Z1067" s="137"/>
    </row>
    <row r="1068" customFormat="false" ht="12.75" hidden="false" customHeight="false" outlineLevel="0" collapsed="false">
      <c r="Z1068" s="137"/>
    </row>
    <row r="1069" customFormat="false" ht="12.75" hidden="false" customHeight="false" outlineLevel="0" collapsed="false">
      <c r="Z1069" s="137"/>
    </row>
    <row r="1070" customFormat="false" ht="12.75" hidden="false" customHeight="false" outlineLevel="0" collapsed="false">
      <c r="Z1070" s="137"/>
    </row>
    <row r="1071" customFormat="false" ht="12.75" hidden="false" customHeight="false" outlineLevel="0" collapsed="false">
      <c r="Z1071" s="137"/>
    </row>
    <row r="1072" customFormat="false" ht="12.75" hidden="false" customHeight="false" outlineLevel="0" collapsed="false">
      <c r="Z1072" s="137"/>
    </row>
    <row r="1073" customFormat="false" ht="12.75" hidden="false" customHeight="false" outlineLevel="0" collapsed="false">
      <c r="Z1073" s="137"/>
    </row>
    <row r="1074" customFormat="false" ht="12.75" hidden="false" customHeight="false" outlineLevel="0" collapsed="false">
      <c r="Z1074" s="137"/>
    </row>
    <row r="1075" customFormat="false" ht="12.75" hidden="false" customHeight="false" outlineLevel="0" collapsed="false">
      <c r="Z1075" s="137"/>
    </row>
    <row r="1076" customFormat="false" ht="12.75" hidden="false" customHeight="false" outlineLevel="0" collapsed="false">
      <c r="Z1076" s="137"/>
    </row>
    <row r="1077" customFormat="false" ht="12.75" hidden="false" customHeight="false" outlineLevel="0" collapsed="false">
      <c r="Z1077" s="137"/>
    </row>
    <row r="1078" customFormat="false" ht="12.75" hidden="false" customHeight="false" outlineLevel="0" collapsed="false">
      <c r="Z1078" s="137"/>
    </row>
    <row r="1079" customFormat="false" ht="12.75" hidden="false" customHeight="false" outlineLevel="0" collapsed="false">
      <c r="Z1079" s="137"/>
    </row>
    <row r="1080" customFormat="false" ht="12.75" hidden="false" customHeight="false" outlineLevel="0" collapsed="false">
      <c r="Z1080" s="137"/>
    </row>
    <row r="1081" customFormat="false" ht="12.75" hidden="false" customHeight="false" outlineLevel="0" collapsed="false">
      <c r="Z1081" s="137"/>
    </row>
    <row r="1082" customFormat="false" ht="12.75" hidden="false" customHeight="false" outlineLevel="0" collapsed="false">
      <c r="Z1082" s="137"/>
    </row>
    <row r="1083" customFormat="false" ht="12.75" hidden="false" customHeight="false" outlineLevel="0" collapsed="false">
      <c r="Z1083" s="137"/>
    </row>
    <row r="1084" customFormat="false" ht="12.75" hidden="false" customHeight="false" outlineLevel="0" collapsed="false">
      <c r="Z1084" s="137"/>
    </row>
    <row r="1085" customFormat="false" ht="12.75" hidden="false" customHeight="false" outlineLevel="0" collapsed="false">
      <c r="Z1085" s="137"/>
    </row>
    <row r="1086" customFormat="false" ht="12.75" hidden="false" customHeight="false" outlineLevel="0" collapsed="false">
      <c r="Z1086" s="137"/>
    </row>
    <row r="1087" customFormat="false" ht="12.75" hidden="false" customHeight="false" outlineLevel="0" collapsed="false">
      <c r="Z1087" s="137"/>
    </row>
    <row r="1088" customFormat="false" ht="12.75" hidden="false" customHeight="false" outlineLevel="0" collapsed="false">
      <c r="Z1088" s="137"/>
    </row>
    <row r="1089" customFormat="false" ht="12.75" hidden="false" customHeight="false" outlineLevel="0" collapsed="false">
      <c r="Z1089" s="137"/>
    </row>
    <row r="1090" customFormat="false" ht="12.75" hidden="false" customHeight="false" outlineLevel="0" collapsed="false">
      <c r="Z1090" s="137"/>
    </row>
    <row r="1091" customFormat="false" ht="12.75" hidden="false" customHeight="false" outlineLevel="0" collapsed="false">
      <c r="Z1091" s="137"/>
    </row>
    <row r="1092" customFormat="false" ht="12.75" hidden="false" customHeight="false" outlineLevel="0" collapsed="false">
      <c r="Z1092" s="137"/>
    </row>
    <row r="1093" customFormat="false" ht="12.75" hidden="false" customHeight="false" outlineLevel="0" collapsed="false">
      <c r="Z1093" s="137"/>
    </row>
    <row r="1094" customFormat="false" ht="12.75" hidden="false" customHeight="false" outlineLevel="0" collapsed="false">
      <c r="Z1094" s="137"/>
    </row>
    <row r="1095" customFormat="false" ht="12.75" hidden="false" customHeight="false" outlineLevel="0" collapsed="false">
      <c r="Z1095" s="137"/>
    </row>
    <row r="1096" customFormat="false" ht="12.75" hidden="false" customHeight="false" outlineLevel="0" collapsed="false">
      <c r="Z1096" s="137"/>
    </row>
    <row r="1097" customFormat="false" ht="12.75" hidden="false" customHeight="false" outlineLevel="0" collapsed="false">
      <c r="Z1097" s="137"/>
    </row>
    <row r="1098" customFormat="false" ht="12.75" hidden="false" customHeight="false" outlineLevel="0" collapsed="false">
      <c r="Z1098" s="137"/>
    </row>
    <row r="1099" customFormat="false" ht="12.75" hidden="false" customHeight="false" outlineLevel="0" collapsed="false">
      <c r="Z1099" s="137"/>
    </row>
    <row r="1100" customFormat="false" ht="12.75" hidden="false" customHeight="false" outlineLevel="0" collapsed="false">
      <c r="Z1100" s="137"/>
    </row>
    <row r="1101" customFormat="false" ht="12.75" hidden="false" customHeight="false" outlineLevel="0" collapsed="false">
      <c r="Z1101" s="137"/>
    </row>
    <row r="1102" customFormat="false" ht="12.75" hidden="false" customHeight="false" outlineLevel="0" collapsed="false">
      <c r="Z1102" s="137"/>
    </row>
    <row r="1103" customFormat="false" ht="12.75" hidden="false" customHeight="false" outlineLevel="0" collapsed="false">
      <c r="Z1103" s="137"/>
    </row>
    <row r="1104" customFormat="false" ht="12.75" hidden="false" customHeight="false" outlineLevel="0" collapsed="false">
      <c r="Z1104" s="137"/>
    </row>
    <row r="1105" customFormat="false" ht="12.75" hidden="false" customHeight="false" outlineLevel="0" collapsed="false">
      <c r="Z1105" s="137"/>
    </row>
    <row r="1106" customFormat="false" ht="12.75" hidden="false" customHeight="false" outlineLevel="0" collapsed="false">
      <c r="Z1106" s="137"/>
    </row>
    <row r="1107" customFormat="false" ht="12.75" hidden="false" customHeight="false" outlineLevel="0" collapsed="false">
      <c r="Z1107" s="137"/>
    </row>
    <row r="1108" customFormat="false" ht="12.75" hidden="false" customHeight="false" outlineLevel="0" collapsed="false">
      <c r="Z1108" s="137"/>
    </row>
    <row r="1109" customFormat="false" ht="12.75" hidden="false" customHeight="false" outlineLevel="0" collapsed="false">
      <c r="Z1109" s="137"/>
    </row>
    <row r="1110" customFormat="false" ht="12.75" hidden="false" customHeight="false" outlineLevel="0" collapsed="false">
      <c r="Z1110" s="137"/>
    </row>
    <row r="1111" customFormat="false" ht="12.75" hidden="false" customHeight="false" outlineLevel="0" collapsed="false">
      <c r="Z1111" s="137"/>
    </row>
    <row r="1112" customFormat="false" ht="12.75" hidden="false" customHeight="false" outlineLevel="0" collapsed="false">
      <c r="Z1112" s="137"/>
    </row>
    <row r="1113" customFormat="false" ht="12.75" hidden="false" customHeight="false" outlineLevel="0" collapsed="false">
      <c r="Z1113" s="137"/>
    </row>
    <row r="1114" customFormat="false" ht="12.75" hidden="false" customHeight="false" outlineLevel="0" collapsed="false">
      <c r="Z1114" s="137"/>
    </row>
    <row r="1115" customFormat="false" ht="12.75" hidden="false" customHeight="false" outlineLevel="0" collapsed="false">
      <c r="Z1115" s="137"/>
    </row>
    <row r="1116" customFormat="false" ht="12.75" hidden="false" customHeight="false" outlineLevel="0" collapsed="false">
      <c r="Z1116" s="137"/>
    </row>
    <row r="1117" customFormat="false" ht="12.75" hidden="false" customHeight="false" outlineLevel="0" collapsed="false">
      <c r="Z1117" s="137"/>
    </row>
    <row r="1118" customFormat="false" ht="12.75" hidden="false" customHeight="false" outlineLevel="0" collapsed="false">
      <c r="Z1118" s="137"/>
    </row>
    <row r="1119" customFormat="false" ht="12.75" hidden="false" customHeight="false" outlineLevel="0" collapsed="false">
      <c r="Z1119" s="137"/>
    </row>
    <row r="1120" customFormat="false" ht="12.75" hidden="false" customHeight="false" outlineLevel="0" collapsed="false">
      <c r="Z1120" s="137"/>
    </row>
    <row r="1121" customFormat="false" ht="12.75" hidden="false" customHeight="false" outlineLevel="0" collapsed="false">
      <c r="Z1121" s="137"/>
    </row>
    <row r="1122" customFormat="false" ht="12.75" hidden="false" customHeight="false" outlineLevel="0" collapsed="false">
      <c r="Z1122" s="137"/>
    </row>
    <row r="1123" customFormat="false" ht="12.75" hidden="false" customHeight="false" outlineLevel="0" collapsed="false">
      <c r="Z1123" s="137"/>
    </row>
    <row r="1124" customFormat="false" ht="12.75" hidden="false" customHeight="false" outlineLevel="0" collapsed="false">
      <c r="Z1124" s="137"/>
    </row>
    <row r="1125" customFormat="false" ht="12.75" hidden="false" customHeight="false" outlineLevel="0" collapsed="false">
      <c r="Z1125" s="137"/>
    </row>
    <row r="1126" customFormat="false" ht="12.75" hidden="false" customHeight="false" outlineLevel="0" collapsed="false">
      <c r="Z1126" s="137"/>
    </row>
    <row r="1127" customFormat="false" ht="12.75" hidden="false" customHeight="false" outlineLevel="0" collapsed="false">
      <c r="Z1127" s="137"/>
    </row>
    <row r="1128" customFormat="false" ht="12.75" hidden="false" customHeight="false" outlineLevel="0" collapsed="false">
      <c r="Z1128" s="137"/>
    </row>
    <row r="1129" customFormat="false" ht="12.75" hidden="false" customHeight="false" outlineLevel="0" collapsed="false">
      <c r="Z1129" s="137"/>
    </row>
    <row r="1130" customFormat="false" ht="12.75" hidden="false" customHeight="false" outlineLevel="0" collapsed="false">
      <c r="Z1130" s="137"/>
    </row>
    <row r="1131" customFormat="false" ht="12.75" hidden="false" customHeight="false" outlineLevel="0" collapsed="false">
      <c r="Z1131" s="137"/>
    </row>
    <row r="1132" customFormat="false" ht="12.75" hidden="false" customHeight="false" outlineLevel="0" collapsed="false">
      <c r="Z1132" s="137"/>
    </row>
    <row r="1133" customFormat="false" ht="12.75" hidden="false" customHeight="false" outlineLevel="0" collapsed="false">
      <c r="Z1133" s="137"/>
    </row>
    <row r="1134" customFormat="false" ht="12.75" hidden="false" customHeight="false" outlineLevel="0" collapsed="false">
      <c r="Z1134" s="137"/>
    </row>
    <row r="1135" customFormat="false" ht="12.75" hidden="false" customHeight="false" outlineLevel="0" collapsed="false">
      <c r="Z1135" s="137"/>
    </row>
    <row r="1136" customFormat="false" ht="12.75" hidden="false" customHeight="false" outlineLevel="0" collapsed="false">
      <c r="Z1136" s="137"/>
    </row>
    <row r="1137" customFormat="false" ht="12.75" hidden="false" customHeight="false" outlineLevel="0" collapsed="false">
      <c r="Z1137" s="137"/>
    </row>
    <row r="1138" customFormat="false" ht="12.75" hidden="false" customHeight="false" outlineLevel="0" collapsed="false">
      <c r="Z1138" s="137"/>
    </row>
    <row r="1139" customFormat="false" ht="12.75" hidden="false" customHeight="false" outlineLevel="0" collapsed="false">
      <c r="Z1139" s="137"/>
    </row>
    <row r="1140" customFormat="false" ht="12.75" hidden="false" customHeight="false" outlineLevel="0" collapsed="false">
      <c r="Z1140" s="137"/>
    </row>
    <row r="1141" customFormat="false" ht="12.75" hidden="false" customHeight="false" outlineLevel="0" collapsed="false">
      <c r="Z1141" s="137"/>
    </row>
    <row r="1142" customFormat="false" ht="12.75" hidden="false" customHeight="false" outlineLevel="0" collapsed="false">
      <c r="Z1142" s="137"/>
    </row>
    <row r="1143" customFormat="false" ht="12.75" hidden="false" customHeight="false" outlineLevel="0" collapsed="false">
      <c r="Z1143" s="137"/>
    </row>
    <row r="1144" customFormat="false" ht="12.75" hidden="false" customHeight="false" outlineLevel="0" collapsed="false">
      <c r="Z1144" s="137"/>
    </row>
    <row r="1145" customFormat="false" ht="12.75" hidden="false" customHeight="false" outlineLevel="0" collapsed="false">
      <c r="Z1145" s="137"/>
    </row>
    <row r="1146" customFormat="false" ht="12.75" hidden="false" customHeight="false" outlineLevel="0" collapsed="false">
      <c r="Z1146" s="137"/>
    </row>
    <row r="1147" customFormat="false" ht="12.75" hidden="false" customHeight="false" outlineLevel="0" collapsed="false">
      <c r="Z1147" s="137"/>
    </row>
    <row r="1148" customFormat="false" ht="12.75" hidden="false" customHeight="false" outlineLevel="0" collapsed="false">
      <c r="Z1148" s="137"/>
    </row>
    <row r="1149" customFormat="false" ht="12.75" hidden="false" customHeight="false" outlineLevel="0" collapsed="false">
      <c r="Z1149" s="137"/>
    </row>
    <row r="1150" customFormat="false" ht="12.75" hidden="false" customHeight="false" outlineLevel="0" collapsed="false">
      <c r="Z1150" s="137"/>
    </row>
    <row r="1151" customFormat="false" ht="12.75" hidden="false" customHeight="false" outlineLevel="0" collapsed="false">
      <c r="Z1151" s="137"/>
    </row>
    <row r="1152" customFormat="false" ht="12.75" hidden="false" customHeight="false" outlineLevel="0" collapsed="false">
      <c r="Z1152" s="137"/>
    </row>
    <row r="1153" customFormat="false" ht="12.75" hidden="false" customHeight="false" outlineLevel="0" collapsed="false">
      <c r="Z1153" s="137"/>
    </row>
    <row r="1154" customFormat="false" ht="12.75" hidden="false" customHeight="false" outlineLevel="0" collapsed="false">
      <c r="Z1154" s="137"/>
    </row>
    <row r="1155" customFormat="false" ht="12.75" hidden="false" customHeight="false" outlineLevel="0" collapsed="false">
      <c r="Z1155" s="137"/>
    </row>
    <row r="1156" customFormat="false" ht="12.75" hidden="false" customHeight="false" outlineLevel="0" collapsed="false">
      <c r="Z1156" s="137"/>
    </row>
    <row r="1157" customFormat="false" ht="12.75" hidden="false" customHeight="false" outlineLevel="0" collapsed="false">
      <c r="Z1157" s="137"/>
    </row>
    <row r="1158" customFormat="false" ht="12.75" hidden="false" customHeight="false" outlineLevel="0" collapsed="false">
      <c r="Z1158" s="137"/>
    </row>
    <row r="1159" customFormat="false" ht="12.75" hidden="false" customHeight="false" outlineLevel="0" collapsed="false">
      <c r="Z1159" s="137"/>
    </row>
    <row r="1160" customFormat="false" ht="12.75" hidden="false" customHeight="false" outlineLevel="0" collapsed="false">
      <c r="Z1160" s="137"/>
    </row>
    <row r="1161" customFormat="false" ht="12.75" hidden="false" customHeight="false" outlineLevel="0" collapsed="false">
      <c r="Z1161" s="137"/>
    </row>
    <row r="1162" customFormat="false" ht="12.75" hidden="false" customHeight="false" outlineLevel="0" collapsed="false">
      <c r="Z1162" s="137"/>
    </row>
    <row r="1163" customFormat="false" ht="12.75" hidden="false" customHeight="false" outlineLevel="0" collapsed="false">
      <c r="Z1163" s="137"/>
    </row>
    <row r="1164" customFormat="false" ht="12.75" hidden="false" customHeight="false" outlineLevel="0" collapsed="false">
      <c r="Z1164" s="137"/>
    </row>
    <row r="1165" customFormat="false" ht="12.75" hidden="false" customHeight="false" outlineLevel="0" collapsed="false">
      <c r="Z1165" s="137"/>
    </row>
    <row r="1166" customFormat="false" ht="12.75" hidden="false" customHeight="false" outlineLevel="0" collapsed="false">
      <c r="Z1166" s="137"/>
    </row>
    <row r="1167" customFormat="false" ht="12.75" hidden="false" customHeight="false" outlineLevel="0" collapsed="false">
      <c r="Z1167" s="137"/>
    </row>
    <row r="1168" customFormat="false" ht="12.75" hidden="false" customHeight="false" outlineLevel="0" collapsed="false">
      <c r="Z1168" s="137"/>
    </row>
    <row r="1169" customFormat="false" ht="12.75" hidden="false" customHeight="false" outlineLevel="0" collapsed="false">
      <c r="Z1169" s="137"/>
    </row>
    <row r="1170" customFormat="false" ht="12.75" hidden="false" customHeight="false" outlineLevel="0" collapsed="false">
      <c r="Z1170" s="137"/>
    </row>
    <row r="1171" customFormat="false" ht="12.75" hidden="false" customHeight="false" outlineLevel="0" collapsed="false">
      <c r="Z1171" s="137"/>
    </row>
    <row r="1172" customFormat="false" ht="12.75" hidden="false" customHeight="false" outlineLevel="0" collapsed="false">
      <c r="Z1172" s="137"/>
    </row>
    <row r="1173" customFormat="false" ht="12.75" hidden="false" customHeight="false" outlineLevel="0" collapsed="false">
      <c r="Z1173" s="137"/>
    </row>
    <row r="1174" customFormat="false" ht="12.75" hidden="false" customHeight="false" outlineLevel="0" collapsed="false">
      <c r="Z1174" s="137"/>
    </row>
    <row r="1175" customFormat="false" ht="12.75" hidden="false" customHeight="false" outlineLevel="0" collapsed="false">
      <c r="Z1175" s="137"/>
    </row>
    <row r="1176" customFormat="false" ht="12.75" hidden="false" customHeight="false" outlineLevel="0" collapsed="false">
      <c r="Z1176" s="137"/>
    </row>
    <row r="1177" customFormat="false" ht="12.75" hidden="false" customHeight="false" outlineLevel="0" collapsed="false">
      <c r="Z1177" s="137"/>
    </row>
    <row r="1178" customFormat="false" ht="12.75" hidden="false" customHeight="false" outlineLevel="0" collapsed="false">
      <c r="Z1178" s="137"/>
    </row>
    <row r="1179" customFormat="false" ht="12.75" hidden="false" customHeight="false" outlineLevel="0" collapsed="false">
      <c r="Z1179" s="137"/>
    </row>
    <row r="1180" customFormat="false" ht="12.75" hidden="false" customHeight="false" outlineLevel="0" collapsed="false">
      <c r="Z1180" s="137"/>
    </row>
    <row r="1181" customFormat="false" ht="12.75" hidden="false" customHeight="false" outlineLevel="0" collapsed="false">
      <c r="Z1181" s="137"/>
    </row>
    <row r="1182" customFormat="false" ht="12.75" hidden="false" customHeight="false" outlineLevel="0" collapsed="false">
      <c r="Z1182" s="137"/>
    </row>
    <row r="1183" customFormat="false" ht="12.75" hidden="false" customHeight="false" outlineLevel="0" collapsed="false">
      <c r="Z1183" s="137"/>
    </row>
    <row r="1184" customFormat="false" ht="12.75" hidden="false" customHeight="false" outlineLevel="0" collapsed="false">
      <c r="Z1184" s="137"/>
    </row>
    <row r="1185" customFormat="false" ht="12.75" hidden="false" customHeight="false" outlineLevel="0" collapsed="false">
      <c r="Z1185" s="137"/>
    </row>
    <row r="1186" customFormat="false" ht="12.75" hidden="false" customHeight="false" outlineLevel="0" collapsed="false">
      <c r="Z1186" s="137"/>
    </row>
    <row r="1187" customFormat="false" ht="12.75" hidden="false" customHeight="false" outlineLevel="0" collapsed="false">
      <c r="Z1187" s="137"/>
    </row>
    <row r="1188" customFormat="false" ht="12.75" hidden="false" customHeight="false" outlineLevel="0" collapsed="false">
      <c r="Z1188" s="137"/>
    </row>
    <row r="1189" customFormat="false" ht="12.75" hidden="false" customHeight="false" outlineLevel="0" collapsed="false">
      <c r="Z1189" s="137"/>
    </row>
    <row r="1190" customFormat="false" ht="12.75" hidden="false" customHeight="false" outlineLevel="0" collapsed="false">
      <c r="Z1190" s="1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vweldon</cp:lastModifiedBy>
  <cp:lastPrinted>2001-03-23T16:24:28Z</cp:lastPrinted>
  <dcterms:modified xsi:type="dcterms:W3CDTF">2001-04-24T19:35:40Z</dcterms:modified>
  <cp:revision>0</cp:revision>
  <dc:subject/>
  <dc:title/>
</cp:coreProperties>
</file>