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rt Nov-00" sheetId="1" state="visible" r:id="rId3"/>
    <sheet name="Cert Dec-00" sheetId="2" state="visible" r:id="rId4"/>
    <sheet name="Cert Jan-01" sheetId="3" state="visible" r:id="rId5"/>
    <sheet name="Cert Feb-01" sheetId="4" state="visible" r:id="rId6"/>
    <sheet name="Cert Mar-01" sheetId="5" state="visible" r:id="rId7"/>
    <sheet name="Cert Apr-01" sheetId="6" state="visible" r:id="rId8"/>
    <sheet name="Cert May-01" sheetId="7" state="visible" r:id="rId9"/>
    <sheet name="Cert Jun-01" sheetId="8" state="visible" r:id="rId10"/>
    <sheet name="Certification" sheetId="9" state="visible" r:id="rId11"/>
  </sheets>
  <externalReferences>
    <externalReference r:id="rId12"/>
  </externalReferences>
  <definedNames>
    <definedName function="false" hidden="false" localSheetId="5" name="_xlnm.Print_Area" vbProcedure="false">'Cert Apr-01'!$A$1:$G$106</definedName>
    <definedName function="false" hidden="false" localSheetId="1" name="_xlnm.Print_Area" vbProcedure="false">'Cert Dec-00'!$A$1:$G$89</definedName>
    <definedName function="false" hidden="false" localSheetId="3" name="_xlnm.Print_Area" vbProcedure="false">'Cert Feb-01'!$A$1:$G$114</definedName>
    <definedName function="false" hidden="false" localSheetId="2" name="_xlnm.Print_Area" vbProcedure="false">'Cert Jan-01'!$A$1:$G$97</definedName>
    <definedName function="false" hidden="false" localSheetId="7" name="_xlnm.Print_Area" vbProcedure="false">'Cert Jun-01'!$A$1:$G$112</definedName>
    <definedName function="false" hidden="false" localSheetId="4" name="_xlnm.Print_Area" vbProcedure="false">'Cert Mar-01'!$A$1:$G$120</definedName>
    <definedName function="false" hidden="false" localSheetId="6" name="_xlnm.Print_Area" vbProcedure="false">'Cert May-01'!$A$1:$G$112</definedName>
    <definedName function="false" hidden="false" localSheetId="0" name="_xlnm.Print_Area" vbProcedure="false">'Cert Nov-00'!$A$1:$G$79</definedName>
    <definedName function="false" hidden="false" name="database_apr01" vbProcedure="false">#REF!</definedName>
    <definedName function="false" hidden="false" name="database_dec" vbProcedure="false">#REF!</definedName>
    <definedName function="false" hidden="false" name="database_feb01" vbProcedure="false">#REF!</definedName>
    <definedName function="false" hidden="false" name="database_jan01" vbProcedure="false">#REF!</definedName>
    <definedName function="false" hidden="false" name="database_mar01" vbProcedure="false">#REF!</definedName>
    <definedName function="false" hidden="false" name="database_may01" vbProcedure="false">#REF!</definedName>
    <definedName function="false" hidden="false" name="database_nov" vbProcedure="false">#REF!</definedName>
    <definedName function="false" hidden="false" name="_MARKET_AP" vbProcedure="false">[1]Summary!$F$8</definedName>
    <definedName function="false" hidden="false" name="_MARKET_SHORTFALL" vbProcedure="false">[1]Summary!$F$12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<sst xmlns="http://schemas.openxmlformats.org/spreadsheetml/2006/main" count="906" uniqueCount="223">
  <si>
    <t xml:space="preserve">Certification for Market Settlement September 28, 2001</t>
  </si>
  <si>
    <t xml:space="preserve">For the Trade Month of November 2000</t>
  </si>
  <si>
    <t xml:space="preserve">ISO Creditors to whom amounts are Owed</t>
  </si>
  <si>
    <t xml:space="preserve"> #</t>
  </si>
  <si>
    <t xml:space="preserve">Customer Name</t>
  </si>
  <si>
    <t xml:space="preserve">Trade Month</t>
  </si>
  <si>
    <t xml:space="preserve">Amount Owed</t>
  </si>
  <si>
    <t xml:space="preserve">% of total owed to Creditors</t>
  </si>
  <si>
    <t xml:space="preserve">Total Due to 55 SCs (Creditors)</t>
  </si>
  <si>
    <t xml:space="preserve">Amounts owed by ISO Debtor that remain unpaid:</t>
  </si>
  <si>
    <t xml:space="preserve">Preliminary and final invoices were provided in February's certification.</t>
  </si>
  <si>
    <t xml:space="preserve">Date</t>
  </si>
  <si>
    <t xml:space="preserve">Inv #</t>
  </si>
  <si>
    <t xml:space="preserve">Type</t>
  </si>
  <si>
    <t xml:space="preserve">Unpaid Balance</t>
  </si>
  <si>
    <t xml:space="preserve">% of total due from Debtors</t>
  </si>
  <si>
    <t xml:space="preserve">California Power Exchange</t>
  </si>
  <si>
    <t xml:space="preserve">Mkt</t>
  </si>
  <si>
    <t xml:space="preserve">Total Due From SCs (Debtors)</t>
  </si>
  <si>
    <t xml:space="preserve">Summary of activity for Trade Month of November 2000:</t>
  </si>
  <si>
    <t xml:space="preserve">Due from SCs</t>
  </si>
  <si>
    <t xml:space="preserve">Preliminary Invoices</t>
  </si>
  <si>
    <t xml:space="preserve">Final Invoices</t>
  </si>
  <si>
    <t xml:space="preserve">Total Invoiced</t>
  </si>
  <si>
    <t xml:space="preserve">Collected 2/1/01</t>
  </si>
  <si>
    <t xml:space="preserve">Collected 2/9/01</t>
  </si>
  <si>
    <t xml:space="preserve">Collected 2/22/01</t>
  </si>
  <si>
    <t xml:space="preserve">Collected 3/5/01</t>
  </si>
  <si>
    <t xml:space="preserve">Total Collected</t>
  </si>
  <si>
    <t xml:space="preserve">Offsets against Nov-00 Market AP </t>
  </si>
  <si>
    <t xml:space="preserve">Cancelled Nov-00 Market AR invoice </t>
  </si>
  <si>
    <t xml:space="preserve">Offsets against Mar-01 Market AP </t>
  </si>
  <si>
    <t xml:space="preserve">Offsets against May-01 Market AP </t>
  </si>
  <si>
    <t xml:space="preserve">Total Adjustments</t>
  </si>
  <si>
    <t xml:space="preserve">Balance Due from SCs</t>
  </si>
  <si>
    <t xml:space="preserve">Due to SCs</t>
  </si>
  <si>
    <t xml:space="preserve">Paid 2/1/01</t>
  </si>
  <si>
    <t xml:space="preserve">Paid 2/9/01</t>
  </si>
  <si>
    <t xml:space="preserve">Paid 2/22/01</t>
  </si>
  <si>
    <t xml:space="preserve">Paid 3/7/01</t>
  </si>
  <si>
    <t xml:space="preserve">Paid 4/26/01</t>
  </si>
  <si>
    <t xml:space="preserve">Total Paid</t>
  </si>
  <si>
    <t xml:space="preserve">Offsets against Oct-00 Market AR </t>
  </si>
  <si>
    <t xml:space="preserve">Offsets against Nov-00 GMC </t>
  </si>
  <si>
    <t xml:space="preserve">Offsets against Nov-00 Market AR </t>
  </si>
  <si>
    <t xml:space="preserve">Offsets against Dec-00 GMC</t>
  </si>
  <si>
    <t xml:space="preserve">Offsets against Dec-00 Market AR </t>
  </si>
  <si>
    <t xml:space="preserve">Offsets against Jan-01 GMC </t>
  </si>
  <si>
    <t xml:space="preserve">Offsets against Jan-01 Market AP</t>
  </si>
  <si>
    <t xml:space="preserve">Offsets against Feb-01 GMC </t>
  </si>
  <si>
    <t xml:space="preserve">Offsets against Feb-01 Market AR </t>
  </si>
  <si>
    <t xml:space="preserve">Offsets against Mar-01 GMC</t>
  </si>
  <si>
    <t xml:space="preserve">Offsets against Mar-01 Market AR</t>
  </si>
  <si>
    <t xml:space="preserve">Offsets against Apr-01 Market AR</t>
  </si>
  <si>
    <t xml:space="preserve">FERC ordered reduction Nov-00 Market AP</t>
  </si>
  <si>
    <t xml:space="preserve">Balance Due to SCs</t>
  </si>
  <si>
    <t xml:space="preserve">For the Trade Month of December 2000</t>
  </si>
  <si>
    <t xml:space="preserve">ISO Creditors to whom amounts are Owed:</t>
  </si>
  <si>
    <t xml:space="preserve">Total Due to 48 SCs (Creditors)</t>
  </si>
  <si>
    <t xml:space="preserve">Preliminary and final invoices were provided in March's certification.</t>
  </si>
  <si>
    <t xml:space="preserve">Pacific Gas and Electric (a)</t>
  </si>
  <si>
    <t xml:space="preserve">Salt River Project</t>
  </si>
  <si>
    <t xml:space="preserve">Southern California Edison</t>
  </si>
  <si>
    <t xml:space="preserve">Strategic Energy</t>
  </si>
  <si>
    <t xml:space="preserve">(a) - pre-bankruptcy activity</t>
  </si>
  <si>
    <t xml:space="preserve">Summary of activity for Trade Month of December 2000:</t>
  </si>
  <si>
    <t xml:space="preserve">Collected 3/9/01</t>
  </si>
  <si>
    <t xml:space="preserve">Collected 3/22/01</t>
  </si>
  <si>
    <t xml:space="preserve">Collected 4/20/01</t>
  </si>
  <si>
    <t xml:space="preserve">Offset against Nov-00 Market AP</t>
  </si>
  <si>
    <t xml:space="preserve">Cancelled Dec-00 Market AR invoice </t>
  </si>
  <si>
    <t xml:space="preserve">Offset against Dec-00 Market AP </t>
  </si>
  <si>
    <t xml:space="preserve">Offset against Jan-01 GMC</t>
  </si>
  <si>
    <t xml:space="preserve">Offset against Jan-01 Market AP </t>
  </si>
  <si>
    <t xml:space="preserve">Offset against Feb-01 Market AP </t>
  </si>
  <si>
    <t xml:space="preserve">Offset against Mar-01 Market AP</t>
  </si>
  <si>
    <t xml:space="preserve">Offset against Apr-01 Market AP</t>
  </si>
  <si>
    <t xml:space="preserve">Offset against May-01 Market AP</t>
  </si>
  <si>
    <t xml:space="preserve">Offset against Jun-01 Market AP</t>
  </si>
  <si>
    <t xml:space="preserve">Paid 3/97/01</t>
  </si>
  <si>
    <t xml:space="preserve">Paid 3/23/01</t>
  </si>
  <si>
    <t xml:space="preserve">Paid 3/27/01</t>
  </si>
  <si>
    <t xml:space="preserve">Paid 4/23/01</t>
  </si>
  <si>
    <t xml:space="preserve">Offset against Dec-00 GMC</t>
  </si>
  <si>
    <t xml:space="preserve">Offset against Dec-00 Market AR </t>
  </si>
  <si>
    <t xml:space="preserve">Cancelled Dec-00 Market AP invoices</t>
  </si>
  <si>
    <t xml:space="preserve">FERC ordered reduction Dec-00 Market AP</t>
  </si>
  <si>
    <t xml:space="preserve">Offset against Jan-01 Market AR </t>
  </si>
  <si>
    <t xml:space="preserve">Offset against Feb-01 Market AR</t>
  </si>
  <si>
    <t xml:space="preserve">Offset against Mar-01 Market AR</t>
  </si>
  <si>
    <t xml:space="preserve">For the Trade Month of January 2001</t>
  </si>
  <si>
    <t xml:space="preserve">Total Due to 51 SCs (Creditors)</t>
  </si>
  <si>
    <t xml:space="preserve">Preliminary and final invoices were provided in April's certification.</t>
  </si>
  <si>
    <t xml:space="preserve">Aquila Power</t>
  </si>
  <si>
    <t xml:space="preserve">GMC</t>
  </si>
  <si>
    <t xml:space="preserve">British Columbia power Exchange</t>
  </si>
  <si>
    <t xml:space="preserve">Idaho Power Company</t>
  </si>
  <si>
    <t xml:space="preserve">Sacramento Municipal Utility District</t>
  </si>
  <si>
    <t xml:space="preserve">Turlock Irrigation District</t>
  </si>
  <si>
    <t xml:space="preserve">British Columbia Power Exchange</t>
  </si>
  <si>
    <t xml:space="preserve">Pacific Gas and Electric (California Power Exchange) (a)</t>
  </si>
  <si>
    <t xml:space="preserve">Pacific Gas and Electric Company (a)</t>
  </si>
  <si>
    <t xml:space="preserve">Summary of activity for Trade Month of January 2001:</t>
  </si>
  <si>
    <t xml:space="preserve">Collected 4/2/01</t>
  </si>
  <si>
    <t xml:space="preserve">Offset against Dec-00 Market AP</t>
  </si>
  <si>
    <t xml:space="preserve">Cancelled Jan-01 Market AR invoices</t>
  </si>
  <si>
    <t xml:space="preserve">Add Uncollected Jan-01 GMC</t>
  </si>
  <si>
    <t xml:space="preserve">Paid 4/2/01</t>
  </si>
  <si>
    <t xml:space="preserve">Paid 4/27/01</t>
  </si>
  <si>
    <t xml:space="preserve">Offset against Dec-00 Market AR</t>
  </si>
  <si>
    <t xml:space="preserve">Offset against Jan-01 Market AR</t>
  </si>
  <si>
    <t xml:space="preserve">Issued Jan-01 Market AP invoice </t>
  </si>
  <si>
    <t xml:space="preserve">Cancelled Jan-01 Market AP invoices</t>
  </si>
  <si>
    <t xml:space="preserve">Offset against Apr-01 Market AR</t>
  </si>
  <si>
    <t xml:space="preserve">Excess of Balance Due to SCs over Due from SCs</t>
  </si>
  <si>
    <t xml:space="preserve">Attributable to Trade Month of November 2000</t>
  </si>
  <si>
    <t xml:space="preserve">Attributable to Trade Month of December 2000</t>
  </si>
  <si>
    <t xml:space="preserve">Total</t>
  </si>
  <si>
    <t xml:space="preserve">For the Trade Month of February 2001</t>
  </si>
  <si>
    <t xml:space="preserve">Total Due to 25 SCs (Creditors)</t>
  </si>
  <si>
    <t xml:space="preserve">Preliminary and final invoices were provided in May's certification.</t>
  </si>
  <si>
    <t xml:space="preserve">Arizona Public Service</t>
  </si>
  <si>
    <t xml:space="preserve">Seattle City Light</t>
  </si>
  <si>
    <t xml:space="preserve">City of Anaheim</t>
  </si>
  <si>
    <t xml:space="preserve">City of Azuza</t>
  </si>
  <si>
    <t xml:space="preserve">City of Riverside</t>
  </si>
  <si>
    <t xml:space="preserve">Collected 5/2/01</t>
  </si>
  <si>
    <t xml:space="preserve">Collected 5/1701</t>
  </si>
  <si>
    <t xml:space="preserve">Collected 5/31/01</t>
  </si>
  <si>
    <t xml:space="preserve">Collected 6/1901</t>
  </si>
  <si>
    <t xml:space="preserve">Collected 7/19/01</t>
  </si>
  <si>
    <t xml:space="preserve">Collected 8/20/01</t>
  </si>
  <si>
    <t xml:space="preserve">Offset against Jan-01 Market AP</t>
  </si>
  <si>
    <t xml:space="preserve">Cancelled Feb-01 Market AR invoices</t>
  </si>
  <si>
    <t xml:space="preserve">Offset against Apr-00 Market AP</t>
  </si>
  <si>
    <t xml:space="preserve">Offset against Jun-00 Market AP</t>
  </si>
  <si>
    <t xml:space="preserve">Add Uncollected Feb-01 GMC</t>
  </si>
  <si>
    <t xml:space="preserve">Paid 5/3/01</t>
  </si>
  <si>
    <t xml:space="preserve">Paid 5/17/01</t>
  </si>
  <si>
    <t xml:space="preserve">Paid 6/19/01</t>
  </si>
  <si>
    <t xml:space="preserve">Paid 8/23/01</t>
  </si>
  <si>
    <t xml:space="preserve">Paid 9/26/01</t>
  </si>
  <si>
    <t xml:space="preserve">Offset against Feb-01 GMC</t>
  </si>
  <si>
    <t xml:space="preserve">Offset against May GMC</t>
  </si>
  <si>
    <t xml:space="preserve">Offset against May-01 Market AR</t>
  </si>
  <si>
    <t xml:space="preserve">Offset against Jun-01 GMC</t>
  </si>
  <si>
    <t xml:space="preserve">Offset against Jun-01 Market AR</t>
  </si>
  <si>
    <t xml:space="preserve">For the Trade Month of March 2001</t>
  </si>
  <si>
    <t xml:space="preserve">Preliminary and final invoices were provided in June's certification.</t>
  </si>
  <si>
    <t xml:space="preserve">Aquila Power Corporation</t>
  </si>
  <si>
    <t xml:space="preserve">City of Glendale</t>
  </si>
  <si>
    <t xml:space="preserve">Coral Power, LLC </t>
  </si>
  <si>
    <t xml:space="preserve">Duke Energy and Trading</t>
  </si>
  <si>
    <t xml:space="preserve">Edison Source</t>
  </si>
  <si>
    <t xml:space="preserve">Louisville Gas and Electric</t>
  </si>
  <si>
    <t xml:space="preserve">Collected 6/19/01</t>
  </si>
  <si>
    <t xml:space="preserve">Cancelled Mar-01 Market AR invoices</t>
  </si>
  <si>
    <t xml:space="preserve">Offset against Mar-01 GMC</t>
  </si>
  <si>
    <t xml:space="preserve">Offset against Feb-01 Market AP</t>
  </si>
  <si>
    <t xml:space="preserve">Add Uncollected Feb-01 GMC 7/24/01</t>
  </si>
  <si>
    <t xml:space="preserve">Paid 6/4/01</t>
  </si>
  <si>
    <t xml:space="preserve">Offset against Nov-00 Market AR</t>
  </si>
  <si>
    <t xml:space="preserve">Offset against Apr-01 GMC</t>
  </si>
  <si>
    <t xml:space="preserve">For the Trade Month of April 2001</t>
  </si>
  <si>
    <t xml:space="preserve">Total Due to 26 SCs (Creditors)</t>
  </si>
  <si>
    <t xml:space="preserve">Preliminary and final invoices were provided in July's certification.</t>
  </si>
  <si>
    <t xml:space="preserve">Constellation Power Source</t>
  </si>
  <si>
    <t xml:space="preserve">City of Banning</t>
  </si>
  <si>
    <t xml:space="preserve">City of Pasadena</t>
  </si>
  <si>
    <t xml:space="preserve">Koch Energy Trading</t>
  </si>
  <si>
    <t xml:space="preserve">Louisville Gans and Electric</t>
  </si>
  <si>
    <t xml:space="preserve">Pacific Gas and Electric (California PX) (a)</t>
  </si>
  <si>
    <t xml:space="preserve">Pacific Gas and Electric</t>
  </si>
  <si>
    <t xml:space="preserve">Collected 6/29/01</t>
  </si>
  <si>
    <t xml:space="preserve">Cancelled Apr-01 Market AR invoices</t>
  </si>
  <si>
    <t xml:space="preserve">Add Uncollected Apr-01 GMC </t>
  </si>
  <si>
    <t xml:space="preserve">Paid 6/29/01</t>
  </si>
  <si>
    <t xml:space="preserve">Paid 7/24/01</t>
  </si>
  <si>
    <t xml:space="preserve">Cancelled Apr-01 Market AP invoices</t>
  </si>
  <si>
    <t xml:space="preserve">Offset against May-01 GMC</t>
  </si>
  <si>
    <t xml:space="preserve">For the Trade Month of May 2001</t>
  </si>
  <si>
    <t xml:space="preserve">Total Due to 28 SCs (Creditors)</t>
  </si>
  <si>
    <t xml:space="preserve">Preliminary and final invoices were provided in August's certification.</t>
  </si>
  <si>
    <t xml:space="preserve">Citizens Power Sales</t>
  </si>
  <si>
    <t xml:space="preserve">Los Angeles Department of Water and Power</t>
  </si>
  <si>
    <t xml:space="preserve">Portland General Electric</t>
  </si>
  <si>
    <t xml:space="preserve">PPL Montana</t>
  </si>
  <si>
    <t xml:space="preserve">Puget Sound Energy</t>
  </si>
  <si>
    <t xml:space="preserve">Sierra Pacific Power Company</t>
  </si>
  <si>
    <t xml:space="preserve">Western Area Power Administration - Redding</t>
  </si>
  <si>
    <t xml:space="preserve">Collected 8/1/01</t>
  </si>
  <si>
    <t xml:space="preserve">Collected 8/21/01</t>
  </si>
  <si>
    <t xml:space="preserve">Collected 8/31/01</t>
  </si>
  <si>
    <t xml:space="preserve">Offset against Mar-01 Market AP </t>
  </si>
  <si>
    <t xml:space="preserve">Offset against Apr-01 Market AP </t>
  </si>
  <si>
    <t xml:space="preserve">Add Uncollected May-01 GMC </t>
  </si>
  <si>
    <t xml:space="preserve">For the Trade Month of June 2001</t>
  </si>
  <si>
    <t xml:space="preserve">Total Due to 38 SCs (Creditors)</t>
  </si>
  <si>
    <t xml:space="preserve">Preliminary and final invoices are attached.</t>
  </si>
  <si>
    <t xml:space="preserve">Aquila Power Corpporation</t>
  </si>
  <si>
    <t xml:space="preserve">California Polar Power</t>
  </si>
  <si>
    <t xml:space="preserve">Cuitizens Power Sales</t>
  </si>
  <si>
    <t xml:space="preserve">Coral Power, LLC</t>
  </si>
  <si>
    <t xml:space="preserve">El Paso Power Services</t>
  </si>
  <si>
    <t xml:space="preserve">Collected 9/20/01</t>
  </si>
  <si>
    <t xml:space="preserve">Cancelled Jun-01 Market AR invoices</t>
  </si>
  <si>
    <t xml:space="preserve">Add Uncollected Jun-01 GMC </t>
  </si>
  <si>
    <t xml:space="preserve">Certification for Market Settlement September 28, 2001 </t>
  </si>
  <si>
    <t xml:space="preserve">For the Trade Months of:</t>
  </si>
  <si>
    <t xml:space="preserve">November 2000</t>
  </si>
  <si>
    <t xml:space="preserve">December 2000</t>
  </si>
  <si>
    <t xml:space="preserve">January 2001</t>
  </si>
  <si>
    <t xml:space="preserve">February 2001</t>
  </si>
  <si>
    <t xml:space="preserve">March 2001</t>
  </si>
  <si>
    <t xml:space="preserve">April 2001</t>
  </si>
  <si>
    <t xml:space="preserve">May 2001</t>
  </si>
  <si>
    <t xml:space="preserve">June 2001</t>
  </si>
  <si>
    <t xml:space="preserve">Certification:</t>
  </si>
  <si>
    <t xml:space="preserve">I, William J. Regan, Jr., hereby certify as Chief Financial Officer at the  California Independent System Operator Corporation ("ISO") that the following information and schedules and attached invoices of ISO Debtors is a true and accurate reflection of the current financial data set forth.</t>
  </si>
  <si>
    <t xml:space="preserve">Dated:  September 28, 2001</t>
  </si>
  <si>
    <t xml:space="preserve">Signature: </t>
  </si>
  <si>
    <t xml:space="preserve">/s/   William J. Regan, Jr.</t>
  </si>
  <si>
    <r>
      <rPr>
        <b val="true"/>
        <sz val="12"/>
        <rFont val="Arial"/>
        <family val="2"/>
      </rPr>
      <t xml:space="preserve">by:  </t>
    </r>
    <r>
      <rPr>
        <b val="true"/>
        <i val="true"/>
        <sz val="12"/>
        <rFont val="Arial"/>
        <family val="2"/>
      </rPr>
      <t xml:space="preserve">William J. Regan, Jr.</t>
    </r>
    <r>
      <rPr>
        <b val="true"/>
        <sz val="12"/>
        <rFont val="Arial"/>
        <family val="2"/>
      </rPr>
      <t xml:space="preserve"> Chief Financial Officer</t>
    </r>
  </si>
</sst>
</file>

<file path=xl/styles.xml><?xml version="1.0" encoding="utf-8"?>
<styleSheet xmlns="http://schemas.openxmlformats.org/spreadsheetml/2006/main">
  <numFmts count="11">
    <numFmt numFmtId="164" formatCode="General"/>
    <numFmt numFmtId="165" formatCode="_(* #,##0.00_);_(* \(#,##0.00\);_(* \-??_);_(@_)"/>
    <numFmt numFmtId="166" formatCode="[$-409]mmm\-yy"/>
    <numFmt numFmtId="167" formatCode="_(\$* #,##0.00_);_(\$* \(#,##0.00\);_(\$* \-??_);_(@_)"/>
    <numFmt numFmtId="168" formatCode="0%"/>
    <numFmt numFmtId="169" formatCode="0.000%"/>
    <numFmt numFmtId="170" formatCode="[$-409]d\-mmm\-yy"/>
    <numFmt numFmtId="171" formatCode="[$-409]m/d/yyyy"/>
    <numFmt numFmtId="172" formatCode="dd\-mmm\-yy"/>
    <numFmt numFmtId="173" formatCode="0.0000%"/>
    <numFmt numFmtId="174" formatCode="@"/>
  </numFmts>
  <fonts count="15">
    <font>
      <sz val="10"/>
      <name val="Arial"/>
      <family val="0"/>
    </font>
    <font>
      <sz val="10"/>
      <name val="Arial"/>
      <family val="0"/>
    </font>
    <font>
      <sz val="10"/>
      <name val="Arial"/>
      <family val="0"/>
    </font>
    <font>
      <sz val="10"/>
      <name val="Arial"/>
      <family val="0"/>
    </font>
    <font>
      <sz val="8"/>
      <name val="Arial"/>
      <family val="2"/>
    </font>
    <font>
      <b val="true"/>
      <sz val="12"/>
      <name val="Arial"/>
      <family val="2"/>
    </font>
    <font>
      <b val="true"/>
      <sz val="8"/>
      <name val="Arial"/>
      <family val="2"/>
    </font>
    <font>
      <b val="true"/>
      <sz val="10"/>
      <name val="Arial"/>
      <family val="2"/>
    </font>
    <font>
      <sz val="8"/>
      <color rgb="FF000000"/>
      <name val="Arial"/>
      <family val="2"/>
    </font>
    <font>
      <sz val="10"/>
      <color rgb="FF000000"/>
      <name val="Arial"/>
      <family val="2"/>
    </font>
    <font>
      <sz val="10"/>
      <name val="Arial"/>
      <family val="2"/>
    </font>
    <font>
      <b val="true"/>
      <sz val="10"/>
      <color rgb="FF000000"/>
      <name val="Arial"/>
      <family val="2"/>
    </font>
    <font>
      <b val="true"/>
      <u val="single"/>
      <sz val="12"/>
      <name val="Arial"/>
      <family val="2"/>
    </font>
    <font>
      <b val="true"/>
      <i val="true"/>
      <sz val="12"/>
      <name val="Arial"/>
      <family val="2"/>
    </font>
    <font>
      <i val="true"/>
      <sz val="12"/>
      <name val="Arial"/>
      <family val="2"/>
    </font>
  </fonts>
  <fills count="2">
    <fill>
      <patternFill patternType="none"/>
    </fill>
    <fill>
      <patternFill patternType="gray125"/>
    </fill>
  </fills>
  <borders count="11">
    <border diagonalUp="false" diagonalDown="false">
      <left/>
      <right/>
      <top/>
      <bottom/>
      <diagonal/>
    </border>
    <border diagonalUp="false" diagonalDown="false">
      <left style="thick"/>
      <right style="thick"/>
      <top style="thick"/>
      <bottom style="thick"/>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right/>
      <top/>
      <bottom style="double"/>
      <diagonal/>
    </border>
    <border diagonalUp="false" diagonalDown="false">
      <left style="hair"/>
      <right style="hair"/>
      <top style="hair"/>
      <bottom style="hair"/>
      <diagonal/>
    </border>
    <border diagonalUp="false" diagonalDown="false">
      <left style="hair"/>
      <right style="hair"/>
      <top style="hair"/>
      <bottom style="thin"/>
      <diagonal/>
    </border>
    <border diagonalUp="false" diagonalDown="false">
      <left/>
      <right/>
      <top/>
      <bottom style="thin"/>
      <diagonal/>
    </border>
    <border diagonalUp="false" diagonalDown="false">
      <left/>
      <right/>
      <top/>
      <bottom style="medium"/>
      <diagonal/>
    </border>
    <border diagonalUp="false" diagonalDown="false">
      <left style="hair"/>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5" fontId="4" fillId="0" borderId="4" xfId="15" applyFont="true" applyBorder="true" applyAlignment="true" applyProtection="true">
      <alignment horizontal="center" vertical="center" textRotation="0" wrapText="true" indent="0" shrinkToFit="false"/>
      <protection locked="true" hidden="false"/>
    </xf>
    <xf numFmtId="165" fontId="4" fillId="0" borderId="1" xfId="15"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15"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7" fontId="7" fillId="0" borderId="5" xfId="15" applyFont="true" applyBorder="true" applyAlignment="true" applyProtection="true">
      <alignment horizontal="general" vertical="bottom" textRotation="0" wrapText="false" indent="0" shrinkToFit="false"/>
      <protection locked="true" hidden="false"/>
    </xf>
    <xf numFmtId="169" fontId="7" fillId="0" borderId="5" xfId="19" applyFont="true" applyBorder="true" applyAlignment="true" applyProtection="tru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70" fontId="4" fillId="0" borderId="6" xfId="0" applyFont="true" applyBorder="true" applyAlignment="true" applyProtection="false">
      <alignment horizontal="general" vertical="bottom" textRotation="0" wrapText="tru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7" fontId="9" fillId="0" borderId="6" xfId="15" applyFont="true" applyBorder="true" applyAlignment="true" applyProtection="true">
      <alignment horizontal="general" vertical="bottom" textRotation="0" wrapText="false" indent="0" shrinkToFit="false"/>
      <protection locked="true" hidden="false"/>
    </xf>
    <xf numFmtId="169" fontId="10" fillId="0" borderId="6" xfId="19" applyFont="true" applyBorder="true" applyAlignment="true" applyProtection="true">
      <alignment horizontal="general" vertical="bottom" textRotation="0" wrapText="false" indent="0" shrinkToFit="false"/>
      <protection locked="true" hidden="false"/>
    </xf>
    <xf numFmtId="170"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5" fontId="9" fillId="0" borderId="7" xfId="15" applyFont="true" applyBorder="true" applyAlignment="true" applyProtection="true">
      <alignment horizontal="general" vertical="bottom" textRotation="0" wrapText="false" indent="0" shrinkToFit="false"/>
      <protection locked="true" hidden="false"/>
    </xf>
    <xf numFmtId="169" fontId="10" fillId="0" borderId="7"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1"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7" fontId="9" fillId="0" borderId="0" xfId="15" applyFont="true" applyBorder="true" applyAlignment="true" applyProtection="true">
      <alignment horizontal="general" vertical="bottom" textRotation="0" wrapText="false" indent="0" shrinkToFit="false"/>
      <protection locked="true" hidden="false"/>
    </xf>
    <xf numFmtId="169" fontId="10" fillId="0" borderId="0" xfId="19" applyFont="true" applyBorder="true" applyAlignment="true" applyProtection="true">
      <alignment horizontal="general" vertical="bottom" textRotation="0" wrapText="false" indent="0" shrinkToFit="false"/>
      <protection locked="true" hidden="false"/>
    </xf>
    <xf numFmtId="165" fontId="9" fillId="0" borderId="8"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11" fillId="0" borderId="8" xfId="15" applyFont="true" applyBorder="true" applyAlignment="true" applyProtection="true">
      <alignment horizontal="general" vertical="bottom" textRotation="0" wrapText="false" indent="0" shrinkToFit="false"/>
      <protection locked="true" hidden="false"/>
    </xf>
    <xf numFmtId="169" fontId="7" fillId="0" borderId="0" xfId="19" applyFont="true" applyBorder="true" applyAlignment="true" applyProtection="true">
      <alignment horizontal="general" vertical="bottom" textRotation="0" wrapText="false" indent="0" shrinkToFit="false"/>
      <protection locked="true" hidden="false"/>
    </xf>
    <xf numFmtId="165" fontId="7" fillId="0" borderId="8"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67" fontId="11" fillId="0" borderId="9" xfId="15" applyFont="true" applyBorder="true" applyAlignment="true" applyProtection="true">
      <alignment horizontal="general" vertical="bottom" textRotation="0" wrapText="false" indent="0" shrinkToFit="false"/>
      <protection locked="true" hidden="false"/>
    </xf>
    <xf numFmtId="169" fontId="7" fillId="0" borderId="9" xfId="19"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2" fontId="4" fillId="0" borderId="6" xfId="0" applyFont="true" applyBorder="true" applyAlignment="true" applyProtection="false">
      <alignment horizontal="general" vertical="bottom" textRotation="0" wrapText="true" indent="0" shrinkToFit="false"/>
      <protection locked="true" hidden="false"/>
    </xf>
    <xf numFmtId="165" fontId="9" fillId="0" borderId="6"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9" fontId="7" fillId="0" borderId="9" xfId="0" applyFont="tru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9"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9" fontId="7"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7" fontId="11" fillId="0" borderId="5" xfId="15" applyFont="true" applyBorder="true" applyAlignment="true" applyProtection="true">
      <alignment horizontal="general" vertical="bottom" textRotation="0" wrapText="false" indent="0" shrinkToFit="false"/>
      <protection locked="true" hidden="false"/>
    </xf>
    <xf numFmtId="166" fontId="4" fillId="0" borderId="6" xfId="0" applyFont="true" applyBorder="true" applyAlignment="true" applyProtection="false">
      <alignment horizontal="center"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72" fontId="4" fillId="0" borderId="0" xfId="0" applyFont="true" applyBorder="true" applyAlignment="true" applyProtection="false">
      <alignment horizontal="general" vertical="bottom" textRotation="0" wrapText="tru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72" fontId="4" fillId="0" borderId="1"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7" fontId="9" fillId="0" borderId="8" xfId="15" applyFont="true" applyBorder="true" applyAlignment="true" applyProtection="true">
      <alignment horizontal="general" vertical="bottom" textRotation="0" wrapText="false" indent="0" shrinkToFit="false"/>
      <protection locked="true" hidden="false"/>
    </xf>
    <xf numFmtId="169" fontId="10" fillId="0" borderId="10" xfId="19" applyFont="true" applyBorder="true" applyAlignment="true" applyProtection="true">
      <alignment horizontal="general" vertical="bottom" textRotation="0" wrapText="false" indent="0" shrinkToFit="false"/>
      <protection locked="true" hidden="false"/>
    </xf>
    <xf numFmtId="172" fontId="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4" fontId="5"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4" fillId="0" borderId="9"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externalLink" Target="externalLinks/externalLink1.xml"/><Relationship Id="rId13"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U:/MKIverson/Market/PRELIM%20MKT%202-2-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Market_AR"/>
      <sheetName val="GMC_AR"/>
      <sheetName val="Market_AP"/>
      <sheetName val="GMC_AP"/>
      <sheetName val="Accounts"/>
      <sheetName val="NameMap"/>
      <sheetName val="Invoices"/>
      <sheetName val="Wir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7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6.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6.7"/>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4"/>
    </row>
    <row r="3" customFormat="false" ht="15.75" hidden="false" customHeight="false" outlineLevel="0" collapsed="false">
      <c r="B3" s="3" t="s">
        <v>1</v>
      </c>
    </row>
    <row r="4" customFormat="false" ht="15.75" hidden="false" customHeight="false" outlineLevel="0" collapsed="false">
      <c r="B4" s="4"/>
    </row>
    <row r="5" customFormat="false" ht="15.75" hidden="false" customHeight="false" outlineLevel="0" collapsed="false">
      <c r="B5" s="4"/>
    </row>
    <row r="6" customFormat="false" ht="15.75" hidden="false" customHeight="false" outlineLevel="0" collapsed="false">
      <c r="B6" s="4"/>
    </row>
    <row r="7" customFormat="false" ht="16.5" hidden="false" customHeight="false" outlineLevel="0" collapsed="false">
      <c r="A7" s="5" t="s">
        <v>2</v>
      </c>
    </row>
    <row r="8" customFormat="false" ht="35.25" hidden="false" customHeight="false" outlineLevel="0" collapsed="false">
      <c r="A8" s="6" t="s">
        <v>3</v>
      </c>
      <c r="B8" s="6" t="s">
        <v>4</v>
      </c>
      <c r="C8" s="6" t="s">
        <v>5</v>
      </c>
      <c r="D8" s="7"/>
      <c r="E8" s="8"/>
      <c r="F8" s="9" t="s">
        <v>6</v>
      </c>
      <c r="G8" s="10" t="s">
        <v>7</v>
      </c>
    </row>
    <row r="9" customFormat="false" ht="12" hidden="false" customHeight="false" outlineLevel="0" collapsed="false">
      <c r="A9" s="11"/>
      <c r="B9" s="11"/>
      <c r="C9" s="11"/>
      <c r="D9" s="11"/>
      <c r="E9" s="11"/>
      <c r="F9" s="12"/>
      <c r="G9" s="11"/>
    </row>
    <row r="10" customFormat="false" ht="13.5" hidden="false" customHeight="false" outlineLevel="0" collapsed="false">
      <c r="A10" s="13"/>
      <c r="B10" s="14" t="s">
        <v>8</v>
      </c>
      <c r="C10" s="15" t="n">
        <v>36831</v>
      </c>
      <c r="D10" s="16"/>
      <c r="E10" s="16"/>
      <c r="F10" s="17" t="n">
        <v>498275053.58</v>
      </c>
      <c r="G10" s="18" t="n">
        <f aca="false">+F10/F$10</f>
        <v>1</v>
      </c>
    </row>
    <row r="11" customFormat="false" ht="16.5" hidden="false" customHeight="false" outlineLevel="0" collapsed="false">
      <c r="B11" s="4"/>
    </row>
    <row r="12" customFormat="false" ht="15.75" hidden="false" customHeight="false" outlineLevel="0" collapsed="false">
      <c r="B12" s="4"/>
    </row>
    <row r="13" customFormat="false" ht="15.75" hidden="false" customHeight="false" outlineLevel="0" collapsed="false">
      <c r="B13" s="4"/>
    </row>
    <row r="14" customFormat="false" ht="15.75" hidden="false" customHeight="false" outlineLevel="0" collapsed="false">
      <c r="B14" s="4"/>
    </row>
    <row r="15" customFormat="false" ht="15.75" hidden="false" customHeight="false" outlineLevel="0" collapsed="false">
      <c r="B15" s="4"/>
    </row>
    <row r="16" customFormat="false" ht="15.75" hidden="false" customHeight="false" outlineLevel="0" collapsed="false">
      <c r="A16" s="5" t="s">
        <v>9</v>
      </c>
    </row>
    <row r="17" customFormat="false" ht="16.5" hidden="false" customHeight="false" outlineLevel="0" collapsed="false">
      <c r="A17" s="5" t="s">
        <v>10</v>
      </c>
    </row>
    <row r="18" customFormat="false" ht="35.25" hidden="false" customHeight="false" outlineLevel="0" collapsed="false">
      <c r="A18" s="6" t="s">
        <v>3</v>
      </c>
      <c r="B18" s="6" t="s">
        <v>4</v>
      </c>
      <c r="C18" s="6" t="s">
        <v>11</v>
      </c>
      <c r="D18" s="6" t="s">
        <v>12</v>
      </c>
      <c r="E18" s="6" t="s">
        <v>13</v>
      </c>
      <c r="F18" s="10" t="s">
        <v>14</v>
      </c>
      <c r="G18" s="10" t="s">
        <v>15</v>
      </c>
    </row>
    <row r="19" customFormat="false" ht="13.5" hidden="false" customHeight="false" outlineLevel="0" collapsed="false"/>
    <row r="20" customFormat="false" ht="12.75" hidden="false" customHeight="false" outlineLevel="0" collapsed="false">
      <c r="A20" s="19" t="n">
        <v>2769</v>
      </c>
      <c r="B20" s="20" t="s">
        <v>16</v>
      </c>
      <c r="C20" s="21" t="n">
        <v>36936</v>
      </c>
      <c r="D20" s="19" t="n">
        <v>14006</v>
      </c>
      <c r="E20" s="22" t="s">
        <v>17</v>
      </c>
      <c r="F20" s="23" t="n">
        <v>93414.8</v>
      </c>
      <c r="G20" s="24" t="n">
        <f aca="false">+F20/F23</f>
        <v>0.000184987170652924</v>
      </c>
    </row>
    <row r="21" customFormat="false" ht="12.75" hidden="false" customHeight="false" outlineLevel="0" collapsed="false">
      <c r="A21" s="19" t="n">
        <v>1243</v>
      </c>
      <c r="B21" s="20" t="s">
        <v>16</v>
      </c>
      <c r="C21" s="25" t="n">
        <v>36917</v>
      </c>
      <c r="D21" s="26" t="n">
        <v>13881</v>
      </c>
      <c r="E21" s="22" t="s">
        <v>17</v>
      </c>
      <c r="F21" s="27" t="n">
        <v>504886469.32</v>
      </c>
      <c r="G21" s="28" t="n">
        <f aca="false">+F21/F23</f>
        <v>0.999815012829347</v>
      </c>
    </row>
    <row r="22" customFormat="false" ht="12.75" hidden="false" customHeight="false" outlineLevel="0" collapsed="false">
      <c r="A22" s="29"/>
      <c r="B22" s="30"/>
      <c r="C22" s="31"/>
      <c r="D22" s="29"/>
      <c r="E22" s="32"/>
      <c r="F22" s="33"/>
      <c r="G22" s="34"/>
    </row>
    <row r="23" customFormat="false" ht="13.5" hidden="false" customHeight="false" outlineLevel="0" collapsed="false">
      <c r="B23" s="14" t="s">
        <v>18</v>
      </c>
      <c r="F23" s="17" t="n">
        <f aca="false">SUM(F20:F22)</f>
        <v>504979884.12</v>
      </c>
      <c r="G23" s="18" t="n">
        <f aca="false">+F23/F23</f>
        <v>1</v>
      </c>
    </row>
    <row r="24" customFormat="false" ht="13.5" hidden="false" customHeight="false" outlineLevel="0" collapsed="false"/>
    <row r="25" customFormat="false" ht="15.75" hidden="false" customHeight="false" outlineLevel="0" collapsed="false">
      <c r="B25" s="3" t="str">
        <f aca="false">+B1</f>
        <v>Certification for Market Settlement September 28, 2001</v>
      </c>
    </row>
    <row r="26" customFormat="false" ht="15.75" hidden="false" customHeight="false" outlineLevel="0" collapsed="false">
      <c r="B26" s="4"/>
    </row>
    <row r="27" customFormat="false" ht="15.75" hidden="false" customHeight="false" outlineLevel="0" collapsed="false">
      <c r="B27" s="5" t="s">
        <v>19</v>
      </c>
    </row>
    <row r="28" customFormat="false" ht="15.75" hidden="false" customHeight="false" outlineLevel="0" collapsed="false">
      <c r="B28" s="5"/>
    </row>
    <row r="29" customFormat="false" ht="15.75" hidden="false" customHeight="false" outlineLevel="0" collapsed="false">
      <c r="B29" s="5" t="s">
        <v>20</v>
      </c>
      <c r="G29" s="34"/>
    </row>
    <row r="30" customFormat="false" ht="15.75" hidden="false" customHeight="false" outlineLevel="0" collapsed="false">
      <c r="B30" s="5"/>
      <c r="G30" s="34"/>
    </row>
    <row r="31" customFormat="false" ht="12.75" hidden="false" customHeight="false" outlineLevel="0" collapsed="false">
      <c r="B31" s="34" t="s">
        <v>21</v>
      </c>
      <c r="C31" s="35"/>
      <c r="D31" s="36"/>
      <c r="E31" s="36"/>
      <c r="F31" s="37" t="n">
        <v>669272884</v>
      </c>
      <c r="G31" s="38" t="n">
        <f aca="false">+F31/F33</f>
        <v>0.995310747264585</v>
      </c>
    </row>
    <row r="32" customFormat="false" ht="12.75" hidden="false" customHeight="false" outlineLevel="0" collapsed="false">
      <c r="B32" s="34" t="s">
        <v>22</v>
      </c>
      <c r="C32" s="35"/>
      <c r="D32" s="36"/>
      <c r="E32" s="36"/>
      <c r="F32" s="39" t="n">
        <f aca="false">3153175.74</f>
        <v>3153175.74</v>
      </c>
      <c r="G32" s="38" t="n">
        <f aca="false">+F32/F33</f>
        <v>0.00468925273541481</v>
      </c>
    </row>
    <row r="33" customFormat="false" ht="12.75" hidden="false" customHeight="false" outlineLevel="0" collapsed="false">
      <c r="B33" s="40" t="s">
        <v>23</v>
      </c>
      <c r="C33" s="35"/>
      <c r="D33" s="36"/>
      <c r="E33" s="36"/>
      <c r="F33" s="41" t="n">
        <f aca="false">+F32+F31</f>
        <v>672426059.74</v>
      </c>
      <c r="G33" s="42" t="n">
        <f aca="false">+F33/F33</f>
        <v>1</v>
      </c>
    </row>
    <row r="34" customFormat="false" ht="15.75" hidden="false" customHeight="false" outlineLevel="0" collapsed="false">
      <c r="B34" s="5"/>
      <c r="G34" s="34"/>
    </row>
    <row r="35" customFormat="false" ht="12.75" hidden="false" customHeight="false" outlineLevel="0" collapsed="false">
      <c r="B35" s="34" t="s">
        <v>24</v>
      </c>
      <c r="C35" s="35"/>
      <c r="D35" s="36"/>
      <c r="E35" s="36"/>
      <c r="F35" s="33" t="n">
        <v>2983589.97</v>
      </c>
      <c r="G35" s="36"/>
    </row>
    <row r="36" customFormat="false" ht="12.75" hidden="false" customHeight="false" outlineLevel="0" collapsed="false">
      <c r="B36" s="34" t="s">
        <v>25</v>
      </c>
      <c r="C36" s="35"/>
      <c r="D36" s="36"/>
      <c r="E36" s="36"/>
      <c r="F36" s="33" t="n">
        <v>144397659.3</v>
      </c>
      <c r="G36" s="36"/>
    </row>
    <row r="37" customFormat="false" ht="12.75" hidden="false" customHeight="false" outlineLevel="0" collapsed="false">
      <c r="B37" s="34" t="s">
        <v>26</v>
      </c>
      <c r="C37" s="35"/>
      <c r="D37" s="36"/>
      <c r="E37" s="36"/>
      <c r="F37" s="33" t="n">
        <v>62787.65</v>
      </c>
      <c r="G37" s="36"/>
    </row>
    <row r="38" customFormat="false" ht="12.75" hidden="false" customHeight="false" outlineLevel="0" collapsed="false">
      <c r="B38" s="34" t="s">
        <v>27</v>
      </c>
      <c r="C38" s="35"/>
      <c r="D38" s="36"/>
      <c r="E38" s="36"/>
      <c r="F38" s="39" t="n">
        <v>352934.19</v>
      </c>
      <c r="G38" s="36"/>
    </row>
    <row r="39" customFormat="false" ht="12.75" hidden="false" customHeight="false" outlineLevel="0" collapsed="false">
      <c r="B39" s="40" t="s">
        <v>28</v>
      </c>
      <c r="C39" s="35"/>
      <c r="D39" s="36"/>
      <c r="E39" s="36"/>
      <c r="F39" s="41" t="n">
        <f aca="false">SUM(F35:F38)</f>
        <v>147796971.11</v>
      </c>
      <c r="G39" s="42" t="n">
        <f aca="false">+F39/F33</f>
        <v>0.219796614020502</v>
      </c>
    </row>
    <row r="40" customFormat="false" ht="15.75" hidden="false" customHeight="false" outlineLevel="0" collapsed="false">
      <c r="B40" s="5"/>
      <c r="G40" s="34"/>
    </row>
    <row r="41" customFormat="false" ht="12.75" hidden="false" customHeight="false" outlineLevel="0" collapsed="false">
      <c r="B41" s="34" t="s">
        <v>29</v>
      </c>
      <c r="C41" s="35"/>
      <c r="D41" s="36"/>
      <c r="E41" s="36"/>
      <c r="F41" s="33" t="n">
        <v>16925215.71</v>
      </c>
      <c r="G41" s="36"/>
    </row>
    <row r="42" customFormat="false" ht="12.75" hidden="false" customHeight="false" outlineLevel="0" collapsed="false">
      <c r="B42" s="34" t="s">
        <v>30</v>
      </c>
      <c r="C42" s="35"/>
      <c r="D42" s="36"/>
      <c r="E42" s="36"/>
      <c r="F42" s="33" t="n">
        <v>80424.78</v>
      </c>
      <c r="G42" s="36"/>
    </row>
    <row r="43" customFormat="false" ht="12.75" hidden="false" customHeight="false" outlineLevel="0" collapsed="false">
      <c r="B43" s="34" t="s">
        <v>31</v>
      </c>
      <c r="C43" s="35"/>
      <c r="D43" s="36"/>
      <c r="E43" s="36"/>
      <c r="F43" s="33" t="n">
        <v>1292641.39</v>
      </c>
      <c r="G43" s="36"/>
    </row>
    <row r="44" customFormat="false" ht="12.75" hidden="false" customHeight="false" outlineLevel="0" collapsed="false">
      <c r="B44" s="34" t="s">
        <v>32</v>
      </c>
      <c r="C44" s="35"/>
      <c r="D44" s="36"/>
      <c r="E44" s="36"/>
      <c r="F44" s="39" t="n">
        <v>1350922.63</v>
      </c>
      <c r="G44" s="36"/>
    </row>
    <row r="45" customFormat="false" ht="12.75" hidden="false" customHeight="false" outlineLevel="0" collapsed="false">
      <c r="B45" s="40" t="s">
        <v>33</v>
      </c>
      <c r="C45" s="35"/>
      <c r="D45" s="36"/>
      <c r="E45" s="36"/>
      <c r="F45" s="43" t="n">
        <f aca="false">SUM(F41:F44)</f>
        <v>19649204.51</v>
      </c>
      <c r="G45" s="42" t="n">
        <f aca="false">+F45/F33</f>
        <v>0.0292213608104325</v>
      </c>
    </row>
    <row r="46" customFormat="false" ht="15.75" hidden="false" customHeight="false" outlineLevel="0" collapsed="false">
      <c r="B46" s="5"/>
      <c r="G46" s="34"/>
    </row>
    <row r="47" customFormat="false" ht="16.5" hidden="false" customHeight="false" outlineLevel="0" collapsed="false">
      <c r="B47" s="44" t="s">
        <v>34</v>
      </c>
      <c r="C47" s="45"/>
      <c r="D47" s="46"/>
      <c r="E47" s="46"/>
      <c r="F47" s="47" t="n">
        <f aca="false">+F33-F39-F45</f>
        <v>504979884.12</v>
      </c>
      <c r="G47" s="48" t="n">
        <f aca="false">+F47/F33</f>
        <v>0.750982025169065</v>
      </c>
    </row>
    <row r="48" customFormat="false" ht="15.75" hidden="false" customHeight="false" outlineLevel="0" collapsed="false">
      <c r="B48" s="49"/>
      <c r="C48" s="35"/>
      <c r="D48" s="36"/>
      <c r="E48" s="36"/>
      <c r="F48" s="50"/>
      <c r="G48" s="34"/>
    </row>
    <row r="49" customFormat="false" ht="15.75" hidden="false" customHeight="false" outlineLevel="0" collapsed="false">
      <c r="B49" s="49"/>
      <c r="C49" s="35"/>
      <c r="D49" s="36"/>
      <c r="E49" s="36"/>
      <c r="F49" s="50"/>
      <c r="G49" s="34"/>
    </row>
    <row r="50" customFormat="false" ht="15.75" hidden="false" customHeight="false" outlineLevel="0" collapsed="false">
      <c r="B50" s="49" t="s">
        <v>35</v>
      </c>
      <c r="C50" s="35"/>
      <c r="D50" s="36"/>
      <c r="E50" s="36"/>
      <c r="F50" s="34"/>
      <c r="G50" s="34"/>
    </row>
    <row r="51" customFormat="false" ht="15.75" hidden="false" customHeight="false" outlineLevel="0" collapsed="false">
      <c r="B51" s="49"/>
      <c r="C51" s="35"/>
      <c r="D51" s="36"/>
      <c r="E51" s="36"/>
      <c r="F51" s="34"/>
      <c r="G51" s="34"/>
    </row>
    <row r="52" customFormat="false" ht="12.75" hidden="false" customHeight="false" outlineLevel="0" collapsed="false">
      <c r="B52" s="34" t="s">
        <v>21</v>
      </c>
      <c r="C52" s="35"/>
      <c r="D52" s="36"/>
      <c r="E52" s="36"/>
      <c r="F52" s="37" t="n">
        <v>669155560.78</v>
      </c>
      <c r="G52" s="38" t="n">
        <f aca="false">+F52/F54</f>
        <v>0.974447997174991</v>
      </c>
    </row>
    <row r="53" customFormat="false" ht="12.75" hidden="false" customHeight="false" outlineLevel="0" collapsed="false">
      <c r="B53" s="34" t="s">
        <v>22</v>
      </c>
      <c r="C53" s="35"/>
      <c r="D53" s="36"/>
      <c r="E53" s="36"/>
      <c r="F53" s="39" t="n">
        <v>17546615.96</v>
      </c>
      <c r="G53" s="38" t="n">
        <f aca="false">+F53/F54</f>
        <v>0.0255520028250086</v>
      </c>
    </row>
    <row r="54" customFormat="false" ht="12.75" hidden="false" customHeight="false" outlineLevel="0" collapsed="false">
      <c r="B54" s="40" t="s">
        <v>23</v>
      </c>
      <c r="C54" s="35"/>
      <c r="D54" s="36"/>
      <c r="E54" s="36"/>
      <c r="F54" s="41" t="n">
        <f aca="false">+F53+F52</f>
        <v>686702176.74</v>
      </c>
      <c r="G54" s="42" t="n">
        <f aca="false">+F54/F54</f>
        <v>1</v>
      </c>
    </row>
    <row r="55" customFormat="false" ht="15.75" hidden="false" customHeight="false" outlineLevel="0" collapsed="false">
      <c r="B55" s="5"/>
      <c r="G55" s="34"/>
    </row>
    <row r="56" customFormat="false" ht="12.75" hidden="false" customHeight="false" outlineLevel="0" collapsed="false">
      <c r="B56" s="34" t="s">
        <v>36</v>
      </c>
      <c r="C56" s="35"/>
      <c r="D56" s="36"/>
      <c r="E56" s="36"/>
      <c r="F56" s="33" t="n">
        <v>12113244.29</v>
      </c>
      <c r="G56" s="36"/>
    </row>
    <row r="57" customFormat="false" ht="12.75" hidden="false" customHeight="false" outlineLevel="0" collapsed="false">
      <c r="B57" s="34" t="s">
        <v>37</v>
      </c>
      <c r="C57" s="35"/>
      <c r="D57" s="36"/>
      <c r="E57" s="36"/>
      <c r="F57" s="33" t="n">
        <v>149333046.54</v>
      </c>
      <c r="G57" s="36"/>
    </row>
    <row r="58" customFormat="false" ht="12.75" hidden="false" customHeight="false" outlineLevel="0" collapsed="false">
      <c r="B58" s="34" t="s">
        <v>38</v>
      </c>
      <c r="C58" s="35"/>
      <c r="D58" s="36"/>
      <c r="E58" s="36"/>
      <c r="F58" s="33" t="n">
        <v>62787.65</v>
      </c>
      <c r="G58" s="36"/>
    </row>
    <row r="59" customFormat="false" ht="12.75" hidden="false" customHeight="false" outlineLevel="0" collapsed="false">
      <c r="B59" s="34" t="s">
        <v>39</v>
      </c>
      <c r="C59" s="35"/>
      <c r="D59" s="36"/>
      <c r="E59" s="36"/>
      <c r="F59" s="33" t="n">
        <v>352693.64</v>
      </c>
      <c r="G59" s="36"/>
    </row>
    <row r="60" customFormat="false" ht="12.75" hidden="false" customHeight="false" outlineLevel="0" collapsed="false">
      <c r="B60" s="34" t="s">
        <v>40</v>
      </c>
      <c r="C60" s="35"/>
      <c r="D60" s="36"/>
      <c r="E60" s="36"/>
      <c r="F60" s="39" t="n">
        <v>5209.76</v>
      </c>
      <c r="G60" s="36"/>
    </row>
    <row r="61" customFormat="false" ht="12.75" hidden="false" customHeight="false" outlineLevel="0" collapsed="false">
      <c r="B61" s="40" t="s">
        <v>41</v>
      </c>
      <c r="C61" s="35"/>
      <c r="D61" s="36"/>
      <c r="E61" s="36"/>
      <c r="F61" s="41" t="n">
        <f aca="false">SUM(F56:F60)</f>
        <v>161866981.88</v>
      </c>
      <c r="G61" s="42" t="n">
        <f aca="false">+F61/F54</f>
        <v>0.23571642462011</v>
      </c>
    </row>
    <row r="62" customFormat="false" ht="15.75" hidden="false" customHeight="false" outlineLevel="0" collapsed="false">
      <c r="B62" s="5"/>
      <c r="G62" s="34"/>
    </row>
    <row r="63" customFormat="false" ht="12.75" hidden="false" customHeight="false" outlineLevel="0" collapsed="false">
      <c r="B63" s="34" t="s">
        <v>42</v>
      </c>
      <c r="C63" s="35"/>
      <c r="D63" s="36"/>
      <c r="E63" s="36"/>
      <c r="F63" s="51" t="n">
        <v>957235.81</v>
      </c>
      <c r="G63" s="36"/>
    </row>
    <row r="64" customFormat="false" ht="12.75" hidden="false" customHeight="false" outlineLevel="0" collapsed="false">
      <c r="B64" s="34" t="s">
        <v>43</v>
      </c>
      <c r="C64" s="35"/>
      <c r="D64" s="36"/>
      <c r="E64" s="36"/>
      <c r="F64" s="51" t="n">
        <v>443900.1</v>
      </c>
      <c r="G64" s="36"/>
    </row>
    <row r="65" customFormat="false" ht="12.75" hidden="false" customHeight="false" outlineLevel="0" collapsed="false">
      <c r="B65" s="34" t="s">
        <v>44</v>
      </c>
      <c r="C65" s="35"/>
      <c r="D65" s="36"/>
      <c r="E65" s="36"/>
      <c r="F65" s="33" t="n">
        <v>16925215.71</v>
      </c>
      <c r="G65" s="36"/>
    </row>
    <row r="66" customFormat="false" ht="12.75" hidden="false" customHeight="false" outlineLevel="0" collapsed="false">
      <c r="B66" s="34" t="s">
        <v>45</v>
      </c>
      <c r="C66" s="35"/>
      <c r="D66" s="36"/>
      <c r="E66" s="36"/>
      <c r="F66" s="33" t="n">
        <v>240.55</v>
      </c>
      <c r="G66" s="36"/>
    </row>
    <row r="67" customFormat="false" ht="12.75" hidden="false" customHeight="false" outlineLevel="0" collapsed="false">
      <c r="B67" s="34" t="s">
        <v>46</v>
      </c>
      <c r="C67" s="35"/>
      <c r="D67" s="36"/>
      <c r="E67" s="36"/>
      <c r="F67" s="33" t="n">
        <f aca="false">2463.45+9045.05</f>
        <v>11508.5</v>
      </c>
      <c r="G67" s="36"/>
    </row>
    <row r="68" customFormat="false" ht="12.75" hidden="false" customHeight="false" outlineLevel="0" collapsed="false">
      <c r="A68" s="35"/>
      <c r="B68" s="34" t="s">
        <v>47</v>
      </c>
      <c r="C68" s="35"/>
      <c r="D68" s="36"/>
      <c r="E68" s="36"/>
      <c r="F68" s="33" t="n">
        <v>4918.46</v>
      </c>
      <c r="G68" s="36"/>
    </row>
    <row r="69" customFormat="false" ht="12.75" hidden="false" customHeight="false" outlineLevel="0" collapsed="false">
      <c r="B69" s="34" t="s">
        <v>48</v>
      </c>
      <c r="C69" s="35"/>
      <c r="D69" s="36"/>
      <c r="E69" s="36"/>
      <c r="F69" s="33" t="n">
        <v>7683.69</v>
      </c>
      <c r="G69" s="36"/>
    </row>
    <row r="70" customFormat="false" ht="12.75" hidden="false" customHeight="false" outlineLevel="0" collapsed="false">
      <c r="B70" s="34" t="s">
        <v>49</v>
      </c>
      <c r="C70" s="35"/>
      <c r="D70" s="36"/>
      <c r="E70" s="36"/>
      <c r="F70" s="33" t="n">
        <v>252.41</v>
      </c>
      <c r="G70" s="36"/>
    </row>
    <row r="71" customFormat="false" ht="12.75" hidden="false" customHeight="false" outlineLevel="0" collapsed="false">
      <c r="B71" s="52" t="s">
        <v>50</v>
      </c>
      <c r="C71" s="35"/>
      <c r="D71" s="36"/>
      <c r="E71" s="36"/>
      <c r="F71" s="33" t="n">
        <f aca="false">1321875.76+25515.38</f>
        <v>1347391.14</v>
      </c>
      <c r="G71" s="36"/>
    </row>
    <row r="72" customFormat="false" ht="12.75" hidden="false" customHeight="false" outlineLevel="0" collapsed="false">
      <c r="B72" s="52" t="s">
        <v>51</v>
      </c>
      <c r="C72" s="35"/>
      <c r="D72" s="36"/>
      <c r="E72" s="36"/>
      <c r="F72" s="33" t="n">
        <v>89223.57</v>
      </c>
      <c r="G72" s="36"/>
    </row>
    <row r="73" customFormat="false" ht="12.75" hidden="false" customHeight="false" outlineLevel="0" collapsed="false">
      <c r="B73" s="52" t="s">
        <v>52</v>
      </c>
      <c r="C73" s="35"/>
      <c r="D73" s="36"/>
      <c r="E73" s="36"/>
      <c r="F73" s="33" t="n">
        <v>7117.71</v>
      </c>
      <c r="G73" s="36"/>
    </row>
    <row r="74" customFormat="false" ht="12.75" hidden="false" customHeight="false" outlineLevel="0" collapsed="false">
      <c r="B74" s="52" t="s">
        <v>53</v>
      </c>
      <c r="C74" s="35"/>
      <c r="D74" s="36"/>
      <c r="E74" s="36"/>
      <c r="F74" s="33" t="n">
        <v>56858.77</v>
      </c>
      <c r="G74" s="36"/>
    </row>
    <row r="75" customFormat="false" ht="12.75" hidden="false" customHeight="false" outlineLevel="0" collapsed="false">
      <c r="B75" s="52" t="s">
        <v>54</v>
      </c>
      <c r="C75" s="35"/>
      <c r="D75" s="36"/>
      <c r="E75" s="36"/>
      <c r="F75" s="39" t="n">
        <v>6708594.86</v>
      </c>
      <c r="G75" s="36"/>
    </row>
    <row r="76" customFormat="false" ht="12.75" hidden="false" customHeight="false" outlineLevel="0" collapsed="false">
      <c r="B76" s="40" t="s">
        <v>33</v>
      </c>
      <c r="C76" s="35"/>
      <c r="D76" s="36"/>
      <c r="E76" s="36"/>
      <c r="F76" s="43" t="n">
        <f aca="false">SUM(F63:F75)</f>
        <v>26560141.28</v>
      </c>
      <c r="G76" s="42" t="n">
        <f aca="false">+F76/F54</f>
        <v>0.0386778172250592</v>
      </c>
    </row>
    <row r="77" customFormat="false" ht="15.75" hidden="false" customHeight="false" outlineLevel="0" collapsed="false">
      <c r="B77" s="5"/>
      <c r="G77" s="34"/>
    </row>
    <row r="78" customFormat="false" ht="16.5" hidden="false" customHeight="false" outlineLevel="0" collapsed="false">
      <c r="B78" s="44" t="s">
        <v>55</v>
      </c>
      <c r="C78" s="45"/>
      <c r="D78" s="46"/>
      <c r="E78" s="46"/>
      <c r="F78" s="47" t="n">
        <f aca="false">+F54-F61-F76</f>
        <v>498275053.58</v>
      </c>
      <c r="G78" s="48" t="n">
        <f aca="false">+F78/F54</f>
        <v>0.72560575815483</v>
      </c>
    </row>
    <row r="79" customFormat="false" ht="15.75" hidden="false" customHeight="false" outlineLevel="0" collapsed="false">
      <c r="B79" s="5"/>
    </row>
  </sheetData>
  <printOptions headings="false" gridLines="false" gridLinesSet="true" horizontalCentered="false" verticalCentered="false"/>
  <pageMargins left="0.5" right="0.25" top="0.984027777777778" bottom="0.5" header="0.511811023622047" footer="0"/>
  <pageSetup paperSize="1" scale="87"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November 2000</oddFooter>
  </headerFooter>
  <rowBreaks count="1" manualBreakCount="1">
    <brk id="2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4" activeCellId="0" sqref="E14"/>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56</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57</v>
      </c>
    </row>
    <row r="8" customFormat="false" ht="35.25" hidden="false" customHeight="false" outlineLevel="0" collapsed="false">
      <c r="A8" s="6" t="s">
        <v>3</v>
      </c>
      <c r="B8" s="6" t="s">
        <v>4</v>
      </c>
      <c r="C8" s="6" t="s">
        <v>5</v>
      </c>
      <c r="D8" s="7"/>
      <c r="E8" s="8"/>
      <c r="F8" s="9" t="s">
        <v>6</v>
      </c>
      <c r="G8" s="10" t="s">
        <v>7</v>
      </c>
    </row>
    <row r="9" customFormat="false" ht="12" hidden="false" customHeight="false" outlineLevel="0" collapsed="false">
      <c r="A9" s="11"/>
      <c r="B9" s="11"/>
      <c r="C9" s="11"/>
      <c r="D9" s="11"/>
      <c r="E9" s="11"/>
      <c r="F9" s="12"/>
      <c r="G9" s="11"/>
    </row>
    <row r="10" customFormat="false" ht="13.5" hidden="false" customHeight="false" outlineLevel="0" collapsed="false">
      <c r="A10" s="13"/>
      <c r="B10" s="14" t="s">
        <v>58</v>
      </c>
      <c r="C10" s="15" t="n">
        <v>36861</v>
      </c>
      <c r="D10" s="16"/>
      <c r="E10" s="16"/>
      <c r="F10" s="17" t="n">
        <v>1471079852.9</v>
      </c>
      <c r="G10" s="18" t="n">
        <f aca="false">+F10/F$10</f>
        <v>1</v>
      </c>
    </row>
    <row r="11" customFormat="false" ht="16.5" hidden="false" customHeight="false" outlineLevel="0" collapsed="false">
      <c r="B11" s="5"/>
    </row>
    <row r="12" customFormat="false" ht="15.75" hidden="false" customHeight="false" outlineLevel="0" collapsed="false">
      <c r="B12" s="5"/>
    </row>
    <row r="13" customFormat="false" ht="15.75" hidden="false" customHeight="false" outlineLevel="0" collapsed="false">
      <c r="B13" s="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5" t="s">
        <v>9</v>
      </c>
    </row>
    <row r="17" customFormat="false" ht="16.5" hidden="false" customHeight="false" outlineLevel="0" collapsed="false">
      <c r="A17" s="5" t="s">
        <v>59</v>
      </c>
    </row>
    <row r="18" customFormat="false" ht="35.25" hidden="false" customHeight="false" outlineLevel="0" collapsed="false">
      <c r="A18" s="6" t="s">
        <v>3</v>
      </c>
      <c r="B18" s="6" t="s">
        <v>4</v>
      </c>
      <c r="C18" s="6" t="s">
        <v>11</v>
      </c>
      <c r="D18" s="6" t="s">
        <v>12</v>
      </c>
      <c r="E18" s="6" t="s">
        <v>13</v>
      </c>
      <c r="F18" s="10" t="s">
        <v>14</v>
      </c>
      <c r="G18" s="10" t="s">
        <v>15</v>
      </c>
    </row>
    <row r="19" customFormat="false" ht="13.5" hidden="false" customHeight="false" outlineLevel="0" collapsed="false"/>
    <row r="20" customFormat="false" ht="12.75" hidden="false" customHeight="false" outlineLevel="0" collapsed="false">
      <c r="A20" s="22" t="n">
        <v>1243</v>
      </c>
      <c r="B20" s="20" t="s">
        <v>16</v>
      </c>
      <c r="C20" s="53" t="n">
        <v>36949</v>
      </c>
      <c r="D20" s="26" t="n">
        <v>14163</v>
      </c>
      <c r="E20" s="22" t="s">
        <v>17</v>
      </c>
      <c r="F20" s="23" t="n">
        <v>1430114437.65</v>
      </c>
      <c r="G20" s="24" t="n">
        <f aca="false">+F20/$F$29</f>
        <v>0.944640027076754</v>
      </c>
    </row>
    <row r="21" customFormat="false" ht="12.75" hidden="false" customHeight="false" outlineLevel="0" collapsed="false">
      <c r="A21" s="22" t="n">
        <v>1243</v>
      </c>
      <c r="B21" s="20" t="s">
        <v>16</v>
      </c>
      <c r="C21" s="53" t="n">
        <v>36965</v>
      </c>
      <c r="D21" s="26" t="n">
        <v>14323</v>
      </c>
      <c r="E21" s="22" t="s">
        <v>17</v>
      </c>
      <c r="F21" s="54" t="n">
        <v>54594957.95</v>
      </c>
      <c r="G21" s="24" t="n">
        <f aca="false">+F21/$F$29</f>
        <v>0.0360618571482207</v>
      </c>
    </row>
    <row r="22" customFormat="false" ht="12.75" hidden="false" customHeight="false" outlineLevel="0" collapsed="false">
      <c r="A22" s="22" t="n">
        <v>2769</v>
      </c>
      <c r="B22" s="20" t="s">
        <v>16</v>
      </c>
      <c r="C22" s="53" t="n">
        <v>36949</v>
      </c>
      <c r="D22" s="26" t="n">
        <v>14126</v>
      </c>
      <c r="E22" s="22" t="s">
        <v>17</v>
      </c>
      <c r="F22" s="54" t="n">
        <v>12171363.36</v>
      </c>
      <c r="G22" s="24" t="n">
        <f aca="false">+F22/$F$29</f>
        <v>0.00803960627993133</v>
      </c>
    </row>
    <row r="23" customFormat="false" ht="12.75" hidden="false" customHeight="false" outlineLevel="0" collapsed="false">
      <c r="A23" s="22" t="n">
        <v>2769</v>
      </c>
      <c r="B23" s="20" t="s">
        <v>16</v>
      </c>
      <c r="C23" s="53" t="n">
        <v>36965</v>
      </c>
      <c r="D23" s="26" t="n">
        <v>14286</v>
      </c>
      <c r="E23" s="22" t="s">
        <v>17</v>
      </c>
      <c r="F23" s="54" t="n">
        <v>235652.69</v>
      </c>
      <c r="G23" s="24" t="n">
        <f aca="false">+F23/$F$29</f>
        <v>0.000155656748580277</v>
      </c>
    </row>
    <row r="24" customFormat="false" ht="12.75" hidden="false" customHeight="false" outlineLevel="0" collapsed="false">
      <c r="A24" s="22" t="n">
        <v>1011</v>
      </c>
      <c r="B24" s="20" t="s">
        <v>60</v>
      </c>
      <c r="C24" s="53" t="n">
        <v>36949</v>
      </c>
      <c r="D24" s="26" t="n">
        <v>14183</v>
      </c>
      <c r="E24" s="22" t="s">
        <v>17</v>
      </c>
      <c r="F24" s="54" t="n">
        <v>11335555.36</v>
      </c>
      <c r="G24" s="24" t="n">
        <f aca="false">+F24/$F$29</f>
        <v>0.00748752620090748</v>
      </c>
    </row>
    <row r="25" customFormat="false" ht="12.75" hidden="false" customHeight="false" outlineLevel="0" collapsed="false">
      <c r="A25" s="22" t="n">
        <v>1008</v>
      </c>
      <c r="B25" s="20" t="s">
        <v>61</v>
      </c>
      <c r="C25" s="53" t="n">
        <v>36965</v>
      </c>
      <c r="D25" s="26" t="n">
        <v>14345</v>
      </c>
      <c r="E25" s="22" t="s">
        <v>17</v>
      </c>
      <c r="F25" s="54" t="n">
        <v>1600779.14</v>
      </c>
      <c r="G25" s="24" t="n">
        <f aca="false">+F25/$F$29</f>
        <v>0.00105736996309073</v>
      </c>
    </row>
    <row r="26" customFormat="false" ht="12.75" hidden="false" customHeight="false" outlineLevel="0" collapsed="false">
      <c r="A26" s="22" t="n">
        <v>1010</v>
      </c>
      <c r="B26" s="20" t="s">
        <v>62</v>
      </c>
      <c r="C26" s="53" t="n">
        <v>36965</v>
      </c>
      <c r="D26" s="26" t="n">
        <v>14344</v>
      </c>
      <c r="E26" s="22" t="s">
        <v>17</v>
      </c>
      <c r="F26" s="54" t="n">
        <v>3337442.11</v>
      </c>
      <c r="G26" s="24" t="n">
        <f aca="false">+F26/$F$29</f>
        <v>0.00220449589358601</v>
      </c>
    </row>
    <row r="27" customFormat="false" ht="12.75" hidden="false" customHeight="false" outlineLevel="0" collapsed="false">
      <c r="A27" s="22" t="n">
        <v>2465</v>
      </c>
      <c r="B27" s="20" t="s">
        <v>63</v>
      </c>
      <c r="C27" s="53" t="n">
        <v>36965</v>
      </c>
      <c r="D27" s="26" t="n">
        <v>14298</v>
      </c>
      <c r="E27" s="22" t="s">
        <v>17</v>
      </c>
      <c r="F27" s="27" t="n">
        <v>535113.08</v>
      </c>
      <c r="G27" s="28" t="n">
        <f aca="false">+F27/$F$29</f>
        <v>0.000353460688929872</v>
      </c>
    </row>
    <row r="28" customFormat="false" ht="12.75" hidden="false" customHeight="false" outlineLevel="0" collapsed="false">
      <c r="A28" s="29"/>
      <c r="B28" s="30"/>
      <c r="C28" s="31"/>
      <c r="D28" s="29"/>
      <c r="E28" s="32"/>
      <c r="F28" s="33"/>
      <c r="G28" s="34"/>
    </row>
    <row r="29" customFormat="false" ht="13.5" hidden="false" customHeight="false" outlineLevel="0" collapsed="false">
      <c r="B29" s="14" t="s">
        <v>18</v>
      </c>
      <c r="F29" s="17" t="n">
        <f aca="false">SUM(F20:F28)</f>
        <v>1513925301.34</v>
      </c>
      <c r="G29" s="18" t="n">
        <f aca="false">+F29/F29</f>
        <v>1</v>
      </c>
    </row>
    <row r="30" customFormat="false" ht="13.5" hidden="false" customHeight="false" outlineLevel="0" collapsed="false"/>
    <row r="32" customFormat="false" ht="12.75" hidden="false" customHeight="false" outlineLevel="0" collapsed="false">
      <c r="B32" s="55" t="s">
        <v>64</v>
      </c>
    </row>
    <row r="36" customFormat="false" ht="15.75" hidden="false" customHeight="false" outlineLevel="0" collapsed="false">
      <c r="B36" s="5" t="str">
        <f aca="false">+B1</f>
        <v>Certification for Market Settlement September 28, 2001</v>
      </c>
    </row>
    <row r="37" customFormat="false" ht="15.75" hidden="false" customHeight="false" outlineLevel="0" collapsed="false">
      <c r="B37" s="5"/>
    </row>
    <row r="38" customFormat="false" ht="15.75" hidden="false" customHeight="false" outlineLevel="0" collapsed="false">
      <c r="B38" s="5" t="s">
        <v>65</v>
      </c>
    </row>
    <row r="39" customFormat="false" ht="15.75" hidden="false" customHeight="false" outlineLevel="0" collapsed="false">
      <c r="B39" s="5"/>
    </row>
    <row r="40" customFormat="false" ht="15.75" hidden="false" customHeight="false" outlineLevel="0" collapsed="false">
      <c r="B40" s="5" t="s">
        <v>20</v>
      </c>
    </row>
    <row r="41" customFormat="false" ht="15.75" hidden="false" customHeight="false" outlineLevel="0" collapsed="false">
      <c r="B41" s="5"/>
    </row>
    <row r="42" customFormat="false" ht="12.75" hidden="false" customHeight="false" outlineLevel="0" collapsed="false">
      <c r="B42" s="34" t="s">
        <v>21</v>
      </c>
      <c r="C42" s="35"/>
      <c r="D42" s="36"/>
      <c r="E42" s="36"/>
      <c r="F42" s="37" t="n">
        <v>1503186210.21</v>
      </c>
      <c r="G42" s="56" t="n">
        <f aca="false">+F42/$F$44</f>
        <v>0.953796071500997</v>
      </c>
      <c r="H42" s="57"/>
    </row>
    <row r="43" customFormat="false" ht="12.75" hidden="false" customHeight="false" outlineLevel="0" collapsed="false">
      <c r="B43" s="34" t="s">
        <v>22</v>
      </c>
      <c r="C43" s="35"/>
      <c r="D43" s="36"/>
      <c r="E43" s="36"/>
      <c r="F43" s="39" t="n">
        <v>72817565.78</v>
      </c>
      <c r="G43" s="56" t="n">
        <f aca="false">+F43/$F$44</f>
        <v>0.0462039284990026</v>
      </c>
    </row>
    <row r="44" customFormat="false" ht="12.75" hidden="false" customHeight="false" outlineLevel="0" collapsed="false">
      <c r="B44" s="40" t="s">
        <v>23</v>
      </c>
      <c r="C44" s="35"/>
      <c r="D44" s="36"/>
      <c r="E44" s="36"/>
      <c r="F44" s="41" t="n">
        <f aca="false">SUM(F42:F43)</f>
        <v>1576003775.99</v>
      </c>
      <c r="G44" s="58" t="n">
        <f aca="false">+F44/$F$44</f>
        <v>1</v>
      </c>
    </row>
    <row r="45" customFormat="false" ht="15.75" hidden="false" customHeight="false" outlineLevel="0" collapsed="false">
      <c r="B45" s="5"/>
    </row>
    <row r="46" customFormat="false" ht="12.75" hidden="false" customHeight="false" outlineLevel="0" collapsed="false">
      <c r="B46" s="34" t="s">
        <v>27</v>
      </c>
      <c r="C46" s="35"/>
      <c r="D46" s="36"/>
      <c r="E46" s="36"/>
      <c r="F46" s="33" t="n">
        <f aca="false">46371366.56-352934.19</f>
        <v>46018432.37</v>
      </c>
    </row>
    <row r="47" customFormat="false" ht="12.75" hidden="false" customHeight="false" outlineLevel="0" collapsed="false">
      <c r="B47" s="34" t="s">
        <v>66</v>
      </c>
      <c r="C47" s="35"/>
      <c r="D47" s="36"/>
      <c r="E47" s="36"/>
      <c r="F47" s="33" t="n">
        <v>1095680.05</v>
      </c>
    </row>
    <row r="48" customFormat="false" ht="12.75" hidden="false" customHeight="false" outlineLevel="0" collapsed="false">
      <c r="A48" s="35"/>
      <c r="B48" s="34" t="s">
        <v>67</v>
      </c>
      <c r="C48" s="35"/>
      <c r="D48" s="36"/>
      <c r="E48" s="36"/>
      <c r="F48" s="33" t="n">
        <v>4668657.91</v>
      </c>
      <c r="G48" s="34"/>
    </row>
    <row r="49" customFormat="false" ht="12.75" hidden="false" customHeight="false" outlineLevel="0" collapsed="false">
      <c r="B49" s="34" t="s">
        <v>68</v>
      </c>
      <c r="C49" s="35"/>
      <c r="D49" s="36"/>
      <c r="E49" s="36"/>
      <c r="F49" s="39" t="n">
        <f aca="false">31.56-0.54</f>
        <v>31.02</v>
      </c>
    </row>
    <row r="50" customFormat="false" ht="12.75" hidden="false" customHeight="false" outlineLevel="0" collapsed="false">
      <c r="B50" s="40" t="s">
        <v>28</v>
      </c>
      <c r="C50" s="35"/>
      <c r="D50" s="36"/>
      <c r="E50" s="36"/>
      <c r="F50" s="41" t="n">
        <f aca="false">SUM(F46:F49)</f>
        <v>51782801.35</v>
      </c>
      <c r="G50" s="58" t="n">
        <f aca="false">+F50/$F$44</f>
        <v>0.0328570287323529</v>
      </c>
    </row>
    <row r="51" customFormat="false" ht="15.75" hidden="false" customHeight="false" outlineLevel="0" collapsed="false">
      <c r="B51" s="5"/>
    </row>
    <row r="52" customFormat="false" ht="12.75" hidden="false" customHeight="false" outlineLevel="0" collapsed="false">
      <c r="A52" s="35"/>
      <c r="B52" s="34" t="s">
        <v>69</v>
      </c>
      <c r="C52" s="35"/>
      <c r="D52" s="36"/>
      <c r="E52" s="36"/>
      <c r="F52" s="33" t="n">
        <f aca="false">2463.45+9045.05</f>
        <v>11508.5</v>
      </c>
      <c r="G52" s="34"/>
    </row>
    <row r="53" customFormat="false" ht="12.75" hidden="false" customHeight="false" outlineLevel="0" collapsed="false">
      <c r="A53" s="35"/>
      <c r="B53" s="34" t="s">
        <v>70</v>
      </c>
      <c r="C53" s="35"/>
      <c r="D53" s="36"/>
      <c r="E53" s="36"/>
      <c r="F53" s="33" t="n">
        <v>147750</v>
      </c>
      <c r="G53" s="34"/>
    </row>
    <row r="54" customFormat="false" ht="12.75" hidden="false" customHeight="false" outlineLevel="0" collapsed="false">
      <c r="A54" s="35"/>
      <c r="B54" s="34" t="s">
        <v>71</v>
      </c>
      <c r="C54" s="35"/>
      <c r="D54" s="36"/>
      <c r="E54" s="36"/>
      <c r="F54" s="33" t="n">
        <f aca="false">6905278.69+1077709.33</f>
        <v>7982988.02</v>
      </c>
      <c r="G54" s="34"/>
    </row>
    <row r="55" customFormat="false" ht="12.75" hidden="false" customHeight="false" outlineLevel="0" collapsed="false">
      <c r="A55" s="35"/>
      <c r="B55" s="34" t="s">
        <v>72</v>
      </c>
      <c r="C55" s="35"/>
      <c r="D55" s="36"/>
      <c r="E55" s="36"/>
      <c r="F55" s="33" t="n">
        <f aca="false">792.51+51555.14</f>
        <v>52347.65</v>
      </c>
      <c r="G55" s="34"/>
    </row>
    <row r="56" customFormat="false" ht="12.75" hidden="false" customHeight="false" outlineLevel="0" collapsed="false">
      <c r="A56" s="35"/>
      <c r="B56" s="34" t="s">
        <v>73</v>
      </c>
      <c r="C56" s="35"/>
      <c r="D56" s="36"/>
      <c r="E56" s="36"/>
      <c r="F56" s="33" t="n">
        <f aca="false">21483.12+118120.46+21.04</f>
        <v>139624.62</v>
      </c>
      <c r="G56" s="34"/>
    </row>
    <row r="57" customFormat="false" ht="12.75" hidden="false" customHeight="false" outlineLevel="0" collapsed="false">
      <c r="A57" s="35"/>
      <c r="B57" s="34" t="s">
        <v>74</v>
      </c>
      <c r="C57" s="35"/>
      <c r="D57" s="36"/>
      <c r="E57" s="36"/>
      <c r="F57" s="33" t="n">
        <f aca="false">1476860.84+1284.97+6534.54-5100.63+1404.1</f>
        <v>1480983.82</v>
      </c>
      <c r="G57" s="34"/>
    </row>
    <row r="58" customFormat="false" ht="12.75" hidden="false" customHeight="false" outlineLevel="0" collapsed="false">
      <c r="A58" s="35"/>
      <c r="B58" s="34" t="s">
        <v>75</v>
      </c>
      <c r="C58" s="35"/>
      <c r="D58" s="36"/>
      <c r="E58" s="36"/>
      <c r="F58" s="33" t="n">
        <f aca="false">1202.39+5100.63+256.87</f>
        <v>6559.89</v>
      </c>
      <c r="G58" s="34"/>
    </row>
    <row r="59" customFormat="false" ht="12.75" hidden="false" customHeight="false" outlineLevel="0" collapsed="false">
      <c r="A59" s="35"/>
      <c r="B59" s="34" t="s">
        <v>76</v>
      </c>
      <c r="C59" s="35"/>
      <c r="D59" s="36"/>
      <c r="E59" s="36"/>
      <c r="F59" s="33" t="n">
        <v>24782.38</v>
      </c>
      <c r="G59" s="34"/>
    </row>
    <row r="60" customFormat="false" ht="12.75" hidden="false" customHeight="false" outlineLevel="0" collapsed="false">
      <c r="A60" s="35"/>
      <c r="B60" s="34" t="s">
        <v>77</v>
      </c>
      <c r="C60" s="35"/>
      <c r="D60" s="36"/>
      <c r="E60" s="36"/>
      <c r="F60" s="33" t="n">
        <f aca="false">13796.62+470.09</f>
        <v>14266.71</v>
      </c>
      <c r="G60" s="34"/>
    </row>
    <row r="61" customFormat="false" ht="12.75" hidden="false" customHeight="false" outlineLevel="0" collapsed="false">
      <c r="A61" s="35"/>
      <c r="B61" s="34" t="s">
        <v>78</v>
      </c>
      <c r="C61" s="35"/>
      <c r="D61" s="36"/>
      <c r="E61" s="36"/>
      <c r="F61" s="39" t="n">
        <v>434861.71</v>
      </c>
      <c r="G61" s="34"/>
    </row>
    <row r="62" customFormat="false" ht="12.75" hidden="false" customHeight="false" outlineLevel="0" collapsed="false">
      <c r="B62" s="14" t="s">
        <v>33</v>
      </c>
      <c r="F62" s="43" t="n">
        <f aca="false">SUM(F52:F61)</f>
        <v>10295673.3</v>
      </c>
      <c r="G62" s="58" t="n">
        <f aca="false">+F62/$F$44</f>
        <v>0.00653277197482129</v>
      </c>
    </row>
    <row r="63" customFormat="false" ht="15.75" hidden="false" customHeight="false" outlineLevel="0" collapsed="false">
      <c r="B63" s="5"/>
    </row>
    <row r="64" customFormat="false" ht="16.5" hidden="false" customHeight="false" outlineLevel="0" collapsed="false">
      <c r="B64" s="44" t="s">
        <v>34</v>
      </c>
      <c r="C64" s="45"/>
      <c r="D64" s="46"/>
      <c r="E64" s="46"/>
      <c r="F64" s="47" t="n">
        <f aca="false">+F44-F50-F62</f>
        <v>1513925301.34</v>
      </c>
      <c r="G64" s="59" t="n">
        <f aca="false">+F64/$F$44</f>
        <v>0.960610199292826</v>
      </c>
    </row>
    <row r="65" customFormat="false" ht="15.75" hidden="false" customHeight="false" outlineLevel="0" collapsed="false">
      <c r="B65" s="49"/>
      <c r="C65" s="35"/>
      <c r="D65" s="36"/>
      <c r="E65" s="36"/>
      <c r="F65" s="50"/>
    </row>
    <row r="66" customFormat="false" ht="15.75" hidden="false" customHeight="false" outlineLevel="0" collapsed="false">
      <c r="B66" s="49" t="s">
        <v>35</v>
      </c>
      <c r="C66" s="35"/>
      <c r="D66" s="36"/>
      <c r="E66" s="36"/>
      <c r="F66" s="34"/>
    </row>
    <row r="67" customFormat="false" ht="15.75" hidden="false" customHeight="false" outlineLevel="0" collapsed="false">
      <c r="B67" s="49"/>
      <c r="C67" s="35"/>
      <c r="D67" s="36"/>
      <c r="E67" s="36"/>
      <c r="F67" s="34"/>
    </row>
    <row r="68" customFormat="false" ht="12.75" hidden="false" customHeight="false" outlineLevel="0" collapsed="false">
      <c r="A68" s="35"/>
      <c r="B68" s="34" t="s">
        <v>21</v>
      </c>
      <c r="C68" s="35"/>
      <c r="D68" s="36"/>
      <c r="E68" s="36"/>
      <c r="F68" s="37" t="n">
        <f aca="false">1490781469.67</f>
        <v>1490781469.67</v>
      </c>
      <c r="G68" s="56" t="n">
        <f aca="false">+F68/$F$70</f>
        <v>0.948126119186994</v>
      </c>
    </row>
    <row r="69" customFormat="false" ht="12.75" hidden="false" customHeight="false" outlineLevel="0" collapsed="false">
      <c r="B69" s="34" t="s">
        <v>22</v>
      </c>
      <c r="C69" s="35"/>
      <c r="D69" s="36"/>
      <c r="E69" s="36"/>
      <c r="F69" s="39" t="n">
        <v>81563642.97</v>
      </c>
      <c r="G69" s="56" t="n">
        <f aca="false">+F69/$F$70</f>
        <v>0.0518738808130061</v>
      </c>
    </row>
    <row r="70" customFormat="false" ht="12.75" hidden="false" customHeight="false" outlineLevel="0" collapsed="false">
      <c r="B70" s="40" t="s">
        <v>23</v>
      </c>
      <c r="C70" s="35"/>
      <c r="D70" s="36"/>
      <c r="E70" s="36"/>
      <c r="F70" s="41" t="n">
        <f aca="false">SUM(F68:F69)</f>
        <v>1572345112.64</v>
      </c>
      <c r="G70" s="58" t="n">
        <f aca="false">+F70/$F$70</f>
        <v>1</v>
      </c>
    </row>
    <row r="71" customFormat="false" ht="15.75" hidden="false" customHeight="false" outlineLevel="0" collapsed="false">
      <c r="B71" s="5"/>
    </row>
    <row r="72" customFormat="false" ht="12.75" hidden="false" customHeight="false" outlineLevel="0" collapsed="false">
      <c r="B72" s="34" t="s">
        <v>39</v>
      </c>
      <c r="C72" s="35"/>
      <c r="D72" s="36"/>
      <c r="E72" s="36"/>
      <c r="F72" s="33" t="n">
        <v>45426874.33</v>
      </c>
    </row>
    <row r="73" customFormat="false" ht="12.75" hidden="false" customHeight="false" outlineLevel="0" collapsed="false">
      <c r="A73" s="35"/>
      <c r="B73" s="34" t="s">
        <v>79</v>
      </c>
      <c r="C73" s="35"/>
      <c r="D73" s="36"/>
      <c r="E73" s="36"/>
      <c r="F73" s="33" t="n">
        <v>1095680.05</v>
      </c>
      <c r="G73" s="34"/>
    </row>
    <row r="74" customFormat="false" ht="12.75" hidden="false" customHeight="false" outlineLevel="0" collapsed="false">
      <c r="A74" s="35"/>
      <c r="B74" s="34" t="s">
        <v>80</v>
      </c>
      <c r="C74" s="35"/>
      <c r="D74" s="36"/>
      <c r="E74" s="36"/>
      <c r="F74" s="33" t="n">
        <v>4660365.5</v>
      </c>
      <c r="G74" s="34"/>
    </row>
    <row r="75" customFormat="false" ht="12.75" hidden="false" customHeight="false" outlineLevel="0" collapsed="false">
      <c r="A75" s="35"/>
      <c r="B75" s="34" t="s">
        <v>81</v>
      </c>
      <c r="C75" s="35"/>
      <c r="D75" s="36"/>
      <c r="E75" s="36"/>
      <c r="F75" s="33" t="n">
        <v>8292.41</v>
      </c>
      <c r="G75" s="34"/>
    </row>
    <row r="76" customFormat="false" ht="12.75" hidden="false" customHeight="false" outlineLevel="0" collapsed="false">
      <c r="B76" s="34" t="s">
        <v>82</v>
      </c>
      <c r="C76" s="35"/>
      <c r="D76" s="36"/>
      <c r="E76" s="36"/>
      <c r="F76" s="39" t="n">
        <v>1243.61</v>
      </c>
    </row>
    <row r="77" customFormat="false" ht="12.75" hidden="false" customHeight="false" outlineLevel="0" collapsed="false">
      <c r="B77" s="40" t="s">
        <v>41</v>
      </c>
      <c r="C77" s="35"/>
      <c r="D77" s="36"/>
      <c r="E77" s="36"/>
      <c r="F77" s="41" t="n">
        <f aca="false">SUM(F72:F76)</f>
        <v>51192455.9</v>
      </c>
      <c r="G77" s="58" t="n">
        <f aca="false">+F77/$F$70</f>
        <v>0.0325580278072966</v>
      </c>
    </row>
    <row r="78" customFormat="false" ht="15.75" hidden="false" customHeight="false" outlineLevel="0" collapsed="false">
      <c r="B78" s="5"/>
    </row>
    <row r="79" customFormat="false" ht="12.75" hidden="false" customHeight="false" outlineLevel="0" collapsed="false">
      <c r="B79" s="34" t="s">
        <v>83</v>
      </c>
      <c r="C79" s="35"/>
      <c r="D79" s="36"/>
      <c r="E79" s="36"/>
      <c r="F79" s="51" t="n">
        <f aca="false">554063.09+1911.84+35583.11</f>
        <v>591558.04</v>
      </c>
    </row>
    <row r="80" customFormat="false" ht="12.75" hidden="false" customHeight="false" outlineLevel="0" collapsed="false">
      <c r="B80" s="34" t="s">
        <v>84</v>
      </c>
      <c r="C80" s="35"/>
      <c r="D80" s="36"/>
      <c r="E80" s="36"/>
      <c r="F80" s="51" t="n">
        <f aca="false">6905278.69+1113292.44-35583.11</f>
        <v>7982988.02</v>
      </c>
    </row>
    <row r="81" customFormat="false" ht="12.75" hidden="false" customHeight="false" outlineLevel="0" collapsed="false">
      <c r="A81" s="35"/>
      <c r="B81" s="34" t="s">
        <v>85</v>
      </c>
      <c r="C81" s="35"/>
      <c r="D81" s="36"/>
      <c r="E81" s="36"/>
      <c r="F81" s="51" t="n">
        <f aca="false">28270373.25+147750</f>
        <v>28418123.25</v>
      </c>
      <c r="G81" s="34"/>
    </row>
    <row r="82" customFormat="false" ht="12.75" hidden="false" customHeight="false" outlineLevel="0" collapsed="false">
      <c r="A82" s="35"/>
      <c r="B82" s="52" t="s">
        <v>86</v>
      </c>
      <c r="C82" s="35"/>
      <c r="D82" s="36"/>
      <c r="E82" s="36"/>
      <c r="F82" s="51" t="n">
        <v>1291405.14</v>
      </c>
      <c r="G82" s="34"/>
    </row>
    <row r="83" customFormat="false" ht="12.75" hidden="false" customHeight="false" outlineLevel="0" collapsed="false">
      <c r="A83" s="35"/>
      <c r="B83" s="34" t="s">
        <v>87</v>
      </c>
      <c r="C83" s="35"/>
      <c r="D83" s="36"/>
      <c r="E83" s="36"/>
      <c r="F83" s="51" t="n">
        <f aca="false">4703426.9+3872000+13.44+217315.41</f>
        <v>8792755.75</v>
      </c>
      <c r="G83" s="34"/>
    </row>
    <row r="84" customFormat="false" ht="12.75" hidden="false" customHeight="false" outlineLevel="0" collapsed="false">
      <c r="A84" s="35"/>
      <c r="B84" s="52" t="s">
        <v>88</v>
      </c>
      <c r="C84" s="35"/>
      <c r="D84" s="36"/>
      <c r="E84" s="36"/>
      <c r="F84" s="51" t="n">
        <v>33196.74</v>
      </c>
      <c r="G84" s="34"/>
    </row>
    <row r="85" customFormat="false" ht="12.75" hidden="false" customHeight="false" outlineLevel="0" collapsed="false">
      <c r="A85" s="35"/>
      <c r="B85" s="52" t="s">
        <v>89</v>
      </c>
      <c r="C85" s="35"/>
      <c r="D85" s="36"/>
      <c r="E85" s="36"/>
      <c r="F85" s="60" t="n">
        <v>2962776.9</v>
      </c>
      <c r="G85" s="34"/>
    </row>
    <row r="86" customFormat="false" ht="12.75" hidden="false" customHeight="false" outlineLevel="0" collapsed="false">
      <c r="B86" s="14" t="s">
        <v>33</v>
      </c>
      <c r="C86" s="35"/>
      <c r="D86" s="36"/>
      <c r="E86" s="36"/>
      <c r="F86" s="43" t="n">
        <f aca="false">SUM(F79:F85)</f>
        <v>50072803.84</v>
      </c>
      <c r="G86" s="58" t="n">
        <f aca="false">+F86/$F$70</f>
        <v>0.0318459372802239</v>
      </c>
    </row>
    <row r="87" customFormat="false" ht="15.75" hidden="false" customHeight="false" outlineLevel="0" collapsed="false">
      <c r="B87" s="5"/>
    </row>
    <row r="88" customFormat="false" ht="16.5" hidden="false" customHeight="false" outlineLevel="0" collapsed="false">
      <c r="B88" s="44" t="s">
        <v>55</v>
      </c>
      <c r="C88" s="45"/>
      <c r="D88" s="46"/>
      <c r="E88" s="46"/>
      <c r="F88" s="47" t="n">
        <f aca="false">+F70-F77-F86</f>
        <v>1471079852.9</v>
      </c>
      <c r="G88" s="59" t="n">
        <f aca="false">+F88/$F$70</f>
        <v>0.93559603491248</v>
      </c>
    </row>
    <row r="89" customFormat="false" ht="15.75" hidden="false" customHeight="false" outlineLevel="0" collapsed="false">
      <c r="B89" s="5"/>
    </row>
  </sheetData>
  <printOptions headings="false" gridLines="false" gridLinesSet="true" horizontalCentered="false" verticalCentered="false"/>
  <pageMargins left="0.5" right="0.25" top="0.984027777777778" bottom="0.5" header="0.511811023622047" footer="0"/>
  <pageSetup paperSize="1" scale="88"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December 2000</oddFooter>
  </headerFooter>
  <rowBreaks count="1" manualBreakCount="1">
    <brk id="35"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 activeCellId="0" sqref="I6"/>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90</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57</v>
      </c>
    </row>
    <row r="8" customFormat="false" ht="35.25" hidden="false" customHeight="false" outlineLevel="0" collapsed="false">
      <c r="A8" s="6" t="s">
        <v>3</v>
      </c>
      <c r="B8" s="6" t="s">
        <v>4</v>
      </c>
      <c r="C8" s="6" t="s">
        <v>5</v>
      </c>
      <c r="D8" s="7"/>
      <c r="E8" s="8"/>
      <c r="F8" s="9" t="s">
        <v>6</v>
      </c>
      <c r="G8" s="10" t="s">
        <v>7</v>
      </c>
    </row>
    <row r="9" customFormat="false" ht="12" hidden="false" customHeight="false" outlineLevel="0" collapsed="false">
      <c r="A9" s="11"/>
      <c r="B9" s="11"/>
      <c r="C9" s="11"/>
      <c r="D9" s="11"/>
      <c r="E9" s="11"/>
      <c r="F9" s="12"/>
      <c r="G9" s="11"/>
    </row>
    <row r="10" customFormat="false" ht="13.5" hidden="false" customHeight="false" outlineLevel="0" collapsed="false">
      <c r="A10" s="13"/>
      <c r="B10" s="14" t="s">
        <v>91</v>
      </c>
      <c r="C10" s="15" t="n">
        <v>36892</v>
      </c>
      <c r="D10" s="16"/>
      <c r="E10" s="16"/>
      <c r="F10" s="17" t="n">
        <v>824310305.36</v>
      </c>
      <c r="G10" s="18" t="n">
        <f aca="false">+F10/F$10</f>
        <v>1</v>
      </c>
    </row>
    <row r="11" customFormat="false" ht="16.5" hidden="false" customHeight="false" outlineLevel="0" collapsed="false">
      <c r="B11" s="5"/>
    </row>
    <row r="12" customFormat="false" ht="15.75" hidden="false" customHeight="false" outlineLevel="0" collapsed="false">
      <c r="B12" s="5"/>
    </row>
    <row r="13" customFormat="false" ht="15.75" hidden="false" customHeight="false" outlineLevel="0" collapsed="false">
      <c r="B13" s="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5" t="s">
        <v>9</v>
      </c>
    </row>
    <row r="17" customFormat="false" ht="16.5" hidden="false" customHeight="false" outlineLevel="0" collapsed="false">
      <c r="A17" s="5" t="s">
        <v>92</v>
      </c>
    </row>
    <row r="18" customFormat="false" ht="35.25" hidden="false" customHeight="false" outlineLevel="0" collapsed="false">
      <c r="A18" s="6" t="s">
        <v>3</v>
      </c>
      <c r="B18" s="6" t="s">
        <v>4</v>
      </c>
      <c r="C18" s="6" t="s">
        <v>11</v>
      </c>
      <c r="D18" s="6" t="s">
        <v>12</v>
      </c>
      <c r="E18" s="6" t="s">
        <v>13</v>
      </c>
      <c r="F18" s="10" t="s">
        <v>14</v>
      </c>
      <c r="G18" s="10" t="s">
        <v>15</v>
      </c>
    </row>
    <row r="19" customFormat="false" ht="13.5" hidden="false" customHeight="false" outlineLevel="0" collapsed="false"/>
    <row r="20" customFormat="false" ht="12.75" hidden="false" customHeight="false" outlineLevel="0" collapsed="false">
      <c r="A20" s="22" t="n">
        <v>1924</v>
      </c>
      <c r="B20" s="20" t="s">
        <v>93</v>
      </c>
      <c r="C20" s="53" t="n">
        <v>36977</v>
      </c>
      <c r="D20" s="26" t="n">
        <v>14426</v>
      </c>
      <c r="E20" s="22" t="s">
        <v>94</v>
      </c>
      <c r="F20" s="23" t="n">
        <f aca="false">2271.96-56</f>
        <v>2215.96</v>
      </c>
      <c r="G20" s="24" t="n">
        <f aca="false">+F20/$F$37</f>
        <v>2.75081904022525E-006</v>
      </c>
    </row>
    <row r="21" customFormat="false" ht="12.75" hidden="false" customHeight="false" outlineLevel="0" collapsed="false">
      <c r="A21" s="22" t="n">
        <v>2606</v>
      </c>
      <c r="B21" s="20" t="s">
        <v>95</v>
      </c>
      <c r="C21" s="53" t="n">
        <v>36977</v>
      </c>
      <c r="D21" s="26" t="n">
        <v>14415</v>
      </c>
      <c r="E21" s="22" t="s">
        <v>94</v>
      </c>
      <c r="F21" s="54" t="n">
        <v>145848.15</v>
      </c>
      <c r="G21" s="24" t="n">
        <f aca="false">+F21/$F$37</f>
        <v>0.000181051042438324</v>
      </c>
    </row>
    <row r="22" customFormat="false" ht="12.75" hidden="false" customHeight="false" outlineLevel="0" collapsed="false">
      <c r="A22" s="22" t="n">
        <v>1544</v>
      </c>
      <c r="B22" s="20" t="s">
        <v>96</v>
      </c>
      <c r="C22" s="53" t="n">
        <v>36977</v>
      </c>
      <c r="D22" s="26" t="n">
        <v>14431</v>
      </c>
      <c r="E22" s="22" t="s">
        <v>94</v>
      </c>
      <c r="F22" s="54" t="n">
        <v>80164.4</v>
      </c>
      <c r="G22" s="24" t="n">
        <f aca="false">+F22/$F$37</f>
        <v>9.95134198578644E-005</v>
      </c>
    </row>
    <row r="23" customFormat="false" ht="12.75" hidden="false" customHeight="false" outlineLevel="0" collapsed="false">
      <c r="A23" s="22" t="n">
        <v>2528</v>
      </c>
      <c r="B23" s="20" t="s">
        <v>97</v>
      </c>
      <c r="C23" s="53" t="n">
        <v>36977</v>
      </c>
      <c r="D23" s="26" t="n">
        <v>14418</v>
      </c>
      <c r="E23" s="22" t="s">
        <v>94</v>
      </c>
      <c r="F23" s="54" t="n">
        <v>159458.66</v>
      </c>
      <c r="G23" s="24" t="n">
        <f aca="false">+F23/$F$37</f>
        <v>0.000197946676860956</v>
      </c>
    </row>
    <row r="24" customFormat="false" ht="12.75" hidden="false" customHeight="false" outlineLevel="0" collapsed="false">
      <c r="A24" s="22" t="n">
        <v>1010</v>
      </c>
      <c r="B24" s="20" t="s">
        <v>62</v>
      </c>
      <c r="C24" s="53" t="n">
        <v>36977</v>
      </c>
      <c r="D24" s="26" t="n">
        <v>14459</v>
      </c>
      <c r="E24" s="22" t="s">
        <v>94</v>
      </c>
      <c r="F24" s="54" t="n">
        <v>2678130.43</v>
      </c>
      <c r="G24" s="24" t="n">
        <f aca="false">+F24/$F$37</f>
        <v>0.00332454204004163</v>
      </c>
    </row>
    <row r="25" customFormat="false" ht="12.75" hidden="false" customHeight="false" outlineLevel="0" collapsed="false">
      <c r="A25" s="22" t="n">
        <v>2966</v>
      </c>
      <c r="B25" s="20" t="s">
        <v>98</v>
      </c>
      <c r="C25" s="53" t="n">
        <v>36994</v>
      </c>
      <c r="D25" s="26" t="n">
        <v>14602</v>
      </c>
      <c r="E25" s="22" t="s">
        <v>94</v>
      </c>
      <c r="F25" s="54" t="n">
        <v>617.11</v>
      </c>
      <c r="G25" s="24" t="n">
        <f aca="false">+F25/$F$37</f>
        <v>7.66059828658191E-007</v>
      </c>
    </row>
    <row r="26" customFormat="false" ht="12.75" hidden="false" customHeight="false" outlineLevel="0" collapsed="false">
      <c r="A26" s="22" t="n">
        <v>1924</v>
      </c>
      <c r="B26" s="20" t="s">
        <v>93</v>
      </c>
      <c r="C26" s="53" t="n">
        <v>36977</v>
      </c>
      <c r="D26" s="26" t="n">
        <v>14495</v>
      </c>
      <c r="E26" s="22" t="s">
        <v>17</v>
      </c>
      <c r="F26" s="54" t="n">
        <v>361251.6</v>
      </c>
      <c r="G26" s="24" t="n">
        <f aca="false">+F26/$F$37</f>
        <v>0.000448445720857704</v>
      </c>
    </row>
    <row r="27" customFormat="false" ht="12.75" hidden="false" customHeight="false" outlineLevel="0" collapsed="false">
      <c r="A27" s="22" t="n">
        <v>2606</v>
      </c>
      <c r="B27" s="20" t="s">
        <v>99</v>
      </c>
      <c r="C27" s="53" t="n">
        <v>36977</v>
      </c>
      <c r="D27" s="26" t="n">
        <v>14483</v>
      </c>
      <c r="E27" s="22" t="s">
        <v>17</v>
      </c>
      <c r="F27" s="54" t="n">
        <v>2008731.95</v>
      </c>
      <c r="G27" s="24" t="n">
        <f aca="false">+F27/$F$37</f>
        <v>0.00249357303144858</v>
      </c>
    </row>
    <row r="28" customFormat="false" ht="12.75" hidden="false" customHeight="false" outlineLevel="0" collapsed="false">
      <c r="A28" s="22" t="n">
        <v>1243</v>
      </c>
      <c r="B28" s="20" t="s">
        <v>16</v>
      </c>
      <c r="C28" s="53" t="n">
        <v>36977</v>
      </c>
      <c r="D28" s="26" t="n">
        <v>14510</v>
      </c>
      <c r="E28" s="22" t="s">
        <v>17</v>
      </c>
      <c r="F28" s="54" t="n">
        <v>415999776.3</v>
      </c>
      <c r="G28" s="24" t="n">
        <f aca="false">+F28/$F$37</f>
        <v>0.516408285968829</v>
      </c>
    </row>
    <row r="29" customFormat="false" ht="12.75" hidden="false" customHeight="false" outlineLevel="0" collapsed="false">
      <c r="A29" s="22" t="n">
        <v>1243</v>
      </c>
      <c r="B29" s="20" t="s">
        <v>16</v>
      </c>
      <c r="C29" s="53" t="n">
        <v>36994</v>
      </c>
      <c r="D29" s="26" t="n">
        <v>14709</v>
      </c>
      <c r="E29" s="22" t="s">
        <v>17</v>
      </c>
      <c r="F29" s="54" t="n">
        <v>14624579.52</v>
      </c>
      <c r="G29" s="24" t="n">
        <f aca="false">+F29/$F$37</f>
        <v>0.0181544665963755</v>
      </c>
    </row>
    <row r="30" customFormat="false" ht="12.75" hidden="false" customHeight="false" outlineLevel="0" collapsed="false">
      <c r="A30" s="22" t="n">
        <v>2769</v>
      </c>
      <c r="B30" s="20" t="s">
        <v>100</v>
      </c>
      <c r="C30" s="53" t="n">
        <v>36977</v>
      </c>
      <c r="D30" s="26" t="n">
        <v>14475</v>
      </c>
      <c r="E30" s="22" t="s">
        <v>17</v>
      </c>
      <c r="F30" s="54" t="n">
        <f aca="false">206727081.73-2136592.33</f>
        <v>204590489.4</v>
      </c>
      <c r="G30" s="24" t="n">
        <f aca="false">+F30/$F$37</f>
        <v>0.253971828774221</v>
      </c>
    </row>
    <row r="31" customFormat="false" ht="12.75" hidden="false" customHeight="false" outlineLevel="0" collapsed="false">
      <c r="A31" s="22" t="n">
        <v>2769</v>
      </c>
      <c r="B31" s="20" t="s">
        <v>16</v>
      </c>
      <c r="C31" s="53" t="n">
        <v>36977</v>
      </c>
      <c r="D31" s="26" t="n">
        <v>14475</v>
      </c>
      <c r="E31" s="22" t="s">
        <v>17</v>
      </c>
      <c r="F31" s="54" t="n">
        <v>2136592.33</v>
      </c>
      <c r="G31" s="24" t="n">
        <f aca="false">+F31/$F$37</f>
        <v>0.00265229465448981</v>
      </c>
    </row>
    <row r="32" customFormat="false" ht="12.75" hidden="false" customHeight="false" outlineLevel="0" collapsed="false">
      <c r="A32" s="22" t="n">
        <v>1544</v>
      </c>
      <c r="B32" s="20" t="s">
        <v>96</v>
      </c>
      <c r="C32" s="53" t="n">
        <v>36977</v>
      </c>
      <c r="D32" s="26" t="n">
        <v>14500</v>
      </c>
      <c r="E32" s="22" t="s">
        <v>17</v>
      </c>
      <c r="F32" s="54" t="n">
        <v>1844911.74</v>
      </c>
      <c r="G32" s="24" t="n">
        <f aca="false">+F32/$F$37</f>
        <v>0.00229021207148464</v>
      </c>
    </row>
    <row r="33" customFormat="false" ht="12.75" hidden="false" customHeight="false" outlineLevel="0" collapsed="false">
      <c r="A33" s="22" t="n">
        <v>1011</v>
      </c>
      <c r="B33" s="20" t="s">
        <v>101</v>
      </c>
      <c r="C33" s="53" t="n">
        <v>36977</v>
      </c>
      <c r="D33" s="26" t="n">
        <v>14531</v>
      </c>
      <c r="E33" s="22" t="s">
        <v>17</v>
      </c>
      <c r="F33" s="54" t="n">
        <v>3798392.4</v>
      </c>
      <c r="G33" s="24" t="n">
        <f aca="false">+F33/$F$37</f>
        <v>0.00471519798920869</v>
      </c>
    </row>
    <row r="34" customFormat="false" ht="12.75" hidden="false" customHeight="false" outlineLevel="0" collapsed="false">
      <c r="A34" s="22" t="n">
        <v>1010</v>
      </c>
      <c r="B34" s="20" t="s">
        <v>62</v>
      </c>
      <c r="C34" s="53" t="n">
        <v>36977</v>
      </c>
      <c r="D34" s="26" t="n">
        <v>14532</v>
      </c>
      <c r="E34" s="22" t="s">
        <v>17</v>
      </c>
      <c r="F34" s="54" t="n">
        <v>155833733.33</v>
      </c>
      <c r="G34" s="24" t="n">
        <f aca="false">+F34/$F$37</f>
        <v>0.193446813459426</v>
      </c>
    </row>
    <row r="35" customFormat="false" ht="12.75" hidden="false" customHeight="false" outlineLevel="0" collapsed="false">
      <c r="A35" s="22" t="n">
        <v>2465</v>
      </c>
      <c r="B35" s="20" t="s">
        <v>63</v>
      </c>
      <c r="C35" s="53" t="n">
        <v>36977</v>
      </c>
      <c r="D35" s="26" t="n">
        <v>14489</v>
      </c>
      <c r="E35" s="22" t="s">
        <v>17</v>
      </c>
      <c r="F35" s="27" t="n">
        <v>1298819.78</v>
      </c>
      <c r="G35" s="24" t="n">
        <f aca="false">+F35/$F$37</f>
        <v>0.00161231167559215</v>
      </c>
    </row>
    <row r="36" customFormat="false" ht="12.75" hidden="false" customHeight="false" outlineLevel="0" collapsed="false">
      <c r="A36" s="29"/>
      <c r="B36" s="30"/>
      <c r="C36" s="31"/>
      <c r="D36" s="29"/>
      <c r="E36" s="32"/>
      <c r="F36" s="33"/>
      <c r="G36" s="34"/>
    </row>
    <row r="37" customFormat="false" ht="13.5" hidden="false" customHeight="false" outlineLevel="0" collapsed="false">
      <c r="B37" s="14" t="s">
        <v>18</v>
      </c>
      <c r="F37" s="17" t="n">
        <f aca="false">SUM(F20:F36)</f>
        <v>805563713.06</v>
      </c>
      <c r="G37" s="18" t="n">
        <f aca="false">+F37/F37</f>
        <v>1</v>
      </c>
    </row>
    <row r="38" customFormat="false" ht="13.5" hidden="false" customHeight="false" outlineLevel="0" collapsed="false"/>
    <row r="41" customFormat="false" ht="12.75" hidden="false" customHeight="false" outlineLevel="0" collapsed="false">
      <c r="B41" s="55" t="s">
        <v>64</v>
      </c>
    </row>
    <row r="47" customFormat="false" ht="15.75" hidden="false" customHeight="false" outlineLevel="0" collapsed="false">
      <c r="B47" s="5" t="str">
        <f aca="false">+B1</f>
        <v>Certification for Market Settlement September 28, 2001</v>
      </c>
    </row>
    <row r="48" customFormat="false" ht="15.75" hidden="false" customHeight="false" outlineLevel="0" collapsed="false">
      <c r="B48" s="5"/>
    </row>
    <row r="49" customFormat="false" ht="15.75" hidden="false" customHeight="false" outlineLevel="0" collapsed="false">
      <c r="B49" s="5" t="s">
        <v>102</v>
      </c>
    </row>
    <row r="50" customFormat="false" ht="15.75" hidden="false" customHeight="false" outlineLevel="0" collapsed="false">
      <c r="B50" s="5"/>
    </row>
    <row r="51" customFormat="false" ht="15.75" hidden="false" customHeight="false" outlineLevel="0" collapsed="false">
      <c r="B51" s="5" t="s">
        <v>20</v>
      </c>
    </row>
    <row r="52" customFormat="false" ht="15.75" hidden="false" customHeight="false" outlineLevel="0" collapsed="false">
      <c r="B52" s="5"/>
    </row>
    <row r="53" customFormat="false" ht="12.75" hidden="false" customHeight="false" outlineLevel="0" collapsed="false">
      <c r="B53" s="34" t="s">
        <v>21</v>
      </c>
      <c r="C53" s="35"/>
      <c r="D53" s="36"/>
      <c r="E53" s="36"/>
      <c r="F53" s="37" t="n">
        <v>852880070.61</v>
      </c>
      <c r="G53" s="56" t="n">
        <f aca="false">+F53/F55</f>
        <v>0.94701907326549</v>
      </c>
    </row>
    <row r="54" customFormat="false" ht="12.75" hidden="false" customHeight="false" outlineLevel="0" collapsed="false">
      <c r="B54" s="34" t="s">
        <v>22</v>
      </c>
      <c r="C54" s="35"/>
      <c r="D54" s="36"/>
      <c r="E54" s="36"/>
      <c r="F54" s="39" t="n">
        <v>47714325.73</v>
      </c>
      <c r="G54" s="56" t="n">
        <f aca="false">+F54/F55</f>
        <v>0.0529809267345102</v>
      </c>
    </row>
    <row r="55" customFormat="false" ht="12.75" hidden="false" customHeight="false" outlineLevel="0" collapsed="false">
      <c r="B55" s="40" t="s">
        <v>23</v>
      </c>
      <c r="C55" s="35"/>
      <c r="D55" s="36"/>
      <c r="E55" s="36"/>
      <c r="F55" s="39" t="n">
        <f aca="false">SUM(F53:F54)</f>
        <v>900594396.34</v>
      </c>
      <c r="G55" s="58" t="n">
        <f aca="false">+F55/F55</f>
        <v>1</v>
      </c>
    </row>
    <row r="56" customFormat="false" ht="15.75" hidden="false" customHeight="false" outlineLevel="0" collapsed="false">
      <c r="B56" s="5"/>
    </row>
    <row r="57" customFormat="false" ht="12.75" hidden="false" customHeight="false" outlineLevel="0" collapsed="false">
      <c r="B57" s="34" t="s">
        <v>103</v>
      </c>
      <c r="C57" s="35"/>
      <c r="D57" s="36"/>
      <c r="E57" s="36"/>
      <c r="F57" s="33" t="n">
        <v>12952984.79</v>
      </c>
    </row>
    <row r="58" customFormat="false" ht="12.75" hidden="false" customHeight="false" outlineLevel="0" collapsed="false">
      <c r="B58" s="34" t="s">
        <v>68</v>
      </c>
      <c r="C58" s="35"/>
      <c r="D58" s="36"/>
      <c r="E58" s="36"/>
      <c r="F58" s="39" t="n">
        <v>1948770.11</v>
      </c>
    </row>
    <row r="59" customFormat="false" ht="12.75" hidden="false" customHeight="false" outlineLevel="0" collapsed="false">
      <c r="B59" s="40" t="s">
        <v>28</v>
      </c>
      <c r="C59" s="35"/>
      <c r="D59" s="36"/>
      <c r="E59" s="36"/>
      <c r="F59" s="39" t="n">
        <f aca="false">SUM(F57:F58)</f>
        <v>14901754.9</v>
      </c>
      <c r="G59" s="58" t="n">
        <f aca="false">+F59/F55</f>
        <v>0.0165465774166045</v>
      </c>
    </row>
    <row r="60" customFormat="false" ht="15.75" hidden="false" customHeight="false" outlineLevel="0" collapsed="false">
      <c r="B60" s="5"/>
    </row>
    <row r="61" customFormat="false" ht="12.75" hidden="false" customHeight="false" outlineLevel="0" collapsed="false">
      <c r="A61" s="35"/>
      <c r="B61" s="34" t="s">
        <v>69</v>
      </c>
      <c r="C61" s="35"/>
      <c r="D61" s="36"/>
      <c r="E61" s="36"/>
      <c r="F61" s="33" t="n">
        <v>7683.69</v>
      </c>
      <c r="G61" s="34"/>
    </row>
    <row r="62" customFormat="false" ht="12.75" hidden="false" customHeight="false" outlineLevel="0" collapsed="false">
      <c r="A62" s="35"/>
      <c r="B62" s="34" t="s">
        <v>104</v>
      </c>
      <c r="C62" s="35"/>
      <c r="D62" s="36"/>
      <c r="E62" s="36"/>
      <c r="F62" s="33" t="n">
        <f aca="false">5033877.99+13.44+217315.41</f>
        <v>5251206.84</v>
      </c>
      <c r="G62" s="34"/>
    </row>
    <row r="63" customFormat="false" ht="12.75" hidden="false" customHeight="false" outlineLevel="0" collapsed="false">
      <c r="A63" s="35"/>
      <c r="B63" s="34" t="s">
        <v>105</v>
      </c>
      <c r="C63" s="35"/>
      <c r="D63" s="36"/>
      <c r="E63" s="36"/>
      <c r="F63" s="33" t="n">
        <v>30344780.58</v>
      </c>
      <c r="G63" s="34"/>
    </row>
    <row r="64" customFormat="false" ht="12.75" hidden="false" customHeight="false" outlineLevel="0" collapsed="false">
      <c r="A64" s="35"/>
      <c r="B64" s="34" t="s">
        <v>73</v>
      </c>
      <c r="C64" s="35"/>
      <c r="D64" s="36"/>
      <c r="E64" s="36"/>
      <c r="F64" s="33" t="n">
        <f aca="false">46774875.92+816816.06</f>
        <v>47591691.98</v>
      </c>
      <c r="G64" s="34"/>
    </row>
    <row r="65" customFormat="false" ht="12.75" hidden="false" customHeight="false" outlineLevel="0" collapsed="false">
      <c r="B65" s="14" t="s">
        <v>33</v>
      </c>
      <c r="F65" s="60" t="n">
        <f aca="false">SUM(F61:F64)</f>
        <v>83195363.09</v>
      </c>
      <c r="G65" s="58" t="n">
        <f aca="false">+F65/F55</f>
        <v>0.0923782819747763</v>
      </c>
    </row>
    <row r="66" customFormat="false" ht="12.75" hidden="false" customHeight="false" outlineLevel="0" collapsed="false">
      <c r="B66" s="14"/>
      <c r="F66" s="51"/>
      <c r="G66" s="58"/>
    </row>
    <row r="67" customFormat="false" ht="12.75" hidden="false" customHeight="false" outlineLevel="0" collapsed="false">
      <c r="A67" s="35"/>
      <c r="B67" s="34" t="s">
        <v>106</v>
      </c>
      <c r="C67" s="35"/>
      <c r="D67" s="36"/>
      <c r="E67" s="36"/>
      <c r="F67" s="39" t="n">
        <f aca="false">3066490.71-56</f>
        <v>3066434.71</v>
      </c>
      <c r="G67" s="58" t="n">
        <f aca="false">+F67/F55</f>
        <v>0.00340490094371222</v>
      </c>
    </row>
    <row r="68" customFormat="false" ht="15.75" hidden="false" customHeight="false" outlineLevel="0" collapsed="false">
      <c r="B68" s="5"/>
    </row>
    <row r="69" customFormat="false" ht="16.5" hidden="false" customHeight="false" outlineLevel="0" collapsed="false">
      <c r="B69" s="44" t="s">
        <v>34</v>
      </c>
      <c r="C69" s="45"/>
      <c r="D69" s="46"/>
      <c r="E69" s="46"/>
      <c r="F69" s="47" t="n">
        <f aca="false">+F55-F59-F65+F67</f>
        <v>805563713.06</v>
      </c>
      <c r="G69" s="59" t="n">
        <f aca="false">+F69/F55</f>
        <v>0.894480041552331</v>
      </c>
    </row>
    <row r="70" customFormat="false" ht="15.75" hidden="false" customHeight="false" outlineLevel="0" collapsed="false">
      <c r="B70" s="49"/>
      <c r="C70" s="35"/>
      <c r="D70" s="36"/>
      <c r="E70" s="36"/>
      <c r="F70" s="50"/>
    </row>
    <row r="71" customFormat="false" ht="15.75" hidden="false" customHeight="false" outlineLevel="0" collapsed="false">
      <c r="B71" s="49" t="s">
        <v>35</v>
      </c>
      <c r="C71" s="35"/>
      <c r="D71" s="36"/>
      <c r="E71" s="36"/>
      <c r="F71" s="34"/>
    </row>
    <row r="72" customFormat="false" ht="15.75" hidden="false" customHeight="false" outlineLevel="0" collapsed="false">
      <c r="B72" s="49"/>
      <c r="C72" s="35"/>
      <c r="D72" s="36"/>
      <c r="E72" s="36"/>
      <c r="F72" s="34"/>
    </row>
    <row r="73" customFormat="false" ht="12.75" hidden="false" customHeight="false" outlineLevel="0" collapsed="false">
      <c r="A73" s="35"/>
      <c r="B73" s="34" t="s">
        <v>21</v>
      </c>
      <c r="C73" s="35"/>
      <c r="D73" s="36"/>
      <c r="E73" s="36"/>
      <c r="F73" s="37" t="n">
        <v>835450696.8</v>
      </c>
      <c r="G73" s="61" t="n">
        <f aca="false">+F73/F75</f>
        <v>0.945662176333512</v>
      </c>
    </row>
    <row r="74" customFormat="false" ht="12.75" hidden="false" customHeight="false" outlineLevel="0" collapsed="false">
      <c r="B74" s="34" t="s">
        <v>22</v>
      </c>
      <c r="C74" s="35"/>
      <c r="D74" s="36"/>
      <c r="E74" s="36"/>
      <c r="F74" s="39" t="n">
        <v>48005063.31</v>
      </c>
      <c r="G74" s="61" t="n">
        <f aca="false">+F74/F75</f>
        <v>0.0543378236664877</v>
      </c>
    </row>
    <row r="75" customFormat="false" ht="12.75" hidden="false" customHeight="false" outlineLevel="0" collapsed="false">
      <c r="B75" s="40" t="s">
        <v>23</v>
      </c>
      <c r="C75" s="35"/>
      <c r="D75" s="36"/>
      <c r="E75" s="36"/>
      <c r="F75" s="39" t="n">
        <f aca="false">SUM(F73:F74)</f>
        <v>883455760.11</v>
      </c>
      <c r="G75" s="58" t="n">
        <f aca="false">+F75/F75</f>
        <v>1</v>
      </c>
    </row>
    <row r="76" customFormat="false" ht="15.75" hidden="false" customHeight="false" outlineLevel="0" collapsed="false">
      <c r="B76" s="5"/>
    </row>
    <row r="77" customFormat="false" ht="12.75" hidden="false" customHeight="false" outlineLevel="0" collapsed="false">
      <c r="B77" s="34" t="s">
        <v>107</v>
      </c>
      <c r="C77" s="35"/>
      <c r="D77" s="36"/>
      <c r="E77" s="36"/>
      <c r="F77" s="33" t="n">
        <v>5980329.05</v>
      </c>
    </row>
    <row r="78" customFormat="false" ht="12.75" hidden="false" customHeight="false" outlineLevel="0" collapsed="false">
      <c r="B78" s="34" t="s">
        <v>108</v>
      </c>
      <c r="C78" s="35"/>
      <c r="D78" s="36"/>
      <c r="E78" s="36"/>
      <c r="F78" s="39" t="n">
        <v>3500845.61</v>
      </c>
    </row>
    <row r="79" customFormat="false" ht="12.75" hidden="false" customHeight="false" outlineLevel="0" collapsed="false">
      <c r="B79" s="40" t="s">
        <v>41</v>
      </c>
      <c r="C79" s="35"/>
      <c r="D79" s="36"/>
      <c r="E79" s="36"/>
      <c r="F79" s="39" t="n">
        <f aca="false">SUM(F77:F78)</f>
        <v>9481174.66</v>
      </c>
      <c r="G79" s="58" t="n">
        <f aca="false">+F79/F75</f>
        <v>0.0107319178708162</v>
      </c>
    </row>
    <row r="80" customFormat="false" ht="15.75" hidden="false" customHeight="false" outlineLevel="0" collapsed="false">
      <c r="B80" s="5"/>
    </row>
    <row r="81" customFormat="false" ht="12.75" hidden="false" customHeight="false" outlineLevel="0" collapsed="false">
      <c r="B81" s="34" t="s">
        <v>109</v>
      </c>
      <c r="C81" s="35"/>
      <c r="D81" s="36"/>
      <c r="E81" s="36"/>
      <c r="F81" s="51" t="n">
        <f aca="false">122896.33-4775.87+21.04+21483.12</f>
        <v>139624.62</v>
      </c>
    </row>
    <row r="82" customFormat="false" ht="12.75" hidden="false" customHeight="false" outlineLevel="0" collapsed="false">
      <c r="B82" s="34" t="s">
        <v>72</v>
      </c>
      <c r="C82" s="35"/>
      <c r="D82" s="36"/>
      <c r="E82" s="36"/>
      <c r="F82" s="51" t="n">
        <f aca="false">2355642.34+4780.7</f>
        <v>2360423.04</v>
      </c>
    </row>
    <row r="83" customFormat="false" ht="12.75" hidden="false" customHeight="false" outlineLevel="0" collapsed="false">
      <c r="B83" s="34" t="s">
        <v>110</v>
      </c>
      <c r="C83" s="35"/>
      <c r="D83" s="36"/>
      <c r="E83" s="36"/>
      <c r="F83" s="51" t="n">
        <f aca="false">46774875.92+838299.18-21483.12</f>
        <v>47591691.98</v>
      </c>
    </row>
    <row r="84" customFormat="false" ht="12.75" hidden="false" customHeight="false" outlineLevel="0" collapsed="false">
      <c r="B84" s="34" t="s">
        <v>111</v>
      </c>
      <c r="C84" s="35"/>
      <c r="D84" s="36"/>
      <c r="E84" s="36"/>
      <c r="F84" s="51" t="n">
        <f aca="false">-5855172.13+4097000</f>
        <v>-1758172.13</v>
      </c>
    </row>
    <row r="85" customFormat="false" ht="12.75" hidden="false" customHeight="false" outlineLevel="0" collapsed="false">
      <c r="B85" s="34" t="s">
        <v>112</v>
      </c>
      <c r="C85" s="35"/>
      <c r="D85" s="36"/>
      <c r="E85" s="36"/>
      <c r="F85" s="51" t="n">
        <f aca="false">4388030.55-4097000</f>
        <v>291030.55</v>
      </c>
    </row>
    <row r="86" customFormat="false" ht="12.75" hidden="false" customHeight="false" outlineLevel="0" collapsed="false">
      <c r="B86" s="52" t="s">
        <v>88</v>
      </c>
      <c r="C86" s="35"/>
      <c r="D86" s="36"/>
      <c r="E86" s="36"/>
      <c r="F86" s="51" t="n">
        <v>127265.99</v>
      </c>
    </row>
    <row r="87" customFormat="false" ht="12.75" hidden="false" customHeight="false" outlineLevel="0" collapsed="false">
      <c r="B87" s="52" t="s">
        <v>89</v>
      </c>
      <c r="F87" s="62" t="n">
        <f aca="false">882262.79+6706.48</f>
        <v>888969.27</v>
      </c>
    </row>
    <row r="88" customFormat="false" ht="12.75" hidden="false" customHeight="false" outlineLevel="0" collapsed="false">
      <c r="B88" s="52" t="s">
        <v>113</v>
      </c>
      <c r="C88" s="35"/>
      <c r="D88" s="36"/>
      <c r="E88" s="36"/>
      <c r="F88" s="60" t="n">
        <v>23446.77</v>
      </c>
    </row>
    <row r="89" customFormat="false" ht="12.75" hidden="false" customHeight="false" outlineLevel="0" collapsed="false">
      <c r="B89" s="14" t="s">
        <v>33</v>
      </c>
      <c r="C89" s="35"/>
      <c r="D89" s="36"/>
      <c r="E89" s="36"/>
      <c r="F89" s="60" t="n">
        <f aca="false">SUM(F81:F88)</f>
        <v>49664280.09</v>
      </c>
      <c r="G89" s="58" t="n">
        <f aca="false">+F89/F75</f>
        <v>0.0562159219877816</v>
      </c>
    </row>
    <row r="90" customFormat="false" ht="15.75" hidden="false" customHeight="false" outlineLevel="0" collapsed="false">
      <c r="B90" s="5"/>
    </row>
    <row r="91" customFormat="false" ht="16.5" hidden="false" customHeight="false" outlineLevel="0" collapsed="false">
      <c r="B91" s="44" t="s">
        <v>55</v>
      </c>
      <c r="C91" s="45"/>
      <c r="D91" s="46"/>
      <c r="E91" s="46"/>
      <c r="F91" s="47" t="n">
        <f aca="false">+F75-F79-F89</f>
        <v>824310305.36</v>
      </c>
      <c r="G91" s="59" t="n">
        <f aca="false">+F91/F75</f>
        <v>0.933052160141402</v>
      </c>
    </row>
    <row r="92" customFormat="false" ht="15.75" hidden="false" customHeight="false" outlineLevel="0" collapsed="false">
      <c r="B92" s="49"/>
      <c r="C92" s="35"/>
      <c r="D92" s="36"/>
      <c r="E92" s="36"/>
      <c r="F92" s="50"/>
      <c r="G92" s="63"/>
    </row>
    <row r="93" customFormat="false" ht="15.75" hidden="false" customHeight="false" outlineLevel="0" collapsed="false">
      <c r="B93" s="49" t="s">
        <v>114</v>
      </c>
      <c r="C93" s="35"/>
      <c r="D93" s="36"/>
      <c r="E93" s="36"/>
      <c r="G93" s="63"/>
    </row>
    <row r="94" customFormat="false" ht="15.75" hidden="false" customHeight="false" outlineLevel="0" collapsed="false">
      <c r="B94" s="49"/>
      <c r="C94" s="35"/>
      <c r="D94" s="36"/>
      <c r="E94" s="36"/>
      <c r="G94" s="63"/>
    </row>
    <row r="95" customFormat="false" ht="12.75" hidden="false" customHeight="false" outlineLevel="0" collapsed="false">
      <c r="B95" s="64" t="s">
        <v>115</v>
      </c>
      <c r="C95" s="35"/>
      <c r="D95" s="36"/>
      <c r="E95" s="36"/>
      <c r="F95" s="37" t="n">
        <f aca="false">+'Cert Nov-00'!F47-'Cert Nov-00'!F78</f>
        <v>6704830.53999996</v>
      </c>
      <c r="G95" s="63"/>
    </row>
    <row r="96" customFormat="false" ht="12.75" hidden="false" customHeight="false" outlineLevel="0" collapsed="false">
      <c r="B96" s="64" t="s">
        <v>116</v>
      </c>
      <c r="C96" s="35"/>
      <c r="D96" s="36"/>
      <c r="E96" s="36"/>
      <c r="F96" s="39" t="n">
        <f aca="false">+F97-F95</f>
        <v>12041761.7599999</v>
      </c>
      <c r="G96" s="63"/>
    </row>
    <row r="97" customFormat="false" ht="16.5" hidden="false" customHeight="false" outlineLevel="0" collapsed="false">
      <c r="B97" s="49" t="s">
        <v>117</v>
      </c>
      <c r="F97" s="65" t="n">
        <f aca="false">+F91-F69</f>
        <v>18746592.2999998</v>
      </c>
    </row>
    <row r="98" customFormat="false" ht="13.5" hidden="false" customHeight="false" outlineLevel="0" collapsed="false"/>
    <row r="99" customFormat="false" ht="12.75" hidden="false" customHeight="false" outlineLevel="0" collapsed="false">
      <c r="F99" s="2"/>
    </row>
  </sheetData>
  <printOptions headings="false" gridLines="false" gridLinesSet="true" horizontalCentered="false" verticalCentered="false"/>
  <pageMargins left="0.5" right="0.25" top="0.5" bottom="0.5" header="0.511811023622047" footer="0"/>
  <pageSetup paperSize="1" scale="96"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January 2001</oddFooter>
  </headerFooter>
  <rowBreaks count="1" manualBreakCount="1">
    <brk id="4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118</v>
      </c>
    </row>
    <row r="4" customFormat="false" ht="15.75" hidden="false" customHeight="false" outlineLevel="0" collapsed="false">
      <c r="B4" s="5"/>
    </row>
    <row r="5" customFormat="false" ht="16.5" hidden="false" customHeight="false" outlineLevel="0" collapsed="false">
      <c r="A5" s="5" t="s">
        <v>57</v>
      </c>
    </row>
    <row r="6" customFormat="false" ht="35.25" hidden="false" customHeight="false" outlineLevel="0" collapsed="false">
      <c r="A6" s="6" t="s">
        <v>3</v>
      </c>
      <c r="B6" s="6" t="s">
        <v>4</v>
      </c>
      <c r="C6" s="6" t="s">
        <v>5</v>
      </c>
      <c r="D6" s="7"/>
      <c r="E6" s="8"/>
      <c r="F6" s="9" t="s">
        <v>6</v>
      </c>
      <c r="G6" s="10" t="s">
        <v>7</v>
      </c>
    </row>
    <row r="7" customFormat="false" ht="12" hidden="false" customHeight="false" outlineLevel="0" collapsed="false">
      <c r="A7" s="11"/>
      <c r="B7" s="11"/>
      <c r="C7" s="11"/>
      <c r="D7" s="11"/>
      <c r="E7" s="11"/>
      <c r="F7" s="12"/>
      <c r="G7" s="11"/>
    </row>
    <row r="8" customFormat="false" ht="13.5" hidden="false" customHeight="false" outlineLevel="0" collapsed="false">
      <c r="A8" s="13"/>
      <c r="B8" s="14" t="s">
        <v>119</v>
      </c>
      <c r="C8" s="66" t="n">
        <v>36923</v>
      </c>
      <c r="D8" s="16"/>
      <c r="E8" s="16"/>
      <c r="F8" s="17" t="n">
        <v>975592200.74</v>
      </c>
      <c r="G8" s="18" t="n">
        <f aca="false">+F8/F$8</f>
        <v>1</v>
      </c>
    </row>
    <row r="9" customFormat="false" ht="13.5" hidden="false" customHeight="false" outlineLevel="0" collapsed="false">
      <c r="A9" s="13"/>
      <c r="B9" s="14"/>
      <c r="C9" s="13"/>
      <c r="D9" s="16"/>
      <c r="E9" s="16"/>
      <c r="F9" s="67"/>
      <c r="G9" s="42"/>
    </row>
    <row r="10" customFormat="false" ht="12.75" hidden="false" customHeight="false" outlineLevel="0" collapsed="false">
      <c r="A10" s="13"/>
      <c r="B10" s="14"/>
      <c r="C10" s="13"/>
      <c r="D10" s="16"/>
      <c r="E10" s="16"/>
      <c r="F10" s="67"/>
      <c r="G10" s="42"/>
    </row>
    <row r="11" customFormat="false" ht="15.75" hidden="false" customHeight="false" outlineLevel="0" collapsed="false">
      <c r="A11" s="5" t="s">
        <v>9</v>
      </c>
    </row>
    <row r="12" customFormat="false" ht="16.5" hidden="false" customHeight="false" outlineLevel="0" collapsed="false">
      <c r="A12" s="5" t="s">
        <v>120</v>
      </c>
    </row>
    <row r="13" customFormat="false" ht="35.25" hidden="false" customHeight="false" outlineLevel="0" collapsed="false">
      <c r="A13" s="6" t="s">
        <v>3</v>
      </c>
      <c r="B13" s="6" t="s">
        <v>4</v>
      </c>
      <c r="C13" s="6" t="s">
        <v>11</v>
      </c>
      <c r="D13" s="6" t="s">
        <v>12</v>
      </c>
      <c r="E13" s="6" t="s">
        <v>13</v>
      </c>
      <c r="F13" s="10" t="s">
        <v>14</v>
      </c>
      <c r="G13" s="10" t="s">
        <v>15</v>
      </c>
    </row>
    <row r="14" customFormat="false" ht="13.5" hidden="false" customHeight="false" outlineLevel="0" collapsed="false"/>
    <row r="15" customFormat="false" ht="12.75" hidden="false" customHeight="false" outlineLevel="0" collapsed="false">
      <c r="A15" s="22" t="n">
        <v>1924</v>
      </c>
      <c r="B15" s="20" t="s">
        <v>93</v>
      </c>
      <c r="C15" s="53" t="n">
        <v>37005</v>
      </c>
      <c r="D15" s="26" t="n">
        <v>14803</v>
      </c>
      <c r="E15" s="22" t="s">
        <v>94</v>
      </c>
      <c r="F15" s="23" t="n">
        <v>9619.33</v>
      </c>
      <c r="G15" s="24" t="n">
        <f aca="false">+F15/$F$53</f>
        <v>9.65701398868145E-006</v>
      </c>
    </row>
    <row r="16" customFormat="false" ht="12.75" hidden="false" customHeight="false" outlineLevel="0" collapsed="false">
      <c r="A16" s="22" t="n">
        <v>1007</v>
      </c>
      <c r="B16" s="20" t="s">
        <v>121</v>
      </c>
      <c r="C16" s="53" t="n">
        <v>37005</v>
      </c>
      <c r="D16" s="26" t="n">
        <v>14832</v>
      </c>
      <c r="E16" s="22" t="s">
        <v>94</v>
      </c>
      <c r="F16" s="54" t="n">
        <v>20569.83</v>
      </c>
      <c r="G16" s="24" t="n">
        <f aca="false">+F16/$F$53</f>
        <v>2.06504128722894E-005</v>
      </c>
    </row>
    <row r="17" customFormat="false" ht="12.75" hidden="false" customHeight="false" outlineLevel="0" collapsed="false">
      <c r="A17" s="22" t="n">
        <v>2606</v>
      </c>
      <c r="B17" s="20" t="s">
        <v>99</v>
      </c>
      <c r="C17" s="53" t="n">
        <v>37005</v>
      </c>
      <c r="D17" s="26" t="n">
        <v>14792</v>
      </c>
      <c r="E17" s="22" t="s">
        <v>94</v>
      </c>
      <c r="F17" s="54" t="n">
        <v>275048.66</v>
      </c>
      <c r="G17" s="24" t="n">
        <f aca="false">+F17/$F$53</f>
        <v>0.000276126170657217</v>
      </c>
    </row>
    <row r="18" customFormat="false" ht="12.75" hidden="false" customHeight="false" outlineLevel="0" collapsed="false">
      <c r="A18" s="22" t="n">
        <v>2606</v>
      </c>
      <c r="B18" s="20" t="s">
        <v>99</v>
      </c>
      <c r="C18" s="53" t="n">
        <v>37021</v>
      </c>
      <c r="D18" s="26" t="n">
        <v>14992</v>
      </c>
      <c r="E18" s="22" t="s">
        <v>94</v>
      </c>
      <c r="F18" s="54" t="n">
        <v>684.97</v>
      </c>
      <c r="G18" s="24" t="n">
        <f aca="false">+F18/$F$53</f>
        <v>6.87653388731557E-007</v>
      </c>
    </row>
    <row r="19" customFormat="false" ht="12.75" hidden="false" customHeight="false" outlineLevel="0" collapsed="false">
      <c r="A19" s="22" t="n">
        <v>2769</v>
      </c>
      <c r="B19" s="20" t="s">
        <v>100</v>
      </c>
      <c r="C19" s="53" t="n">
        <v>37005</v>
      </c>
      <c r="D19" s="26" t="n">
        <v>14788</v>
      </c>
      <c r="E19" s="22" t="s">
        <v>94</v>
      </c>
      <c r="F19" s="54" t="n">
        <v>3568650.18</v>
      </c>
      <c r="G19" s="24" t="n">
        <f aca="false">+F19/$F$53</f>
        <v>0.00358263046480062</v>
      </c>
    </row>
    <row r="20" customFormat="false" ht="12.75" hidden="false" customHeight="false" outlineLevel="0" collapsed="false">
      <c r="A20" s="22" t="n">
        <v>2769</v>
      </c>
      <c r="B20" s="20" t="s">
        <v>100</v>
      </c>
      <c r="C20" s="53" t="n">
        <v>37021</v>
      </c>
      <c r="D20" s="26" t="n">
        <v>14988</v>
      </c>
      <c r="E20" s="22" t="s">
        <v>94</v>
      </c>
      <c r="F20" s="54" t="n">
        <v>90679.93</v>
      </c>
      <c r="G20" s="24" t="n">
        <f aca="false">+F20/$F$53</f>
        <v>9.10351711088666E-005</v>
      </c>
    </row>
    <row r="21" customFormat="false" ht="12.75" hidden="false" customHeight="false" outlineLevel="0" collapsed="false">
      <c r="A21" s="22" t="n">
        <v>1544</v>
      </c>
      <c r="B21" s="20" t="s">
        <v>96</v>
      </c>
      <c r="C21" s="53" t="n">
        <v>37005</v>
      </c>
      <c r="D21" s="26" t="n">
        <v>14807</v>
      </c>
      <c r="E21" s="22" t="s">
        <v>94</v>
      </c>
      <c r="F21" s="54" t="n">
        <v>105256.55</v>
      </c>
      <c r="G21" s="24" t="n">
        <f aca="false">+F21/$F$53</f>
        <v>0.000105668895416869</v>
      </c>
    </row>
    <row r="22" customFormat="false" ht="12.75" hidden="false" customHeight="false" outlineLevel="0" collapsed="false">
      <c r="A22" s="22" t="n">
        <v>1544</v>
      </c>
      <c r="B22" s="20" t="s">
        <v>96</v>
      </c>
      <c r="C22" s="53" t="n">
        <v>37021</v>
      </c>
      <c r="D22" s="26" t="n">
        <v>15007</v>
      </c>
      <c r="E22" s="22" t="s">
        <v>94</v>
      </c>
      <c r="F22" s="54" t="n">
        <v>207.76</v>
      </c>
      <c r="G22" s="24" t="n">
        <f aca="false">+F22/$F$53</f>
        <v>2.08573905489099E-007</v>
      </c>
    </row>
    <row r="23" customFormat="false" ht="12.75" hidden="false" customHeight="false" outlineLevel="0" collapsed="false">
      <c r="A23" s="22" t="n">
        <v>3106</v>
      </c>
      <c r="B23" s="20" t="s">
        <v>60</v>
      </c>
      <c r="C23" s="53" t="n">
        <v>37005</v>
      </c>
      <c r="D23" s="26" t="n">
        <v>14781</v>
      </c>
      <c r="E23" s="22" t="s">
        <v>94</v>
      </c>
      <c r="F23" s="54" t="n">
        <f aca="false">4291209.47-5849.58</f>
        <v>4285359.89</v>
      </c>
      <c r="G23" s="24" t="n">
        <f aca="false">+F23/$F$53</f>
        <v>0.00430214790471523</v>
      </c>
    </row>
    <row r="24" customFormat="false" ht="12.75" hidden="false" customHeight="false" outlineLevel="0" collapsed="false">
      <c r="A24" s="22" t="n">
        <v>1011</v>
      </c>
      <c r="B24" s="20" t="s">
        <v>60</v>
      </c>
      <c r="C24" s="53" t="n">
        <v>37005</v>
      </c>
      <c r="D24" s="26" t="n">
        <v>14829</v>
      </c>
      <c r="E24" s="22" t="s">
        <v>94</v>
      </c>
      <c r="F24" s="54" t="n">
        <f aca="false">639755.47-852.92</f>
        <v>638902.55</v>
      </c>
      <c r="G24" s="24" t="n">
        <f aca="false">+F24/$F$53</f>
        <v>0.000641405468234716</v>
      </c>
    </row>
    <row r="25" customFormat="false" ht="12.75" hidden="false" customHeight="false" outlineLevel="0" collapsed="false">
      <c r="A25" s="22" t="n">
        <v>2528</v>
      </c>
      <c r="B25" s="20" t="s">
        <v>97</v>
      </c>
      <c r="C25" s="53" t="n">
        <v>37005</v>
      </c>
      <c r="D25" s="26" t="n">
        <v>14795</v>
      </c>
      <c r="E25" s="22" t="s">
        <v>94</v>
      </c>
      <c r="F25" s="54" t="n">
        <v>157012.97</v>
      </c>
      <c r="G25" s="24" t="n">
        <f aca="false">+F25/$F$53</f>
        <v>0.000157628072609467</v>
      </c>
    </row>
    <row r="26" customFormat="false" ht="12.75" hidden="false" customHeight="false" outlineLevel="0" collapsed="false">
      <c r="A26" s="22" t="n">
        <v>1024</v>
      </c>
      <c r="B26" s="20" t="s">
        <v>122</v>
      </c>
      <c r="C26" s="53" t="n">
        <v>37005</v>
      </c>
      <c r="D26" s="26" t="n">
        <v>14821</v>
      </c>
      <c r="E26" s="22" t="s">
        <v>94</v>
      </c>
      <c r="F26" s="54" t="n">
        <f aca="false">885.39-118.81</f>
        <v>766.58</v>
      </c>
      <c r="G26" s="24" t="n">
        <f aca="false">+F26/$F$53</f>
        <v>7.69583098141287E-007</v>
      </c>
    </row>
    <row r="27" customFormat="false" ht="12.75" hidden="false" customHeight="false" outlineLevel="0" collapsed="false">
      <c r="A27" s="22" t="n">
        <v>1010</v>
      </c>
      <c r="B27" s="20" t="s">
        <v>62</v>
      </c>
      <c r="C27" s="53" t="n">
        <v>37005</v>
      </c>
      <c r="D27" s="26" t="n">
        <v>14830</v>
      </c>
      <c r="E27" s="22" t="s">
        <v>94</v>
      </c>
      <c r="F27" s="54" t="n">
        <v>5142134.4</v>
      </c>
      <c r="G27" s="24" t="n">
        <f aca="false">+F27/$F$53</f>
        <v>0.00516227885231924</v>
      </c>
    </row>
    <row r="28" customFormat="false" ht="12.75" hidden="false" customHeight="false" outlineLevel="0" collapsed="false">
      <c r="A28" s="22" t="n">
        <v>1924</v>
      </c>
      <c r="B28" s="20" t="s">
        <v>93</v>
      </c>
      <c r="C28" s="53" t="n">
        <v>37005</v>
      </c>
      <c r="D28" s="26" t="n">
        <v>14870</v>
      </c>
      <c r="E28" s="22" t="s">
        <v>17</v>
      </c>
      <c r="F28" s="54" t="n">
        <v>508508.33</v>
      </c>
      <c r="G28" s="24" t="n">
        <f aca="false">+F28/$F$53</f>
        <v>0.000510500425307276</v>
      </c>
    </row>
    <row r="29" customFormat="false" ht="12.75" hidden="false" customHeight="false" outlineLevel="0" collapsed="false">
      <c r="A29" s="22" t="n">
        <v>1924</v>
      </c>
      <c r="B29" s="20" t="s">
        <v>93</v>
      </c>
      <c r="C29" s="53" t="n">
        <v>37021</v>
      </c>
      <c r="D29" s="26" t="n">
        <v>15070</v>
      </c>
      <c r="E29" s="22" t="s">
        <v>17</v>
      </c>
      <c r="F29" s="54" t="n">
        <v>45068.84</v>
      </c>
      <c r="G29" s="24" t="n">
        <f aca="false">+F29/$F$53</f>
        <v>4.52453984148216E-005</v>
      </c>
    </row>
    <row r="30" customFormat="false" ht="12.75" hidden="false" customHeight="false" outlineLevel="0" collapsed="false">
      <c r="A30" s="22" t="n">
        <v>1007</v>
      </c>
      <c r="B30" s="20" t="s">
        <v>121</v>
      </c>
      <c r="C30" s="53" t="n">
        <v>37005</v>
      </c>
      <c r="D30" s="26" t="n">
        <v>14908</v>
      </c>
      <c r="E30" s="22" t="s">
        <v>17</v>
      </c>
      <c r="F30" s="54" t="n">
        <v>1024112.25</v>
      </c>
      <c r="G30" s="24" t="n">
        <f aca="false">+F30/$F$53</f>
        <v>0.00102812423778268</v>
      </c>
    </row>
    <row r="31" customFormat="false" ht="12.75" hidden="false" customHeight="false" outlineLevel="0" collapsed="false">
      <c r="A31" s="22" t="n">
        <v>2606</v>
      </c>
      <c r="B31" s="20" t="s">
        <v>99</v>
      </c>
      <c r="C31" s="53" t="n">
        <v>37005</v>
      </c>
      <c r="D31" s="26" t="n">
        <v>14857</v>
      </c>
      <c r="E31" s="22" t="s">
        <v>17</v>
      </c>
      <c r="F31" s="54" t="n">
        <v>6897234.62</v>
      </c>
      <c r="G31" s="24" t="n">
        <f aca="false">+F31/$F$53</f>
        <v>0.00692425472549106</v>
      </c>
    </row>
    <row r="32" customFormat="false" ht="12.75" hidden="false" customHeight="false" outlineLevel="0" collapsed="false">
      <c r="A32" s="22" t="n">
        <v>2606</v>
      </c>
      <c r="B32" s="20" t="s">
        <v>99</v>
      </c>
      <c r="C32" s="53" t="n">
        <v>37021</v>
      </c>
      <c r="D32" s="26" t="n">
        <v>15057</v>
      </c>
      <c r="E32" s="22" t="s">
        <v>17</v>
      </c>
      <c r="F32" s="54" t="n">
        <v>1350389.95</v>
      </c>
      <c r="G32" s="24" t="n">
        <f aca="false">+F32/$F$53</f>
        <v>0.0013556801396069</v>
      </c>
    </row>
    <row r="33" customFormat="false" ht="12.75" hidden="false" customHeight="false" outlineLevel="0" collapsed="false">
      <c r="A33" s="22" t="n">
        <v>1243</v>
      </c>
      <c r="B33" s="20" t="s">
        <v>16</v>
      </c>
      <c r="C33" s="53" t="n">
        <v>37005</v>
      </c>
      <c r="D33" s="26" t="n">
        <v>14884</v>
      </c>
      <c r="E33" s="22" t="s">
        <v>17</v>
      </c>
      <c r="F33" s="54" t="n">
        <v>9016270.52</v>
      </c>
      <c r="G33" s="24" t="n">
        <f aca="false">+F33/$F$53</f>
        <v>0.00905159200665495</v>
      </c>
    </row>
    <row r="34" customFormat="false" ht="12.75" hidden="false" customHeight="false" outlineLevel="0" collapsed="false">
      <c r="A34" s="22" t="n">
        <v>2769</v>
      </c>
      <c r="B34" s="20" t="s">
        <v>100</v>
      </c>
      <c r="C34" s="53" t="n">
        <v>37005</v>
      </c>
      <c r="D34" s="26" t="n">
        <v>14850</v>
      </c>
      <c r="E34" s="22" t="s">
        <v>17</v>
      </c>
      <c r="F34" s="54" t="n">
        <v>298219558.92</v>
      </c>
      <c r="G34" s="24" t="n">
        <f aca="false">+F34/$F$53</f>
        <v>0.299387842208226</v>
      </c>
    </row>
    <row r="35" customFormat="false" ht="12.75" hidden="false" customHeight="false" outlineLevel="0" collapsed="false">
      <c r="A35" s="22" t="n">
        <v>2769</v>
      </c>
      <c r="B35" s="20" t="s">
        <v>100</v>
      </c>
      <c r="C35" s="53" t="n">
        <v>37021</v>
      </c>
      <c r="D35" s="26" t="n">
        <v>15050</v>
      </c>
      <c r="E35" s="22" t="s">
        <v>17</v>
      </c>
      <c r="F35" s="54" t="n">
        <v>22318778.21</v>
      </c>
      <c r="G35" s="24" t="n">
        <f aca="false">+F35/$F$53</f>
        <v>0.0224062126347936</v>
      </c>
    </row>
    <row r="36" customFormat="false" ht="12.75" hidden="false" customHeight="false" outlineLevel="0" collapsed="false">
      <c r="A36" s="22" t="n">
        <v>1584</v>
      </c>
      <c r="B36" s="20" t="s">
        <v>123</v>
      </c>
      <c r="C36" s="53" t="n">
        <v>37005</v>
      </c>
      <c r="D36" s="26" t="n">
        <v>14876</v>
      </c>
      <c r="E36" s="22" t="s">
        <v>17</v>
      </c>
      <c r="F36" s="54" t="n">
        <v>291092.85</v>
      </c>
      <c r="G36" s="24" t="n">
        <f aca="false">+F36/$F$53</f>
        <v>0.000292233214210881</v>
      </c>
    </row>
    <row r="37" customFormat="false" ht="12.75" hidden="false" customHeight="false" outlineLevel="0" collapsed="false">
      <c r="A37" s="22" t="n">
        <v>1684</v>
      </c>
      <c r="B37" s="20" t="s">
        <v>124</v>
      </c>
      <c r="C37" s="53" t="n">
        <v>37005</v>
      </c>
      <c r="D37" s="26" t="n">
        <v>14873</v>
      </c>
      <c r="E37" s="22" t="s">
        <v>17</v>
      </c>
      <c r="F37" s="54" t="n">
        <f aca="false">66990.38-8896.57</f>
        <v>58093.81</v>
      </c>
      <c r="G37" s="24" t="n">
        <f aca="false">+F37/$F$53</f>
        <v>5.83213940914598E-005</v>
      </c>
    </row>
    <row r="38" customFormat="false" ht="12.75" hidden="false" customHeight="false" outlineLevel="0" collapsed="false">
      <c r="A38" s="22" t="n">
        <v>1103</v>
      </c>
      <c r="B38" s="20" t="s">
        <v>125</v>
      </c>
      <c r="C38" s="53" t="n">
        <v>37021</v>
      </c>
      <c r="D38" s="26" t="n">
        <v>15093</v>
      </c>
      <c r="E38" s="22" t="s">
        <v>17</v>
      </c>
      <c r="F38" s="54" t="n">
        <v>189667.55</v>
      </c>
      <c r="G38" s="24" t="n">
        <f aca="false">+F38/$F$53</f>
        <v>0.000190410577820798</v>
      </c>
    </row>
    <row r="39" customFormat="false" ht="12.75" hidden="false" customHeight="false" outlineLevel="0" collapsed="false">
      <c r="A39" s="22" t="n">
        <v>1544</v>
      </c>
      <c r="B39" s="20" t="s">
        <v>96</v>
      </c>
      <c r="C39" s="53" t="n">
        <v>37005</v>
      </c>
      <c r="D39" s="26" t="n">
        <v>14875</v>
      </c>
      <c r="E39" s="22" t="s">
        <v>17</v>
      </c>
      <c r="F39" s="54" t="n">
        <v>1784223.49</v>
      </c>
      <c r="G39" s="24" t="n">
        <f aca="false">+F39/$F$53</f>
        <v>0.00179121323437953</v>
      </c>
    </row>
    <row r="40" customFormat="false" ht="12.75" hidden="false" customHeight="false" outlineLevel="0" collapsed="false">
      <c r="A40" s="22" t="n">
        <v>1544</v>
      </c>
      <c r="B40" s="20" t="s">
        <v>96</v>
      </c>
      <c r="C40" s="53" t="n">
        <v>37021</v>
      </c>
      <c r="D40" s="26" t="n">
        <v>15075</v>
      </c>
      <c r="E40" s="22" t="s">
        <v>17</v>
      </c>
      <c r="F40" s="54" t="n">
        <v>357475.41</v>
      </c>
      <c r="G40" s="24" t="n">
        <f aca="false">+F40/$F$53</f>
        <v>0.000358875829707436</v>
      </c>
    </row>
    <row r="41" customFormat="false" ht="12.75" hidden="false" customHeight="false" outlineLevel="0" collapsed="false">
      <c r="A41" s="22" t="n">
        <v>3106</v>
      </c>
      <c r="B41" s="20" t="s">
        <v>60</v>
      </c>
      <c r="C41" s="53" t="n">
        <v>37005</v>
      </c>
      <c r="D41" s="26" t="n">
        <v>14839</v>
      </c>
      <c r="E41" s="22" t="s">
        <v>17</v>
      </c>
      <c r="F41" s="54" t="n">
        <f aca="false">156420353.66-3328521.87</f>
        <v>153091831.79</v>
      </c>
      <c r="G41" s="24" t="n">
        <f aca="false">+F41/$F$53</f>
        <v>0.153691573233156</v>
      </c>
    </row>
    <row r="42" customFormat="false" ht="12.75" hidden="false" customHeight="false" outlineLevel="0" collapsed="false">
      <c r="A42" s="22" t="n">
        <v>3106</v>
      </c>
      <c r="B42" s="20" t="s">
        <v>60</v>
      </c>
      <c r="C42" s="53" t="n">
        <v>37021</v>
      </c>
      <c r="D42" s="26" t="n">
        <v>15039</v>
      </c>
      <c r="E42" s="22" t="s">
        <v>17</v>
      </c>
      <c r="F42" s="54" t="n">
        <v>10964758.17</v>
      </c>
      <c r="G42" s="24" t="n">
        <f aca="false">+F42/$F$53</f>
        <v>0.0110077129103793</v>
      </c>
    </row>
    <row r="43" customFormat="false" ht="12.75" hidden="false" customHeight="false" outlineLevel="0" collapsed="false">
      <c r="A43" s="22" t="n">
        <v>1011</v>
      </c>
      <c r="B43" s="20" t="s">
        <v>60</v>
      </c>
      <c r="C43" s="53" t="n">
        <v>37005</v>
      </c>
      <c r="D43" s="26" t="n">
        <v>14905</v>
      </c>
      <c r="E43" s="22" t="s">
        <v>17</v>
      </c>
      <c r="F43" s="54" t="n">
        <v>16247132.24</v>
      </c>
      <c r="G43" s="24" t="n">
        <f aca="false">+F43/$F$53</f>
        <v>0.016310780825446</v>
      </c>
    </row>
    <row r="44" customFormat="false" ht="12.75" hidden="false" customHeight="false" outlineLevel="0" collapsed="false">
      <c r="A44" s="22" t="n">
        <v>1011</v>
      </c>
      <c r="B44" s="20" t="s">
        <v>60</v>
      </c>
      <c r="C44" s="53" t="n">
        <v>37021</v>
      </c>
      <c r="D44" s="26" t="n">
        <v>15105</v>
      </c>
      <c r="E44" s="22" t="s">
        <v>17</v>
      </c>
      <c r="F44" s="54" t="n">
        <v>2153805.64</v>
      </c>
      <c r="G44" s="24" t="n">
        <f aca="false">+F44/$F$53</f>
        <v>0.00216224323257243</v>
      </c>
    </row>
    <row r="45" customFormat="false" ht="12.75" hidden="false" customHeight="false" outlineLevel="0" collapsed="false">
      <c r="A45" s="22" t="n">
        <v>2528</v>
      </c>
      <c r="B45" s="20" t="s">
        <v>97</v>
      </c>
      <c r="C45" s="53" t="n">
        <v>37005</v>
      </c>
      <c r="D45" s="26" t="n">
        <v>14861</v>
      </c>
      <c r="E45" s="22" t="s">
        <v>17</v>
      </c>
      <c r="F45" s="54" t="n">
        <v>1223.99</v>
      </c>
      <c r="G45" s="24" t="n">
        <f aca="false">+F45/$F$53</f>
        <v>1.22878501434156E-006</v>
      </c>
    </row>
    <row r="46" customFormat="false" ht="12.75" hidden="false" customHeight="false" outlineLevel="0" collapsed="false">
      <c r="A46" s="22" t="n">
        <v>1008</v>
      </c>
      <c r="B46" s="20" t="s">
        <v>61</v>
      </c>
      <c r="C46" s="53" t="n">
        <v>37005</v>
      </c>
      <c r="D46" s="26" t="n">
        <v>14907</v>
      </c>
      <c r="E46" s="22" t="s">
        <v>17</v>
      </c>
      <c r="F46" s="54" t="n">
        <v>38142.15</v>
      </c>
      <c r="G46" s="24" t="n">
        <f aca="false">+F46/$F$53</f>
        <v>3.82915729170728E-005</v>
      </c>
    </row>
    <row r="47" customFormat="false" ht="12.75" hidden="false" customHeight="false" outlineLevel="0" collapsed="false">
      <c r="A47" s="22" t="n">
        <v>1008</v>
      </c>
      <c r="B47" s="20" t="s">
        <v>61</v>
      </c>
      <c r="C47" s="53" t="n">
        <v>37021</v>
      </c>
      <c r="D47" s="26" t="n">
        <v>15107</v>
      </c>
      <c r="E47" s="22" t="s">
        <v>17</v>
      </c>
      <c r="F47" s="54" t="n">
        <v>8419.49</v>
      </c>
      <c r="G47" s="24" t="n">
        <f aca="false">+F47/$F$53</f>
        <v>8.45247358262619E-006</v>
      </c>
    </row>
    <row r="48" customFormat="false" ht="12.75" hidden="false" customHeight="false" outlineLevel="0" collapsed="false">
      <c r="A48" s="22" t="n">
        <v>1024</v>
      </c>
      <c r="B48" s="20" t="s">
        <v>122</v>
      </c>
      <c r="C48" s="53" t="n">
        <v>37005</v>
      </c>
      <c r="D48" s="26" t="n">
        <v>14896</v>
      </c>
      <c r="E48" s="22" t="s">
        <v>17</v>
      </c>
      <c r="F48" s="54" t="n">
        <v>203919.45</v>
      </c>
      <c r="G48" s="24" t="n">
        <f aca="false">+F48/$F$53</f>
        <v>0.000204718310029308</v>
      </c>
    </row>
    <row r="49" customFormat="false" ht="12.75" hidden="false" customHeight="false" outlineLevel="0" collapsed="false">
      <c r="A49" s="22" t="n">
        <v>1024</v>
      </c>
      <c r="B49" s="20" t="s">
        <v>122</v>
      </c>
      <c r="C49" s="53" t="n">
        <v>37021</v>
      </c>
      <c r="D49" s="26" t="n">
        <v>15096</v>
      </c>
      <c r="E49" s="22" t="s">
        <v>17</v>
      </c>
      <c r="F49" s="54" t="n">
        <v>18881.31</v>
      </c>
      <c r="G49" s="24" t="n">
        <f aca="false">+F49/$F$53</f>
        <v>1.89552780489526E-005</v>
      </c>
    </row>
    <row r="50" customFormat="false" ht="12.75" hidden="false" customHeight="false" outlineLevel="0" collapsed="false">
      <c r="A50" s="22" t="n">
        <v>1010</v>
      </c>
      <c r="B50" s="20" t="s">
        <v>62</v>
      </c>
      <c r="C50" s="53" t="n">
        <v>37005</v>
      </c>
      <c r="D50" s="26" t="n">
        <v>14906</v>
      </c>
      <c r="E50" s="22" t="s">
        <v>17</v>
      </c>
      <c r="F50" s="54" t="n">
        <v>420279224.4</v>
      </c>
      <c r="G50" s="24" t="n">
        <f aca="false">+F50/$F$53</f>
        <v>0.421925679770108</v>
      </c>
    </row>
    <row r="51" customFormat="false" ht="12.75" hidden="false" customHeight="false" outlineLevel="0" collapsed="false">
      <c r="A51" s="22" t="n">
        <v>1010</v>
      </c>
      <c r="B51" s="20" t="s">
        <v>62</v>
      </c>
      <c r="C51" s="53" t="n">
        <v>37021</v>
      </c>
      <c r="D51" s="26" t="n">
        <v>15106</v>
      </c>
      <c r="E51" s="22" t="s">
        <v>17</v>
      </c>
      <c r="F51" s="27" t="n">
        <v>36735052.77</v>
      </c>
      <c r="G51" s="28" t="n">
        <f aca="false">+F51/$F$53</f>
        <v>0.0368789633451437</v>
      </c>
    </row>
    <row r="52" customFormat="false" ht="12.75" hidden="false" customHeight="false" outlineLevel="0" collapsed="false">
      <c r="A52" s="68"/>
      <c r="B52" s="69"/>
      <c r="C52" s="70"/>
      <c r="D52" s="35"/>
      <c r="E52" s="68"/>
      <c r="F52" s="33"/>
      <c r="G52" s="38"/>
    </row>
    <row r="53" customFormat="false" ht="13.5" hidden="false" customHeight="false" outlineLevel="0" collapsed="false">
      <c r="B53" s="14" t="s">
        <v>18</v>
      </c>
      <c r="F53" s="17" t="n">
        <f aca="false">SUM(F15:F52)</f>
        <v>996097759.75</v>
      </c>
      <c r="G53" s="18" t="n">
        <f aca="false">+F53/F53</f>
        <v>1</v>
      </c>
    </row>
    <row r="54" customFormat="false" ht="13.5" hidden="false" customHeight="false" outlineLevel="0" collapsed="false">
      <c r="A54" s="68"/>
      <c r="B54" s="69"/>
      <c r="C54" s="70"/>
      <c r="D54" s="35"/>
      <c r="E54" s="68"/>
      <c r="F54" s="33"/>
      <c r="G54" s="38"/>
    </row>
    <row r="55" customFormat="false" ht="12.75" hidden="false" customHeight="false" outlineLevel="0" collapsed="false">
      <c r="B55" s="55" t="s">
        <v>64</v>
      </c>
    </row>
    <row r="56" customFormat="false" ht="12.75" hidden="false" customHeight="false" outlineLevel="0" collapsed="false">
      <c r="B56" s="55"/>
    </row>
    <row r="57" customFormat="false" ht="15.75" hidden="false" customHeight="false" outlineLevel="0" collapsed="false">
      <c r="B57" s="5" t="str">
        <f aca="false">+B1</f>
        <v>Certification for Market Settlement September 28, 2001</v>
      </c>
    </row>
    <row r="58" customFormat="false" ht="15.75" hidden="false" customHeight="false" outlineLevel="0" collapsed="false">
      <c r="B58" s="5"/>
    </row>
    <row r="59" customFormat="false" ht="15.75" hidden="false" customHeight="false" outlineLevel="0" collapsed="false">
      <c r="B59" s="5" t="str">
        <f aca="false">+B3</f>
        <v>For the Trade Month of February 2001</v>
      </c>
    </row>
    <row r="60" customFormat="false" ht="15.75" hidden="false" customHeight="false" outlineLevel="0" collapsed="false">
      <c r="B60" s="5"/>
    </row>
    <row r="61" customFormat="false" ht="15.75" hidden="false" customHeight="false" outlineLevel="0" collapsed="false">
      <c r="B61" s="5" t="s">
        <v>20</v>
      </c>
    </row>
    <row r="62" customFormat="false" ht="15.75" hidden="false" customHeight="false" outlineLevel="0" collapsed="false">
      <c r="B62" s="5"/>
    </row>
    <row r="63" customFormat="false" ht="12.75" hidden="false" customHeight="false" outlineLevel="0" collapsed="false">
      <c r="B63" s="34" t="s">
        <v>21</v>
      </c>
      <c r="C63" s="35"/>
      <c r="D63" s="36"/>
      <c r="E63" s="36"/>
      <c r="F63" s="37" t="n">
        <v>972588030.84</v>
      </c>
      <c r="G63" s="56" t="n">
        <f aca="false">+F63/F65</f>
        <v>0.922275987237755</v>
      </c>
    </row>
    <row r="64" customFormat="false" ht="12.75" hidden="false" customHeight="false" outlineLevel="0" collapsed="false">
      <c r="B64" s="34" t="s">
        <v>22</v>
      </c>
      <c r="C64" s="35"/>
      <c r="D64" s="36"/>
      <c r="E64" s="36"/>
      <c r="F64" s="39" t="n">
        <v>81964016.81</v>
      </c>
      <c r="G64" s="56" t="n">
        <f aca="false">+F64/F65</f>
        <v>0.0777240127622448</v>
      </c>
    </row>
    <row r="65" customFormat="false" ht="12.75" hidden="false" customHeight="false" outlineLevel="0" collapsed="false">
      <c r="B65" s="40" t="s">
        <v>23</v>
      </c>
      <c r="C65" s="35"/>
      <c r="D65" s="36"/>
      <c r="E65" s="36"/>
      <c r="F65" s="39" t="n">
        <f aca="false">SUM(F63:F64)</f>
        <v>1054552047.65</v>
      </c>
      <c r="G65" s="58" t="n">
        <f aca="false">+F65/F65</f>
        <v>1</v>
      </c>
    </row>
    <row r="66" customFormat="false" ht="15.75" hidden="false" customHeight="false" outlineLevel="0" collapsed="false">
      <c r="B66" s="5"/>
    </row>
    <row r="67" customFormat="false" ht="12.75" hidden="false" customHeight="false" outlineLevel="0" collapsed="false">
      <c r="B67" s="34" t="s">
        <v>126</v>
      </c>
      <c r="C67" s="35"/>
      <c r="D67" s="36"/>
      <c r="E67" s="36"/>
      <c r="F67" s="33" t="n">
        <v>59861543.33</v>
      </c>
    </row>
    <row r="68" customFormat="false" ht="12.75" hidden="false" customHeight="false" outlineLevel="0" collapsed="false">
      <c r="B68" s="34" t="s">
        <v>127</v>
      </c>
      <c r="C68" s="35"/>
      <c r="D68" s="36"/>
      <c r="E68" s="36"/>
      <c r="F68" s="33" t="n">
        <v>1703105.49</v>
      </c>
    </row>
    <row r="69" customFormat="false" ht="12.75" hidden="false" customHeight="false" outlineLevel="0" collapsed="false">
      <c r="B69" s="34" t="s">
        <v>128</v>
      </c>
      <c r="C69" s="35"/>
      <c r="D69" s="36"/>
      <c r="E69" s="36"/>
      <c r="F69" s="33" t="n">
        <v>171667.35</v>
      </c>
    </row>
    <row r="70" customFormat="false" ht="12.75" hidden="false" customHeight="false" outlineLevel="0" collapsed="false">
      <c r="B70" s="34" t="s">
        <v>129</v>
      </c>
      <c r="C70" s="35"/>
      <c r="D70" s="36"/>
      <c r="E70" s="36"/>
      <c r="F70" s="33" t="n">
        <v>2754904.04</v>
      </c>
    </row>
    <row r="71" customFormat="false" ht="12.75" hidden="false" customHeight="false" outlineLevel="0" collapsed="false">
      <c r="B71" s="34" t="s">
        <v>130</v>
      </c>
      <c r="C71" s="35"/>
      <c r="D71" s="36"/>
      <c r="E71" s="36"/>
      <c r="F71" s="33" t="n">
        <v>459411.62</v>
      </c>
    </row>
    <row r="72" customFormat="false" ht="12.75" hidden="false" customHeight="false" outlineLevel="0" collapsed="false">
      <c r="B72" s="34" t="s">
        <v>131</v>
      </c>
      <c r="C72" s="35"/>
      <c r="D72" s="36"/>
      <c r="E72" s="36"/>
      <c r="F72" s="39" t="n">
        <v>24932.27</v>
      </c>
    </row>
    <row r="73" customFormat="false" ht="12.75" hidden="false" customHeight="false" outlineLevel="0" collapsed="false">
      <c r="B73" s="40" t="s">
        <v>28</v>
      </c>
      <c r="C73" s="35"/>
      <c r="D73" s="36"/>
      <c r="E73" s="36"/>
      <c r="F73" s="39" t="n">
        <f aca="false">SUM(F67:F72)</f>
        <v>64975564.1</v>
      </c>
      <c r="G73" s="58" t="n">
        <f aca="false">+F73/F65</f>
        <v>0.0616143738422336</v>
      </c>
    </row>
    <row r="74" customFormat="false" ht="15.75" hidden="false" customHeight="false" outlineLevel="0" collapsed="false">
      <c r="B74" s="5"/>
    </row>
    <row r="75" customFormat="false" ht="12.75" hidden="false" customHeight="false" outlineLevel="0" collapsed="false">
      <c r="A75" s="35"/>
      <c r="B75" s="34" t="s">
        <v>69</v>
      </c>
      <c r="C75" s="35"/>
      <c r="D75" s="36"/>
      <c r="E75" s="36"/>
      <c r="F75" s="33" t="n">
        <v>25515.38</v>
      </c>
      <c r="G75" s="34"/>
    </row>
    <row r="76" customFormat="false" ht="12.75" hidden="false" customHeight="false" outlineLevel="0" collapsed="false">
      <c r="A76" s="35"/>
      <c r="B76" s="34" t="s">
        <v>104</v>
      </c>
      <c r="C76" s="35"/>
      <c r="D76" s="36"/>
      <c r="E76" s="36"/>
      <c r="F76" s="33" t="n">
        <v>33196.74</v>
      </c>
      <c r="G76" s="34"/>
    </row>
    <row r="77" customFormat="false" ht="12.75" hidden="false" customHeight="false" outlineLevel="0" collapsed="false">
      <c r="A77" s="35"/>
      <c r="B77" s="34" t="s">
        <v>132</v>
      </c>
      <c r="C77" s="35"/>
      <c r="D77" s="36"/>
      <c r="E77" s="36"/>
      <c r="F77" s="33" t="n">
        <v>127265.99</v>
      </c>
      <c r="G77" s="34"/>
    </row>
    <row r="78" customFormat="false" ht="12.75" hidden="false" customHeight="false" outlineLevel="0" collapsed="false">
      <c r="A78" s="35"/>
      <c r="B78" s="34" t="s">
        <v>74</v>
      </c>
      <c r="C78" s="35"/>
      <c r="D78" s="36"/>
      <c r="E78" s="36"/>
      <c r="F78" s="33" t="n">
        <f aca="false">12423.05+4221121.69+5615.29</f>
        <v>4239160.03</v>
      </c>
      <c r="G78" s="34"/>
    </row>
    <row r="79" customFormat="false" ht="12.75" hidden="false" customHeight="false" outlineLevel="0" collapsed="false">
      <c r="A79" s="35"/>
      <c r="B79" s="34" t="s">
        <v>133</v>
      </c>
      <c r="C79" s="35"/>
      <c r="D79" s="36"/>
      <c r="E79" s="36"/>
      <c r="F79" s="33" t="n">
        <f aca="false">22.1-9.19</f>
        <v>12.91</v>
      </c>
      <c r="G79" s="34"/>
    </row>
    <row r="80" customFormat="false" ht="12.75" hidden="false" customHeight="false" outlineLevel="0" collapsed="false">
      <c r="A80" s="35"/>
      <c r="B80" s="34" t="s">
        <v>75</v>
      </c>
      <c r="C80" s="35"/>
      <c r="D80" s="36"/>
      <c r="E80" s="36"/>
      <c r="F80" s="33" t="n">
        <f aca="false">522.23</f>
        <v>522.23</v>
      </c>
      <c r="G80" s="34"/>
    </row>
    <row r="81" customFormat="false" ht="12.75" hidden="false" customHeight="false" outlineLevel="0" collapsed="false">
      <c r="A81" s="35"/>
      <c r="B81" s="34" t="s">
        <v>134</v>
      </c>
      <c r="C81" s="35"/>
      <c r="D81" s="36"/>
      <c r="E81" s="36"/>
      <c r="F81" s="33" t="n">
        <v>10525.68</v>
      </c>
      <c r="G81" s="34"/>
    </row>
    <row r="82" customFormat="false" ht="12.75" hidden="false" customHeight="false" outlineLevel="0" collapsed="false">
      <c r="A82" s="35"/>
      <c r="B82" s="34" t="s">
        <v>135</v>
      </c>
      <c r="C82" s="35"/>
      <c r="D82" s="36"/>
      <c r="E82" s="36"/>
      <c r="F82" s="39" t="n">
        <v>3337418.44</v>
      </c>
      <c r="G82" s="34"/>
    </row>
    <row r="83" customFormat="false" ht="12.75" hidden="false" customHeight="false" outlineLevel="0" collapsed="false">
      <c r="B83" s="14" t="s">
        <v>33</v>
      </c>
      <c r="F83" s="60" t="n">
        <f aca="false">SUM(F75:F82)</f>
        <v>7773617.4</v>
      </c>
      <c r="G83" s="58" t="n">
        <f aca="false">+F83/F65</f>
        <v>0.0073714876542348</v>
      </c>
    </row>
    <row r="84" customFormat="false" ht="12.75" hidden="false" customHeight="false" outlineLevel="0" collapsed="false">
      <c r="B84" s="14"/>
      <c r="F84" s="51"/>
      <c r="G84" s="58"/>
    </row>
    <row r="85" customFormat="false" ht="12.75" hidden="false" customHeight="false" outlineLevel="0" collapsed="false">
      <c r="A85" s="35"/>
      <c r="B85" s="34" t="s">
        <v>136</v>
      </c>
      <c r="C85" s="35"/>
      <c r="D85" s="36"/>
      <c r="E85" s="36"/>
      <c r="F85" s="39" t="n">
        <v>14294893.6</v>
      </c>
      <c r="G85" s="58" t="n">
        <f aca="false">+F85/F65</f>
        <v>0.0135554178021419</v>
      </c>
    </row>
    <row r="86" customFormat="false" ht="15.75" hidden="false" customHeight="false" outlineLevel="0" collapsed="false">
      <c r="B86" s="5"/>
    </row>
    <row r="87" customFormat="false" ht="16.5" hidden="false" customHeight="false" outlineLevel="0" collapsed="false">
      <c r="B87" s="44" t="s">
        <v>34</v>
      </c>
      <c r="C87" s="45"/>
      <c r="D87" s="46"/>
      <c r="E87" s="46"/>
      <c r="F87" s="47" t="n">
        <f aca="false">+F65-F73-F83+F85</f>
        <v>996097759.75</v>
      </c>
      <c r="G87" s="59" t="n">
        <f aca="false">+F87/F65</f>
        <v>0.944569556305674</v>
      </c>
    </row>
    <row r="88" customFormat="false" ht="15.75" hidden="false" customHeight="false" outlineLevel="0" collapsed="false">
      <c r="B88" s="49"/>
      <c r="C88" s="35"/>
      <c r="D88" s="36"/>
      <c r="E88" s="36"/>
      <c r="F88" s="50"/>
    </row>
    <row r="89" customFormat="false" ht="15.75" hidden="false" customHeight="false" outlineLevel="0" collapsed="false">
      <c r="B89" s="49" t="s">
        <v>35</v>
      </c>
      <c r="C89" s="35"/>
      <c r="D89" s="36"/>
      <c r="E89" s="36"/>
      <c r="F89" s="34"/>
    </row>
    <row r="90" customFormat="false" ht="15.75" hidden="false" customHeight="false" outlineLevel="0" collapsed="false">
      <c r="B90" s="49"/>
      <c r="C90" s="35"/>
      <c r="D90" s="36"/>
      <c r="E90" s="36"/>
      <c r="F90" s="34"/>
    </row>
    <row r="91" customFormat="false" ht="12.75" hidden="false" customHeight="false" outlineLevel="0" collapsed="false">
      <c r="A91" s="35"/>
      <c r="B91" s="34" t="s">
        <v>21</v>
      </c>
      <c r="C91" s="35"/>
      <c r="D91" s="36"/>
      <c r="E91" s="36"/>
      <c r="F91" s="37" t="n">
        <v>952742085.5</v>
      </c>
      <c r="G91" s="61" t="n">
        <f aca="false">+F91/F93</f>
        <v>0.920783716757814</v>
      </c>
    </row>
    <row r="92" customFormat="false" ht="12.75" hidden="false" customHeight="false" outlineLevel="0" collapsed="false">
      <c r="B92" s="34" t="s">
        <v>22</v>
      </c>
      <c r="C92" s="35"/>
      <c r="D92" s="36"/>
      <c r="E92" s="36"/>
      <c r="F92" s="39" t="n">
        <v>81965705.44</v>
      </c>
      <c r="G92" s="61" t="n">
        <f aca="false">+F92/F93</f>
        <v>0.0792162832421864</v>
      </c>
    </row>
    <row r="93" customFormat="false" ht="12.75" hidden="false" customHeight="false" outlineLevel="0" collapsed="false">
      <c r="B93" s="40" t="s">
        <v>23</v>
      </c>
      <c r="C93" s="35"/>
      <c r="D93" s="36"/>
      <c r="E93" s="36"/>
      <c r="F93" s="39" t="n">
        <f aca="false">SUM(F91:F92)</f>
        <v>1034707790.94</v>
      </c>
      <c r="G93" s="58" t="n">
        <f aca="false">+F93/F93</f>
        <v>1</v>
      </c>
    </row>
    <row r="94" customFormat="false" ht="15.75" hidden="false" customHeight="false" outlineLevel="0" collapsed="false">
      <c r="B94" s="5"/>
    </row>
    <row r="95" customFormat="false" ht="12.75" hidden="false" customHeight="false" outlineLevel="0" collapsed="false">
      <c r="B95" s="34" t="s">
        <v>137</v>
      </c>
      <c r="C95" s="35"/>
      <c r="D95" s="36"/>
      <c r="E95" s="36"/>
      <c r="F95" s="33" t="n">
        <v>42468820.18</v>
      </c>
    </row>
    <row r="96" customFormat="false" ht="12.75" hidden="false" customHeight="false" outlineLevel="0" collapsed="false">
      <c r="B96" s="34" t="s">
        <v>138</v>
      </c>
      <c r="C96" s="35"/>
      <c r="D96" s="36"/>
      <c r="E96" s="36"/>
      <c r="F96" s="33" t="n">
        <v>3857696.65</v>
      </c>
    </row>
    <row r="97" customFormat="false" ht="12.75" hidden="false" customHeight="false" outlineLevel="0" collapsed="false">
      <c r="B97" s="34" t="s">
        <v>139</v>
      </c>
      <c r="C97" s="35"/>
      <c r="D97" s="36"/>
      <c r="E97" s="36"/>
      <c r="F97" s="33" t="n">
        <v>2755696.19</v>
      </c>
    </row>
    <row r="98" customFormat="false" ht="12.75" hidden="false" customHeight="false" outlineLevel="0" collapsed="false">
      <c r="B98" s="34" t="s">
        <v>140</v>
      </c>
      <c r="C98" s="35"/>
      <c r="D98" s="36"/>
      <c r="E98" s="36"/>
      <c r="F98" s="33" t="n">
        <v>24932.27</v>
      </c>
    </row>
    <row r="99" customFormat="false" ht="12.75" hidden="false" customHeight="false" outlineLevel="0" collapsed="false">
      <c r="B99" s="34" t="s">
        <v>141</v>
      </c>
      <c r="C99" s="35"/>
      <c r="D99" s="36"/>
      <c r="E99" s="36"/>
      <c r="F99" s="39" t="n">
        <v>3337166.7</v>
      </c>
    </row>
    <row r="100" customFormat="false" ht="12.75" hidden="false" customHeight="false" outlineLevel="0" collapsed="false">
      <c r="B100" s="40" t="s">
        <v>41</v>
      </c>
      <c r="C100" s="35"/>
      <c r="D100" s="36"/>
      <c r="E100" s="36"/>
      <c r="F100" s="39" t="n">
        <f aca="false">SUM(F95:F99)</f>
        <v>52444311.99</v>
      </c>
      <c r="G100" s="58" t="n">
        <f aca="false">+F100/F93</f>
        <v>0.0506851426549673</v>
      </c>
    </row>
    <row r="101" customFormat="false" ht="15.75" hidden="false" customHeight="false" outlineLevel="0" collapsed="false">
      <c r="B101" s="5"/>
    </row>
    <row r="102" customFormat="false" ht="12.75" hidden="false" customHeight="false" outlineLevel="0" collapsed="false">
      <c r="B102" s="34" t="s">
        <v>109</v>
      </c>
      <c r="C102" s="35"/>
      <c r="D102" s="36"/>
      <c r="E102" s="36"/>
      <c r="F102" s="51" t="n">
        <f aca="false">1476860.84+1433.91+1284.97+1404.1</f>
        <v>1480983.82</v>
      </c>
    </row>
    <row r="103" customFormat="false" ht="12.75" hidden="false" customHeight="false" outlineLevel="0" collapsed="false">
      <c r="B103" s="34" t="s">
        <v>72</v>
      </c>
      <c r="C103" s="35"/>
      <c r="D103" s="36"/>
      <c r="E103" s="36"/>
      <c r="F103" s="51" t="n">
        <f aca="false">17369.41+1655.43</f>
        <v>19024.84</v>
      </c>
    </row>
    <row r="104" customFormat="false" ht="12.75" hidden="false" customHeight="false" outlineLevel="0" collapsed="false">
      <c r="B104" s="34" t="s">
        <v>142</v>
      </c>
      <c r="C104" s="35"/>
      <c r="D104" s="36"/>
      <c r="E104" s="36"/>
      <c r="F104" s="51" t="n">
        <f aca="false">945185.16-85589.52+4188.11+1737.61</f>
        <v>865521.36</v>
      </c>
    </row>
    <row r="105" customFormat="false" ht="12.75" hidden="false" customHeight="false" outlineLevel="0" collapsed="false">
      <c r="B105" s="34" t="s">
        <v>88</v>
      </c>
      <c r="C105" s="35"/>
      <c r="D105" s="36"/>
      <c r="E105" s="36"/>
      <c r="F105" s="51" t="n">
        <f aca="false">4221121.69+12423.05</f>
        <v>4233544.74</v>
      </c>
    </row>
    <row r="106" customFormat="false" ht="12.75" hidden="false" customHeight="false" outlineLevel="0" collapsed="false">
      <c r="B106" s="34" t="s">
        <v>89</v>
      </c>
      <c r="C106" s="35"/>
      <c r="D106" s="36"/>
      <c r="E106" s="36"/>
      <c r="F106" s="51" t="n">
        <f aca="false">19892.77+15709.29</f>
        <v>35602.06</v>
      </c>
    </row>
    <row r="107" customFormat="false" ht="12.75" hidden="false" customHeight="false" outlineLevel="0" collapsed="false">
      <c r="B107" s="34" t="s">
        <v>113</v>
      </c>
      <c r="C107" s="35"/>
      <c r="D107" s="36"/>
      <c r="E107" s="36"/>
      <c r="F107" s="51" t="n">
        <f aca="false">18586.04+1701.48</f>
        <v>20287.52</v>
      </c>
    </row>
    <row r="108" customFormat="false" ht="12.75" hidden="false" customHeight="false" outlineLevel="0" collapsed="false">
      <c r="B108" s="34" t="s">
        <v>143</v>
      </c>
      <c r="C108" s="35"/>
      <c r="D108" s="36"/>
      <c r="E108" s="36"/>
      <c r="F108" s="51" t="n">
        <v>3982.57</v>
      </c>
    </row>
    <row r="109" customFormat="false" ht="12.75" hidden="false" customHeight="false" outlineLevel="0" collapsed="false">
      <c r="B109" s="34" t="s">
        <v>144</v>
      </c>
      <c r="C109" s="35"/>
      <c r="D109" s="36"/>
      <c r="E109" s="36"/>
      <c r="F109" s="51" t="n">
        <v>11567.12</v>
      </c>
    </row>
    <row r="110" customFormat="false" ht="12.75" hidden="false" customHeight="false" outlineLevel="0" collapsed="false">
      <c r="B110" s="34" t="s">
        <v>145</v>
      </c>
      <c r="C110" s="35"/>
      <c r="D110" s="36"/>
      <c r="E110" s="36"/>
      <c r="F110" s="51" t="n">
        <v>155.91</v>
      </c>
    </row>
    <row r="111" customFormat="false" ht="12.75" hidden="false" customHeight="false" outlineLevel="0" collapsed="false">
      <c r="B111" s="34" t="s">
        <v>146</v>
      </c>
      <c r="C111" s="35"/>
      <c r="D111" s="36"/>
      <c r="E111" s="36"/>
      <c r="F111" s="60" t="n">
        <v>608.27</v>
      </c>
    </row>
    <row r="112" customFormat="false" ht="12.75" hidden="false" customHeight="false" outlineLevel="0" collapsed="false">
      <c r="B112" s="14" t="s">
        <v>33</v>
      </c>
      <c r="C112" s="35"/>
      <c r="D112" s="36"/>
      <c r="E112" s="36"/>
      <c r="F112" s="60" t="n">
        <f aca="false">SUM(F102:F111)</f>
        <v>6671278.21</v>
      </c>
      <c r="G112" s="58" t="n">
        <f aca="false">+F112/F93</f>
        <v>0.00644749973704107</v>
      </c>
    </row>
    <row r="113" customFormat="false" ht="15.75" hidden="false" customHeight="false" outlineLevel="0" collapsed="false">
      <c r="B113" s="5"/>
    </row>
    <row r="114" customFormat="false" ht="16.5" hidden="false" customHeight="false" outlineLevel="0" collapsed="false">
      <c r="B114" s="44" t="s">
        <v>55</v>
      </c>
      <c r="C114" s="45"/>
      <c r="D114" s="46"/>
      <c r="E114" s="46"/>
      <c r="F114" s="47" t="n">
        <f aca="false">+F93-F100-F112</f>
        <v>975592200.74</v>
      </c>
      <c r="G114" s="59" t="n">
        <f aca="false">+F114/F93</f>
        <v>0.942867357607992</v>
      </c>
    </row>
    <row r="115" customFormat="false" ht="15.75" hidden="false" customHeight="false" outlineLevel="0" collapsed="false">
      <c r="B115" s="49"/>
      <c r="C115" s="35"/>
      <c r="D115" s="36"/>
      <c r="E115" s="36"/>
      <c r="F115" s="50"/>
      <c r="G115" s="63"/>
    </row>
  </sheetData>
  <printOptions headings="false" gridLines="false" gridLinesSet="true" horizontalCentered="false" verticalCentered="false"/>
  <pageMargins left="0.5" right="0.25" top="0.5" bottom="0.5" header="0.511811023622047" footer="0"/>
  <pageSetup paperSize="1" scale="84"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February 2001</oddFooter>
  </headerFooter>
  <rowBreaks count="1" manualBreakCount="1">
    <brk id="5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147</v>
      </c>
    </row>
    <row r="4" customFormat="false" ht="15.75" hidden="false" customHeight="false" outlineLevel="0" collapsed="false">
      <c r="B4" s="5"/>
    </row>
    <row r="5" customFormat="false" ht="16.5" hidden="false" customHeight="false" outlineLevel="0" collapsed="false">
      <c r="A5" s="5" t="s">
        <v>57</v>
      </c>
    </row>
    <row r="6" customFormat="false" ht="35.25" hidden="false" customHeight="false" outlineLevel="0" collapsed="false">
      <c r="A6" s="6" t="s">
        <v>3</v>
      </c>
      <c r="B6" s="6" t="s">
        <v>4</v>
      </c>
      <c r="C6" s="6" t="s">
        <v>5</v>
      </c>
      <c r="D6" s="7"/>
      <c r="E6" s="8"/>
      <c r="F6" s="9" t="s">
        <v>6</v>
      </c>
      <c r="G6" s="10" t="s">
        <v>7</v>
      </c>
    </row>
    <row r="7" customFormat="false" ht="12" hidden="false" customHeight="false" outlineLevel="0" collapsed="false">
      <c r="A7" s="11"/>
      <c r="B7" s="11"/>
      <c r="C7" s="11"/>
      <c r="D7" s="11"/>
      <c r="E7" s="11"/>
      <c r="F7" s="12"/>
      <c r="G7" s="11"/>
    </row>
    <row r="8" customFormat="false" ht="13.5" hidden="false" customHeight="false" outlineLevel="0" collapsed="false">
      <c r="A8" s="13"/>
      <c r="B8" s="14" t="s">
        <v>119</v>
      </c>
      <c r="C8" s="66" t="n">
        <v>36951</v>
      </c>
      <c r="D8" s="16"/>
      <c r="E8" s="16"/>
      <c r="F8" s="17" t="n">
        <v>844949314.49</v>
      </c>
      <c r="G8" s="18" t="n">
        <f aca="false">+F8/F$8</f>
        <v>1</v>
      </c>
    </row>
    <row r="9" customFormat="false" ht="13.5" hidden="false" customHeight="false" outlineLevel="0" collapsed="false">
      <c r="A9" s="13"/>
      <c r="B9" s="14"/>
      <c r="C9" s="71"/>
      <c r="D9" s="16"/>
      <c r="E9" s="16"/>
      <c r="F9" s="67"/>
      <c r="G9" s="42"/>
    </row>
    <row r="10" customFormat="false" ht="12.75" hidden="false" customHeight="false" outlineLevel="0" collapsed="false">
      <c r="A10" s="13"/>
      <c r="B10" s="14"/>
      <c r="C10" s="71"/>
      <c r="D10" s="16"/>
      <c r="E10" s="16"/>
      <c r="F10" s="67"/>
      <c r="G10" s="42"/>
    </row>
    <row r="11" customFormat="false" ht="15.75" hidden="false" customHeight="false" outlineLevel="0" collapsed="false">
      <c r="A11" s="5" t="s">
        <v>9</v>
      </c>
      <c r="C11" s="72"/>
    </row>
    <row r="12" customFormat="false" ht="16.5" hidden="false" customHeight="false" outlineLevel="0" collapsed="false">
      <c r="A12" s="5" t="s">
        <v>148</v>
      </c>
      <c r="C12" s="72"/>
    </row>
    <row r="13" customFormat="false" ht="35.25" hidden="false" customHeight="false" outlineLevel="0" collapsed="false">
      <c r="A13" s="6" t="s">
        <v>3</v>
      </c>
      <c r="B13" s="6" t="s">
        <v>4</v>
      </c>
      <c r="C13" s="73" t="s">
        <v>11</v>
      </c>
      <c r="D13" s="6" t="s">
        <v>12</v>
      </c>
      <c r="E13" s="6" t="s">
        <v>13</v>
      </c>
      <c r="F13" s="10" t="s">
        <v>14</v>
      </c>
      <c r="G13" s="10" t="s">
        <v>15</v>
      </c>
    </row>
    <row r="14" customFormat="false" ht="13.5" hidden="false" customHeight="false" outlineLevel="0" collapsed="false">
      <c r="C14" s="72"/>
    </row>
    <row r="15" customFormat="false" ht="12.75" hidden="false" customHeight="false" outlineLevel="0" collapsed="false">
      <c r="A15" s="22" t="n">
        <v>1924</v>
      </c>
      <c r="B15" s="20" t="s">
        <v>149</v>
      </c>
      <c r="C15" s="53" t="n">
        <v>37035</v>
      </c>
      <c r="D15" s="26" t="n">
        <v>15176</v>
      </c>
      <c r="E15" s="22" t="s">
        <v>94</v>
      </c>
      <c r="F15" s="23" t="n">
        <v>1891.9</v>
      </c>
      <c r="G15" s="24" t="n">
        <f aca="false">+F15/$F$55</f>
        <v>2.28705750730202E-006</v>
      </c>
    </row>
    <row r="16" customFormat="false" ht="12.75" hidden="false" customHeight="false" outlineLevel="0" collapsed="false">
      <c r="A16" s="22" t="n">
        <v>1007</v>
      </c>
      <c r="B16" s="20" t="s">
        <v>121</v>
      </c>
      <c r="C16" s="53" t="n">
        <v>37035</v>
      </c>
      <c r="D16" s="26" t="n">
        <v>15204</v>
      </c>
      <c r="E16" s="22" t="s">
        <v>94</v>
      </c>
      <c r="F16" s="54" t="n">
        <v>5887.54</v>
      </c>
      <c r="G16" s="24" t="n">
        <f aca="false">+F16/$F$55</f>
        <v>7.11725913448964E-006</v>
      </c>
    </row>
    <row r="17" customFormat="false" ht="12.75" hidden="false" customHeight="false" outlineLevel="0" collapsed="false">
      <c r="A17" s="22" t="n">
        <v>1007</v>
      </c>
      <c r="B17" s="20" t="s">
        <v>121</v>
      </c>
      <c r="C17" s="53" t="n">
        <v>37054</v>
      </c>
      <c r="D17" s="26" t="n">
        <v>15404</v>
      </c>
      <c r="E17" s="22" t="s">
        <v>94</v>
      </c>
      <c r="F17" s="54" t="n">
        <v>8.3</v>
      </c>
      <c r="G17" s="24" t="n">
        <f aca="false">+F17/$F$55</f>
        <v>1.00336050058707E-008</v>
      </c>
    </row>
    <row r="18" customFormat="false" ht="12.75" hidden="false" customHeight="false" outlineLevel="0" collapsed="false">
      <c r="A18" s="22" t="n">
        <v>2606</v>
      </c>
      <c r="B18" s="20" t="s">
        <v>99</v>
      </c>
      <c r="C18" s="53" t="n">
        <v>37035</v>
      </c>
      <c r="D18" s="26" t="n">
        <v>15168</v>
      </c>
      <c r="E18" s="22" t="s">
        <v>94</v>
      </c>
      <c r="F18" s="54" t="n">
        <v>312789</v>
      </c>
      <c r="G18" s="24" t="n">
        <f aca="false">+F18/$F$55</f>
        <v>0.000378120635684493</v>
      </c>
    </row>
    <row r="19" customFormat="false" ht="12.75" hidden="false" customHeight="false" outlineLevel="0" collapsed="false">
      <c r="A19" s="22" t="n">
        <v>2606</v>
      </c>
      <c r="B19" s="20" t="s">
        <v>99</v>
      </c>
      <c r="C19" s="53" t="n">
        <v>37054</v>
      </c>
      <c r="D19" s="26" t="n">
        <v>15368</v>
      </c>
      <c r="E19" s="22" t="s">
        <v>94</v>
      </c>
      <c r="F19" s="54" t="n">
        <v>388.95</v>
      </c>
      <c r="G19" s="24" t="n">
        <f aca="false">+F19/$F$55</f>
        <v>4.70189236991977E-007</v>
      </c>
    </row>
    <row r="20" customFormat="false" ht="12.75" hidden="false" customHeight="false" outlineLevel="0" collapsed="false">
      <c r="A20" s="22" t="n">
        <v>1544</v>
      </c>
      <c r="B20" s="20" t="s">
        <v>96</v>
      </c>
      <c r="C20" s="53" t="n">
        <v>37035</v>
      </c>
      <c r="D20" s="26" t="n">
        <v>15180</v>
      </c>
      <c r="E20" s="22" t="s">
        <v>94</v>
      </c>
      <c r="F20" s="54" t="n">
        <v>185906.31</v>
      </c>
      <c r="G20" s="24" t="n">
        <f aca="false">+F20/$F$55</f>
        <v>0.000224736202727584</v>
      </c>
    </row>
    <row r="21" customFormat="false" ht="12.75" hidden="false" customHeight="false" outlineLevel="0" collapsed="false">
      <c r="A21" s="22" t="n">
        <v>1544</v>
      </c>
      <c r="B21" s="20" t="s">
        <v>96</v>
      </c>
      <c r="C21" s="53" t="n">
        <v>37054</v>
      </c>
      <c r="D21" s="26" t="n">
        <v>15380</v>
      </c>
      <c r="E21" s="22" t="s">
        <v>94</v>
      </c>
      <c r="F21" s="54" t="n">
        <v>84.7</v>
      </c>
      <c r="G21" s="24" t="n">
        <f aca="false">+F21/$F$55</f>
        <v>1.02391125782801E-007</v>
      </c>
    </row>
    <row r="22" customFormat="false" ht="12.75" hidden="false" customHeight="false" outlineLevel="0" collapsed="false">
      <c r="A22" s="22" t="n">
        <v>3106</v>
      </c>
      <c r="B22" s="20" t="s">
        <v>60</v>
      </c>
      <c r="C22" s="53" t="n">
        <v>37005</v>
      </c>
      <c r="D22" s="26" t="n">
        <v>15161</v>
      </c>
      <c r="E22" s="22" t="s">
        <v>94</v>
      </c>
      <c r="F22" s="54" t="n">
        <v>7053774.19</v>
      </c>
      <c r="G22" s="24" t="n">
        <f aca="false">+F22/$F$55</f>
        <v>0.00852708241241754</v>
      </c>
    </row>
    <row r="23" customFormat="false" ht="12.75" hidden="false" customHeight="false" outlineLevel="0" collapsed="false">
      <c r="A23" s="22" t="n">
        <v>3106</v>
      </c>
      <c r="B23" s="20" t="s">
        <v>60</v>
      </c>
      <c r="C23" s="53" t="n">
        <v>37054</v>
      </c>
      <c r="D23" s="26" t="n">
        <v>15361</v>
      </c>
      <c r="E23" s="22" t="s">
        <v>94</v>
      </c>
      <c r="F23" s="54" t="n">
        <v>23950.72</v>
      </c>
      <c r="G23" s="24" t="n">
        <f aca="false">+F23/$F$55</f>
        <v>2.8953260733278E-005</v>
      </c>
    </row>
    <row r="24" customFormat="false" ht="12.75" hidden="false" customHeight="false" outlineLevel="0" collapsed="false">
      <c r="A24" s="22" t="n">
        <v>1011</v>
      </c>
      <c r="B24" s="20" t="s">
        <v>60</v>
      </c>
      <c r="C24" s="53" t="n">
        <v>37035</v>
      </c>
      <c r="D24" s="26" t="n">
        <v>15201</v>
      </c>
      <c r="E24" s="22" t="s">
        <v>94</v>
      </c>
      <c r="F24" s="54" t="n">
        <v>732545.14</v>
      </c>
      <c r="G24" s="24" t="n">
        <f aca="false">+F24/$F$55</f>
        <v>0.000885550431774729</v>
      </c>
    </row>
    <row r="25" customFormat="false" ht="12.75" hidden="false" customHeight="false" outlineLevel="0" collapsed="false">
      <c r="A25" s="22" t="n">
        <v>1011</v>
      </c>
      <c r="B25" s="20" t="s">
        <v>60</v>
      </c>
      <c r="C25" s="53" t="n">
        <v>37054</v>
      </c>
      <c r="D25" s="26" t="n">
        <v>15401</v>
      </c>
      <c r="E25" s="22" t="s">
        <v>94</v>
      </c>
      <c r="F25" s="54" t="n">
        <v>3838.57</v>
      </c>
      <c r="G25" s="24" t="n">
        <f aca="false">+F25/$F$55</f>
        <v>4.64032471896206E-006</v>
      </c>
    </row>
    <row r="26" customFormat="false" ht="12.75" hidden="false" customHeight="false" outlineLevel="0" collapsed="false">
      <c r="A26" s="22" t="n">
        <v>2528</v>
      </c>
      <c r="B26" s="20" t="s">
        <v>97</v>
      </c>
      <c r="C26" s="53" t="n">
        <v>37035</v>
      </c>
      <c r="D26" s="26" t="n">
        <v>15170</v>
      </c>
      <c r="E26" s="22" t="s">
        <v>94</v>
      </c>
      <c r="F26" s="54" t="n">
        <v>199000.28</v>
      </c>
      <c r="G26" s="24" t="n">
        <f aca="false">+F26/$F$55</f>
        <v>0.000240565085009358</v>
      </c>
    </row>
    <row r="27" customFormat="false" ht="12.75" hidden="false" customHeight="false" outlineLevel="0" collapsed="false">
      <c r="A27" s="22" t="n">
        <v>1010</v>
      </c>
      <c r="B27" s="20" t="s">
        <v>62</v>
      </c>
      <c r="C27" s="53" t="n">
        <v>37035</v>
      </c>
      <c r="D27" s="26" t="n">
        <v>15202</v>
      </c>
      <c r="E27" s="22" t="s">
        <v>94</v>
      </c>
      <c r="F27" s="54" t="n">
        <v>3586669.37</v>
      </c>
      <c r="G27" s="24" t="n">
        <f aca="false">+F27/$F$55</f>
        <v>0.00433581008978736</v>
      </c>
    </row>
    <row r="28" customFormat="false" ht="12.75" hidden="false" customHeight="false" outlineLevel="0" collapsed="false">
      <c r="A28" s="22" t="n">
        <v>1010</v>
      </c>
      <c r="B28" s="20" t="s">
        <v>62</v>
      </c>
      <c r="C28" s="53" t="n">
        <v>37054</v>
      </c>
      <c r="D28" s="26" t="n">
        <v>15402</v>
      </c>
      <c r="E28" s="22" t="s">
        <v>94</v>
      </c>
      <c r="F28" s="54" t="n">
        <v>53768.11</v>
      </c>
      <c r="G28" s="24" t="n">
        <f aca="false">+F28/$F$55</f>
        <v>6.49985515243622E-005</v>
      </c>
    </row>
    <row r="29" customFormat="false" ht="12.75" hidden="false" customHeight="false" outlineLevel="0" collapsed="false">
      <c r="A29" s="22" t="n">
        <v>1924</v>
      </c>
      <c r="B29" s="20" t="s">
        <v>93</v>
      </c>
      <c r="C29" s="53" t="n">
        <v>37035</v>
      </c>
      <c r="D29" s="26" t="n">
        <v>15241</v>
      </c>
      <c r="E29" s="22" t="s">
        <v>17</v>
      </c>
      <c r="F29" s="54" t="n">
        <v>159815.43</v>
      </c>
      <c r="G29" s="24" t="n">
        <f aca="false">+F29/$F$55</f>
        <v>0.000193195770899202</v>
      </c>
    </row>
    <row r="30" customFormat="false" ht="12.75" hidden="false" customHeight="false" outlineLevel="0" collapsed="false">
      <c r="A30" s="22" t="n">
        <v>1924</v>
      </c>
      <c r="B30" s="20" t="s">
        <v>93</v>
      </c>
      <c r="C30" s="53" t="n">
        <v>37054</v>
      </c>
      <c r="D30" s="26" t="n">
        <v>15442</v>
      </c>
      <c r="E30" s="22" t="s">
        <v>17</v>
      </c>
      <c r="F30" s="54" t="n">
        <v>24618.66</v>
      </c>
      <c r="G30" s="24" t="n">
        <f aca="false">+F30/$F$55</f>
        <v>2.97607120739553E-005</v>
      </c>
    </row>
    <row r="31" customFormat="false" ht="12.75" hidden="false" customHeight="false" outlineLevel="0" collapsed="false">
      <c r="A31" s="22" t="n">
        <v>1007</v>
      </c>
      <c r="B31" s="20" t="s">
        <v>121</v>
      </c>
      <c r="C31" s="53" t="n">
        <v>37035</v>
      </c>
      <c r="D31" s="26" t="n">
        <v>15276</v>
      </c>
      <c r="E31" s="22" t="s">
        <v>17</v>
      </c>
      <c r="F31" s="54" t="n">
        <v>10566.4</v>
      </c>
      <c r="G31" s="24" t="n">
        <f aca="false">+F31/$F$55</f>
        <v>1.27733836065099E-005</v>
      </c>
    </row>
    <row r="32" customFormat="false" ht="12.75" hidden="false" customHeight="false" outlineLevel="0" collapsed="false">
      <c r="A32" s="22" t="n">
        <v>1007</v>
      </c>
      <c r="B32" s="20" t="s">
        <v>121</v>
      </c>
      <c r="C32" s="53" t="n">
        <v>37054</v>
      </c>
      <c r="D32" s="26" t="n">
        <v>15477</v>
      </c>
      <c r="E32" s="22" t="s">
        <v>17</v>
      </c>
      <c r="F32" s="54" t="n">
        <v>35686.06</v>
      </c>
      <c r="G32" s="24" t="n">
        <f aca="false">+F32/$F$55</f>
        <v>4.31397385850364E-005</v>
      </c>
    </row>
    <row r="33" customFormat="false" ht="12.75" hidden="false" customHeight="false" outlineLevel="0" collapsed="false">
      <c r="A33" s="22" t="n">
        <v>2606</v>
      </c>
      <c r="B33" s="20" t="s">
        <v>99</v>
      </c>
      <c r="C33" s="53" t="n">
        <v>37035</v>
      </c>
      <c r="D33" s="26" t="n">
        <v>15228</v>
      </c>
      <c r="E33" s="22" t="s">
        <v>17</v>
      </c>
      <c r="F33" s="54" t="n">
        <v>3859521.81</v>
      </c>
      <c r="G33" s="24" t="n">
        <f aca="false">+F33/$F$55</f>
        <v>0.00466565269314255</v>
      </c>
    </row>
    <row r="34" customFormat="false" ht="12.75" hidden="false" customHeight="false" outlineLevel="0" collapsed="false">
      <c r="A34" s="22" t="n">
        <v>2606</v>
      </c>
      <c r="B34" s="20" t="s">
        <v>99</v>
      </c>
      <c r="C34" s="53" t="n">
        <v>37054</v>
      </c>
      <c r="D34" s="26" t="n">
        <v>15429</v>
      </c>
      <c r="E34" s="22" t="s">
        <v>17</v>
      </c>
      <c r="F34" s="54" t="n">
        <v>2887840.08</v>
      </c>
      <c r="G34" s="24" t="n">
        <f aca="false">+F34/$F$55</f>
        <v>0.00349101767263157</v>
      </c>
    </row>
    <row r="35" customFormat="false" ht="12.75" hidden="false" customHeight="false" outlineLevel="0" collapsed="false">
      <c r="A35" s="22" t="n">
        <v>1584</v>
      </c>
      <c r="B35" s="20" t="s">
        <v>123</v>
      </c>
      <c r="C35" s="53" t="n">
        <v>37054</v>
      </c>
      <c r="D35" s="26" t="n">
        <v>15447</v>
      </c>
      <c r="E35" s="22" t="s">
        <v>17</v>
      </c>
      <c r="F35" s="54" t="n">
        <v>206636.42</v>
      </c>
      <c r="G35" s="24" t="n">
        <f aca="false">+F35/$F$55</f>
        <v>0.000249796170856289</v>
      </c>
    </row>
    <row r="36" customFormat="false" ht="12.75" hidden="false" customHeight="false" outlineLevel="0" collapsed="false">
      <c r="A36" s="22" t="n">
        <v>1684</v>
      </c>
      <c r="B36" s="20" t="s">
        <v>124</v>
      </c>
      <c r="C36" s="53" t="n">
        <v>37054</v>
      </c>
      <c r="D36" s="26" t="n">
        <v>15444</v>
      </c>
      <c r="E36" s="22" t="s">
        <v>17</v>
      </c>
      <c r="F36" s="54" t="n">
        <v>228.65</v>
      </c>
      <c r="G36" s="24" t="n">
        <f aca="false">+F36/$F$55</f>
        <v>2.76407684890643E-007</v>
      </c>
    </row>
    <row r="37" customFormat="false" ht="12.75" hidden="false" customHeight="false" outlineLevel="0" collapsed="false">
      <c r="A37" s="22" t="n">
        <v>1504</v>
      </c>
      <c r="B37" s="20" t="s">
        <v>150</v>
      </c>
      <c r="C37" s="53" t="n">
        <v>37035</v>
      </c>
      <c r="D37" s="26" t="n">
        <v>15248</v>
      </c>
      <c r="E37" s="22" t="s">
        <v>17</v>
      </c>
      <c r="F37" s="54" t="n">
        <v>15853.26</v>
      </c>
      <c r="G37" s="24" t="n">
        <f aca="false">+F37/$F$55</f>
        <v>1.9164499866912E-005</v>
      </c>
    </row>
    <row r="38" customFormat="false" ht="12.75" hidden="false" customHeight="false" outlineLevel="0" collapsed="false">
      <c r="A38" s="22" t="n">
        <v>1504</v>
      </c>
      <c r="B38" s="20" t="s">
        <v>150</v>
      </c>
      <c r="C38" s="53" t="n">
        <v>37054</v>
      </c>
      <c r="D38" s="26" t="n">
        <v>15449</v>
      </c>
      <c r="E38" s="22" t="s">
        <v>17</v>
      </c>
      <c r="F38" s="54" t="n">
        <f aca="false">47046.31-5691.65</f>
        <v>41354.66</v>
      </c>
      <c r="G38" s="24" t="n">
        <f aca="false">+F38/$F$55</f>
        <v>4.99923281436242E-005</v>
      </c>
    </row>
    <row r="39" customFormat="false" ht="12.75" hidden="false" customHeight="false" outlineLevel="0" collapsed="false">
      <c r="A39" s="22" t="n">
        <v>1103</v>
      </c>
      <c r="B39" s="20" t="s">
        <v>125</v>
      </c>
      <c r="C39" s="53" t="n">
        <v>37054</v>
      </c>
      <c r="D39" s="26" t="n">
        <v>15462</v>
      </c>
      <c r="E39" s="22" t="s">
        <v>17</v>
      </c>
      <c r="F39" s="54" t="n">
        <v>384728.44</v>
      </c>
      <c r="G39" s="24" t="n">
        <f aca="false">+F39/$F$55</f>
        <v>0.000465085927889738</v>
      </c>
    </row>
    <row r="40" customFormat="false" ht="12.75" hidden="false" customHeight="false" outlineLevel="0" collapsed="false">
      <c r="A40" s="74" t="n">
        <v>2405</v>
      </c>
      <c r="B40" s="75" t="s">
        <v>151</v>
      </c>
      <c r="C40" s="53" t="n">
        <v>37054</v>
      </c>
      <c r="D40" s="74" t="n">
        <v>15438</v>
      </c>
      <c r="E40" s="22" t="s">
        <v>17</v>
      </c>
      <c r="F40" s="54" t="n">
        <f aca="false">1742.73-368.58</f>
        <v>1374.15</v>
      </c>
      <c r="G40" s="24" t="n">
        <f aca="false">+F40/$F$55</f>
        <v>1.6611660625081E-006</v>
      </c>
    </row>
    <row r="41" customFormat="false" ht="12.75" hidden="false" customHeight="false" outlineLevel="0" collapsed="false">
      <c r="A41" s="74" t="n">
        <v>1017</v>
      </c>
      <c r="B41" s="75" t="s">
        <v>152</v>
      </c>
      <c r="C41" s="53" t="n">
        <v>37035</v>
      </c>
      <c r="D41" s="74" t="n">
        <v>15269</v>
      </c>
      <c r="E41" s="22" t="s">
        <v>17</v>
      </c>
      <c r="F41" s="54" t="n">
        <v>1570197.56</v>
      </c>
      <c r="G41" s="24" t="n">
        <f aca="false">+F41/$F$55</f>
        <v>0.00189816169858096</v>
      </c>
    </row>
    <row r="42" customFormat="false" ht="12.75" hidden="false" customHeight="false" outlineLevel="0" collapsed="false">
      <c r="A42" s="74" t="n">
        <v>1000</v>
      </c>
      <c r="B42" s="75" t="s">
        <v>153</v>
      </c>
      <c r="C42" s="53" t="n">
        <v>37035</v>
      </c>
      <c r="D42" s="74" t="n">
        <v>15283</v>
      </c>
      <c r="E42" s="22" t="s">
        <v>17</v>
      </c>
      <c r="F42" s="54" t="n">
        <v>41.41</v>
      </c>
      <c r="G42" s="24" t="n">
        <f aca="false">+F42/$F$55</f>
        <v>5.00592269027838E-008</v>
      </c>
    </row>
    <row r="43" customFormat="false" ht="12.75" hidden="false" customHeight="false" outlineLevel="0" collapsed="false">
      <c r="A43" s="22" t="n">
        <v>1544</v>
      </c>
      <c r="B43" s="20" t="s">
        <v>96</v>
      </c>
      <c r="C43" s="53" t="n">
        <v>37035</v>
      </c>
      <c r="D43" s="74" t="n">
        <v>15245</v>
      </c>
      <c r="E43" s="22" t="s">
        <v>17</v>
      </c>
      <c r="F43" s="54" t="n">
        <v>9664579.1</v>
      </c>
      <c r="G43" s="24" t="n">
        <f aca="false">+F43/$F$55</f>
        <v>0.011683201112939</v>
      </c>
    </row>
    <row r="44" customFormat="false" ht="12.75" hidden="false" customHeight="false" outlineLevel="0" collapsed="false">
      <c r="A44" s="22" t="n">
        <v>1544</v>
      </c>
      <c r="B44" s="20" t="s">
        <v>96</v>
      </c>
      <c r="C44" s="53" t="n">
        <v>37054</v>
      </c>
      <c r="D44" s="74" t="n">
        <v>15446</v>
      </c>
      <c r="E44" s="22" t="s">
        <v>17</v>
      </c>
      <c r="F44" s="54" t="n">
        <v>1378767.61</v>
      </c>
      <c r="G44" s="24" t="n">
        <f aca="false">+F44/$F$55</f>
        <v>0.00166674814381065</v>
      </c>
    </row>
    <row r="45" customFormat="false" ht="12.75" hidden="false" customHeight="false" outlineLevel="0" collapsed="false">
      <c r="A45" s="22" t="n">
        <v>1005</v>
      </c>
      <c r="B45" s="20" t="s">
        <v>154</v>
      </c>
      <c r="C45" s="53" t="n">
        <v>37035</v>
      </c>
      <c r="D45" s="74" t="n">
        <v>15278</v>
      </c>
      <c r="E45" s="22" t="s">
        <v>17</v>
      </c>
      <c r="F45" s="54" t="n">
        <v>21206.94</v>
      </c>
      <c r="G45" s="24" t="n">
        <f aca="false">+F45/$F$55</f>
        <v>2.56363926919518E-005</v>
      </c>
    </row>
    <row r="46" customFormat="false" ht="12.75" hidden="false" customHeight="false" outlineLevel="0" collapsed="false">
      <c r="A46" s="22" t="n">
        <v>3106</v>
      </c>
      <c r="B46" s="20" t="s">
        <v>60</v>
      </c>
      <c r="C46" s="53" t="n">
        <v>37035</v>
      </c>
      <c r="D46" s="74" t="n">
        <v>15212</v>
      </c>
      <c r="E46" s="22" t="s">
        <v>17</v>
      </c>
      <c r="F46" s="54" t="n">
        <v>250061586.25</v>
      </c>
      <c r="G46" s="24" t="n">
        <f aca="false">+F46/$F$55</f>
        <v>0.302291467900478</v>
      </c>
    </row>
    <row r="47" customFormat="false" ht="12.75" hidden="false" customHeight="false" outlineLevel="0" collapsed="false">
      <c r="A47" s="22" t="n">
        <v>3106</v>
      </c>
      <c r="B47" s="20" t="s">
        <v>60</v>
      </c>
      <c r="C47" s="53" t="n">
        <v>37054</v>
      </c>
      <c r="D47" s="74" t="n">
        <v>15413</v>
      </c>
      <c r="E47" s="22" t="s">
        <v>17</v>
      </c>
      <c r="F47" s="54" t="n">
        <v>26829644.83</v>
      </c>
      <c r="G47" s="24" t="n">
        <f aca="false">+F47/$F$55</f>
        <v>0.0324335010448218</v>
      </c>
    </row>
    <row r="48" customFormat="false" ht="12.75" hidden="false" customHeight="false" outlineLevel="0" collapsed="false">
      <c r="A48" s="22" t="n">
        <v>1011</v>
      </c>
      <c r="B48" s="20" t="s">
        <v>60</v>
      </c>
      <c r="C48" s="53" t="n">
        <v>37035</v>
      </c>
      <c r="D48" s="74" t="n">
        <v>15273</v>
      </c>
      <c r="E48" s="22" t="s">
        <v>17</v>
      </c>
      <c r="F48" s="54" t="n">
        <v>11636159.73</v>
      </c>
      <c r="G48" s="24" t="n">
        <f aca="false">+F48/$F$55</f>
        <v>0.0140665819898842</v>
      </c>
    </row>
    <row r="49" customFormat="false" ht="12.75" hidden="false" customHeight="false" outlineLevel="0" collapsed="false">
      <c r="A49" s="22" t="n">
        <v>1011</v>
      </c>
      <c r="B49" s="20" t="s">
        <v>60</v>
      </c>
      <c r="C49" s="53" t="n">
        <v>37054</v>
      </c>
      <c r="D49" s="74" t="n">
        <v>15474</v>
      </c>
      <c r="E49" s="22" t="s">
        <v>17</v>
      </c>
      <c r="F49" s="54" t="n">
        <v>1220018.43</v>
      </c>
      <c r="G49" s="24" t="n">
        <f aca="false">+F49/$F$55</f>
        <v>0.00147484132849428</v>
      </c>
    </row>
    <row r="50" customFormat="false" ht="12.75" hidden="false" customHeight="false" outlineLevel="0" collapsed="false">
      <c r="A50" s="22" t="n">
        <v>2528</v>
      </c>
      <c r="B50" s="20" t="s">
        <v>97</v>
      </c>
      <c r="C50" s="53" t="n">
        <v>37035</v>
      </c>
      <c r="D50" s="74" t="n">
        <v>15232</v>
      </c>
      <c r="E50" s="22" t="s">
        <v>17</v>
      </c>
      <c r="F50" s="54" t="n">
        <v>2359.04</v>
      </c>
      <c r="G50" s="24" t="n">
        <f aca="false">+F50/$F$55</f>
        <v>2.85176813892159E-006</v>
      </c>
    </row>
    <row r="51" customFormat="false" ht="12.75" hidden="false" customHeight="false" outlineLevel="0" collapsed="false">
      <c r="A51" s="22" t="n">
        <v>1010</v>
      </c>
      <c r="B51" s="20" t="s">
        <v>62</v>
      </c>
      <c r="C51" s="53" t="n">
        <v>37035</v>
      </c>
      <c r="D51" s="74" t="n">
        <v>15274</v>
      </c>
      <c r="E51" s="22" t="s">
        <v>17</v>
      </c>
      <c r="F51" s="54" t="n">
        <v>416053783.75</v>
      </c>
      <c r="G51" s="24" t="n">
        <f aca="false">+F51/$F$55</f>
        <v>0.502954135824753</v>
      </c>
    </row>
    <row r="52" customFormat="false" ht="12.75" hidden="false" customHeight="false" outlineLevel="0" collapsed="false">
      <c r="A52" s="22" t="n">
        <v>1010</v>
      </c>
      <c r="B52" s="20" t="s">
        <v>62</v>
      </c>
      <c r="C52" s="53" t="n">
        <v>37054</v>
      </c>
      <c r="D52" s="74" t="n">
        <v>15475</v>
      </c>
      <c r="E52" s="22" t="s">
        <v>17</v>
      </c>
      <c r="F52" s="54" t="n">
        <v>88939559.7</v>
      </c>
      <c r="G52" s="24" t="n">
        <f aca="false">+F52/$F$55</f>
        <v>0.107516194147693</v>
      </c>
    </row>
    <row r="53" customFormat="false" ht="12.75" hidden="false" customHeight="false" outlineLevel="0" collapsed="false">
      <c r="A53" s="22" t="n">
        <v>2465</v>
      </c>
      <c r="B53" s="20" t="s">
        <v>63</v>
      </c>
      <c r="C53" s="53" t="n">
        <v>37054</v>
      </c>
      <c r="D53" s="74" t="n">
        <v>15436</v>
      </c>
      <c r="E53" s="22" t="s">
        <v>17</v>
      </c>
      <c r="F53" s="27" t="n">
        <v>53494.83</v>
      </c>
      <c r="G53" s="28" t="n">
        <f aca="false">+F53/$F$55</f>
        <v>6.46681920573738E-005</v>
      </c>
    </row>
    <row r="54" customFormat="false" ht="12.75" hidden="false" customHeight="false" outlineLevel="0" collapsed="false">
      <c r="A54" s="29"/>
      <c r="B54" s="30"/>
      <c r="C54" s="31"/>
      <c r="D54" s="29"/>
      <c r="E54" s="32"/>
      <c r="F54" s="33"/>
      <c r="G54" s="34"/>
    </row>
    <row r="55" customFormat="false" ht="13.5" hidden="false" customHeight="false" outlineLevel="0" collapsed="false">
      <c r="B55" s="14" t="s">
        <v>18</v>
      </c>
      <c r="F55" s="17" t="n">
        <f aca="false">SUM(F15:F54)</f>
        <v>827220126.28</v>
      </c>
      <c r="G55" s="18" t="n">
        <f aca="false">+F55/F55</f>
        <v>1</v>
      </c>
    </row>
    <row r="56" customFormat="false" ht="13.5" hidden="false" customHeight="false" outlineLevel="0" collapsed="false">
      <c r="C56" s="72"/>
    </row>
    <row r="57" customFormat="false" ht="12.75" hidden="false" customHeight="false" outlineLevel="0" collapsed="false">
      <c r="C57" s="72"/>
    </row>
    <row r="58" customFormat="false" ht="12.75" hidden="false" customHeight="false" outlineLevel="0" collapsed="false">
      <c r="B58" s="55" t="s">
        <v>64</v>
      </c>
      <c r="C58" s="72"/>
    </row>
    <row r="59" customFormat="false" ht="12.75" hidden="false" customHeight="false" outlineLevel="0" collapsed="false">
      <c r="B59" s="55"/>
      <c r="C59" s="72"/>
    </row>
    <row r="60" customFormat="false" ht="15.75" hidden="false" customHeight="false" outlineLevel="0" collapsed="false">
      <c r="B60" s="5" t="str">
        <f aca="false">+B1</f>
        <v>Certification for Market Settlement September 28, 2001</v>
      </c>
    </row>
    <row r="61" customFormat="false" ht="15.75" hidden="false" customHeight="false" outlineLevel="0" collapsed="false">
      <c r="B61" s="5"/>
    </row>
    <row r="62" customFormat="false" ht="15.75" hidden="false" customHeight="false" outlineLevel="0" collapsed="false">
      <c r="B62" s="5" t="str">
        <f aca="false">+B3</f>
        <v>For the Trade Month of March 2001</v>
      </c>
    </row>
    <row r="63" customFormat="false" ht="15.75" hidden="false" customHeight="false" outlineLevel="0" collapsed="false">
      <c r="B63" s="5"/>
    </row>
    <row r="64" customFormat="false" ht="15.75" hidden="false" customHeight="false" outlineLevel="0" collapsed="false">
      <c r="B64" s="5" t="s">
        <v>20</v>
      </c>
    </row>
    <row r="65" customFormat="false" ht="15.75" hidden="false" customHeight="false" outlineLevel="0" collapsed="false">
      <c r="B65" s="5"/>
    </row>
    <row r="66" customFormat="false" ht="12.75" hidden="false" customHeight="false" outlineLevel="0" collapsed="false">
      <c r="B66" s="34" t="s">
        <v>21</v>
      </c>
      <c r="C66" s="35"/>
      <c r="D66" s="36"/>
      <c r="E66" s="36"/>
      <c r="F66" s="37" t="n">
        <v>832494154.59</v>
      </c>
      <c r="G66" s="56" t="n">
        <f aca="false">+F66/F68</f>
        <v>0.853910625141615</v>
      </c>
    </row>
    <row r="67" customFormat="false" ht="12.75" hidden="false" customHeight="false" outlineLevel="0" collapsed="false">
      <c r="B67" s="34" t="s">
        <v>22</v>
      </c>
      <c r="C67" s="35"/>
      <c r="D67" s="36"/>
      <c r="E67" s="36"/>
      <c r="F67" s="39" t="n">
        <v>142425386.26</v>
      </c>
      <c r="G67" s="56" t="n">
        <f aca="false">+F67/F68</f>
        <v>0.146089374858385</v>
      </c>
    </row>
    <row r="68" customFormat="false" ht="12.75" hidden="false" customHeight="false" outlineLevel="0" collapsed="false">
      <c r="B68" s="40" t="s">
        <v>23</v>
      </c>
      <c r="C68" s="35"/>
      <c r="D68" s="36"/>
      <c r="E68" s="36"/>
      <c r="F68" s="39" t="n">
        <f aca="false">SUM(F66:F67)</f>
        <v>974919540.85</v>
      </c>
      <c r="G68" s="58" t="n">
        <f aca="false">+F68/F68</f>
        <v>1</v>
      </c>
    </row>
    <row r="69" customFormat="false" ht="15.75" hidden="false" customHeight="false" outlineLevel="0" collapsed="false">
      <c r="B69" s="5"/>
    </row>
    <row r="70" customFormat="false" ht="12.75" hidden="false" customHeight="false" outlineLevel="0" collapsed="false">
      <c r="B70" s="34" t="s">
        <v>128</v>
      </c>
      <c r="C70" s="35"/>
      <c r="D70" s="36"/>
      <c r="E70" s="36"/>
      <c r="F70" s="33" t="n">
        <v>25834711.77</v>
      </c>
    </row>
    <row r="71" customFormat="false" ht="12.75" hidden="false" customHeight="false" outlineLevel="0" collapsed="false">
      <c r="B71" s="34" t="s">
        <v>155</v>
      </c>
      <c r="C71" s="35"/>
      <c r="D71" s="36"/>
      <c r="E71" s="36"/>
      <c r="F71" s="33" t="n">
        <v>42129119.37</v>
      </c>
    </row>
    <row r="72" customFormat="false" ht="12.75" hidden="false" customHeight="false" outlineLevel="0" collapsed="false">
      <c r="B72" s="34" t="s">
        <v>130</v>
      </c>
      <c r="C72" s="35"/>
      <c r="D72" s="36"/>
      <c r="E72" s="36"/>
      <c r="F72" s="39" t="n">
        <f aca="false">43601.78+23970.6</f>
        <v>67572.38</v>
      </c>
    </row>
    <row r="73" customFormat="false" ht="12.75" hidden="false" customHeight="false" outlineLevel="0" collapsed="false">
      <c r="B73" s="40" t="s">
        <v>28</v>
      </c>
      <c r="C73" s="35"/>
      <c r="D73" s="36"/>
      <c r="E73" s="36"/>
      <c r="F73" s="39" t="n">
        <f aca="false">SUM(F70:F72)</f>
        <v>68031403.52</v>
      </c>
      <c r="G73" s="58" t="n">
        <f aca="false">+F73/F68</f>
        <v>0.069781557010013</v>
      </c>
    </row>
    <row r="74" customFormat="false" ht="15.75" hidden="false" customHeight="false" outlineLevel="0" collapsed="false">
      <c r="B74" s="5"/>
    </row>
    <row r="75" customFormat="false" ht="12.75" hidden="false" customHeight="false" outlineLevel="0" collapsed="false">
      <c r="A75" s="35"/>
      <c r="B75" s="34" t="s">
        <v>69</v>
      </c>
      <c r="C75" s="35"/>
      <c r="D75" s="36"/>
      <c r="E75" s="36"/>
      <c r="F75" s="33" t="n">
        <v>1328993.47</v>
      </c>
      <c r="G75" s="34"/>
    </row>
    <row r="76" customFormat="false" ht="12.75" hidden="false" customHeight="false" outlineLevel="0" collapsed="false">
      <c r="A76" s="35"/>
      <c r="B76" s="34" t="s">
        <v>104</v>
      </c>
      <c r="C76" s="35"/>
      <c r="D76" s="36"/>
      <c r="E76" s="36"/>
      <c r="F76" s="33" t="n">
        <v>2962776.9</v>
      </c>
      <c r="G76" s="34"/>
    </row>
    <row r="77" customFormat="false" ht="12.75" hidden="false" customHeight="false" outlineLevel="0" collapsed="false">
      <c r="A77" s="35"/>
      <c r="B77" s="34" t="s">
        <v>132</v>
      </c>
      <c r="C77" s="35"/>
      <c r="D77" s="36"/>
      <c r="E77" s="36"/>
      <c r="F77" s="33" t="n">
        <v>888969.27</v>
      </c>
      <c r="G77" s="34"/>
    </row>
    <row r="78" customFormat="false" ht="12.75" hidden="false" customHeight="false" outlineLevel="0" collapsed="false">
      <c r="A78" s="35"/>
      <c r="B78" s="34" t="s">
        <v>156</v>
      </c>
      <c r="C78" s="35"/>
      <c r="D78" s="36"/>
      <c r="E78" s="36"/>
      <c r="F78" s="33" t="n">
        <v>6.32</v>
      </c>
      <c r="G78" s="34"/>
    </row>
    <row r="79" customFormat="false" ht="12.75" hidden="false" customHeight="false" outlineLevel="0" collapsed="false">
      <c r="A79" s="35"/>
      <c r="B79" s="34" t="s">
        <v>157</v>
      </c>
      <c r="C79" s="35"/>
      <c r="D79" s="36"/>
      <c r="E79" s="36"/>
      <c r="F79" s="33" t="n">
        <v>10.33</v>
      </c>
      <c r="G79" s="34"/>
    </row>
    <row r="80" customFormat="false" ht="12.75" hidden="false" customHeight="false" outlineLevel="0" collapsed="false">
      <c r="A80" s="35"/>
      <c r="B80" s="34" t="s">
        <v>158</v>
      </c>
      <c r="C80" s="35"/>
      <c r="D80" s="36"/>
      <c r="E80" s="36"/>
      <c r="F80" s="33" t="n">
        <f aca="false">19892.77+15709.29</f>
        <v>35602.06</v>
      </c>
      <c r="G80" s="34"/>
    </row>
    <row r="81" customFormat="false" ht="12.75" hidden="false" customHeight="false" outlineLevel="0" collapsed="false">
      <c r="A81" s="35"/>
      <c r="B81" s="34" t="s">
        <v>75</v>
      </c>
      <c r="C81" s="35"/>
      <c r="D81" s="36"/>
      <c r="E81" s="36"/>
      <c r="F81" s="33" t="n">
        <v>83643512.49</v>
      </c>
      <c r="G81" s="34"/>
    </row>
    <row r="82" customFormat="false" ht="12.75" hidden="false" customHeight="false" outlineLevel="0" collapsed="false">
      <c r="A82" s="35"/>
      <c r="B82" s="34" t="s">
        <v>76</v>
      </c>
      <c r="C82" s="35"/>
      <c r="D82" s="36"/>
      <c r="E82" s="36"/>
      <c r="F82" s="33" t="n">
        <v>205.19</v>
      </c>
      <c r="G82" s="34"/>
    </row>
    <row r="83" customFormat="false" ht="12.75" hidden="false" customHeight="false" outlineLevel="0" collapsed="false">
      <c r="A83" s="35"/>
      <c r="B83" s="34" t="s">
        <v>78</v>
      </c>
      <c r="C83" s="35"/>
      <c r="D83" s="36"/>
      <c r="E83" s="36"/>
      <c r="F83" s="39" t="n">
        <v>2968438.1</v>
      </c>
      <c r="G83" s="34"/>
    </row>
    <row r="84" customFormat="false" ht="12.75" hidden="false" customHeight="false" outlineLevel="0" collapsed="false">
      <c r="B84" s="14" t="s">
        <v>33</v>
      </c>
      <c r="F84" s="60" t="n">
        <f aca="false">SUM(F75:F83)</f>
        <v>91828514.13</v>
      </c>
      <c r="G84" s="58" t="n">
        <f aca="false">+F84/F68</f>
        <v>0.0941908642532057</v>
      </c>
    </row>
    <row r="85" customFormat="false" ht="12.75" hidden="false" customHeight="false" outlineLevel="0" collapsed="false">
      <c r="B85" s="14"/>
      <c r="F85" s="51"/>
      <c r="G85" s="58"/>
    </row>
    <row r="86" customFormat="false" ht="12.75" hidden="false" customHeight="false" outlineLevel="0" collapsed="false">
      <c r="A86" s="35"/>
      <c r="B86" s="34" t="s">
        <v>159</v>
      </c>
      <c r="C86" s="35"/>
      <c r="D86" s="36"/>
      <c r="E86" s="36"/>
      <c r="F86" s="39" t="n">
        <v>12160503.08</v>
      </c>
      <c r="G86" s="58" t="n">
        <f aca="false">+F86/F68</f>
        <v>0.0124733401788189</v>
      </c>
    </row>
    <row r="87" customFormat="false" ht="15.75" hidden="false" customHeight="false" outlineLevel="0" collapsed="false">
      <c r="B87" s="5"/>
    </row>
    <row r="88" customFormat="false" ht="16.5" hidden="false" customHeight="false" outlineLevel="0" collapsed="false">
      <c r="B88" s="44" t="s">
        <v>34</v>
      </c>
      <c r="C88" s="45"/>
      <c r="D88" s="46"/>
      <c r="E88" s="46"/>
      <c r="F88" s="47" t="n">
        <f aca="false">+F68-F73-F84+F86</f>
        <v>827220126.28</v>
      </c>
      <c r="G88" s="59" t="n">
        <f aca="false">+F88/F68</f>
        <v>0.8485009189156</v>
      </c>
    </row>
    <row r="89" customFormat="false" ht="15.75" hidden="false" customHeight="false" outlineLevel="0" collapsed="false">
      <c r="B89" s="49"/>
      <c r="C89" s="35"/>
      <c r="D89" s="36"/>
      <c r="E89" s="36"/>
      <c r="F89" s="50"/>
    </row>
    <row r="90" customFormat="false" ht="15.75" hidden="false" customHeight="false" outlineLevel="0" collapsed="false">
      <c r="B90" s="49" t="s">
        <v>35</v>
      </c>
      <c r="C90" s="35"/>
      <c r="D90" s="36"/>
      <c r="E90" s="36"/>
      <c r="F90" s="34"/>
    </row>
    <row r="91" customFormat="false" ht="15.75" hidden="false" customHeight="false" outlineLevel="0" collapsed="false">
      <c r="B91" s="49"/>
      <c r="C91" s="35"/>
      <c r="D91" s="36"/>
      <c r="E91" s="36"/>
      <c r="F91" s="34"/>
    </row>
    <row r="92" customFormat="false" ht="12.75" hidden="false" customHeight="false" outlineLevel="0" collapsed="false">
      <c r="A92" s="35"/>
      <c r="B92" s="34" t="s">
        <v>21</v>
      </c>
      <c r="C92" s="35"/>
      <c r="D92" s="36"/>
      <c r="E92" s="36"/>
      <c r="F92" s="37" t="n">
        <v>846325629.7</v>
      </c>
      <c r="G92" s="61" t="n">
        <f aca="false">+F92/F94</f>
        <v>0.855954252729211</v>
      </c>
    </row>
    <row r="93" customFormat="false" ht="12.75" hidden="false" customHeight="false" outlineLevel="0" collapsed="false">
      <c r="B93" s="34" t="s">
        <v>22</v>
      </c>
      <c r="C93" s="35"/>
      <c r="D93" s="36"/>
      <c r="E93" s="36"/>
      <c r="F93" s="39" t="n">
        <v>142425377.73</v>
      </c>
      <c r="G93" s="61" t="n">
        <f aca="false">+F93/F94</f>
        <v>0.144045747270789</v>
      </c>
    </row>
    <row r="94" customFormat="false" ht="12.75" hidden="false" customHeight="false" outlineLevel="0" collapsed="false">
      <c r="B94" s="40" t="s">
        <v>23</v>
      </c>
      <c r="C94" s="35"/>
      <c r="D94" s="36"/>
      <c r="E94" s="36"/>
      <c r="F94" s="39" t="n">
        <f aca="false">SUM(F92:F93)</f>
        <v>988751007.43</v>
      </c>
      <c r="G94" s="58" t="n">
        <f aca="false">+F94/F94</f>
        <v>1</v>
      </c>
    </row>
    <row r="95" customFormat="false" ht="15.75" hidden="false" customHeight="false" outlineLevel="0" collapsed="false">
      <c r="B95" s="5"/>
    </row>
    <row r="96" customFormat="false" ht="12.75" hidden="false" customHeight="false" outlineLevel="0" collapsed="false">
      <c r="B96" s="34" t="s">
        <v>160</v>
      </c>
      <c r="C96" s="35"/>
      <c r="D96" s="36"/>
      <c r="E96" s="36"/>
      <c r="F96" s="33" t="n">
        <v>12908276.5</v>
      </c>
    </row>
    <row r="97" customFormat="false" ht="12.75" hidden="false" customHeight="false" outlineLevel="0" collapsed="false">
      <c r="B97" s="34" t="s">
        <v>139</v>
      </c>
      <c r="C97" s="35"/>
      <c r="D97" s="36"/>
      <c r="E97" s="36"/>
      <c r="F97" s="33" t="n">
        <v>42048639.13</v>
      </c>
    </row>
    <row r="98" customFormat="false" ht="12.75" hidden="false" customHeight="false" outlineLevel="0" collapsed="false">
      <c r="B98" s="34" t="s">
        <v>141</v>
      </c>
      <c r="C98" s="35"/>
      <c r="D98" s="36"/>
      <c r="E98" s="36"/>
      <c r="F98" s="39" t="n">
        <v>2968689.84</v>
      </c>
    </row>
    <row r="99" customFormat="false" ht="12.75" hidden="false" customHeight="false" outlineLevel="0" collapsed="false">
      <c r="B99" s="40" t="s">
        <v>41</v>
      </c>
      <c r="C99" s="35"/>
      <c r="D99" s="36"/>
      <c r="E99" s="36"/>
      <c r="F99" s="39" t="n">
        <f aca="false">SUM(F96:F98)</f>
        <v>57925605.47</v>
      </c>
      <c r="G99" s="58" t="n">
        <f aca="false">+F99/F94</f>
        <v>0.0585846234640635</v>
      </c>
    </row>
    <row r="100" customFormat="false" ht="15.75" hidden="false" customHeight="false" outlineLevel="0" collapsed="false">
      <c r="B100" s="5"/>
    </row>
    <row r="101" customFormat="false" ht="12.75" hidden="false" customHeight="false" outlineLevel="0" collapsed="false">
      <c r="B101" s="34" t="s">
        <v>161</v>
      </c>
      <c r="C101" s="35"/>
      <c r="D101" s="36"/>
      <c r="E101" s="36"/>
      <c r="F101" s="51" t="n">
        <v>1292641.39</v>
      </c>
    </row>
    <row r="102" customFormat="false" ht="12.75" hidden="false" customHeight="false" outlineLevel="0" collapsed="false">
      <c r="B102" s="34" t="s">
        <v>109</v>
      </c>
      <c r="C102" s="35"/>
      <c r="D102" s="36"/>
      <c r="E102" s="36"/>
      <c r="F102" s="51" t="n">
        <f aca="false">6303.02+256.87</f>
        <v>6559.89</v>
      </c>
    </row>
    <row r="103" customFormat="false" ht="12.75" hidden="false" customHeight="false" outlineLevel="0" collapsed="false">
      <c r="B103" s="34" t="s">
        <v>72</v>
      </c>
      <c r="C103" s="35"/>
      <c r="D103" s="36"/>
      <c r="E103" s="36"/>
      <c r="F103" s="51" t="n">
        <v>7944.92</v>
      </c>
    </row>
    <row r="104" customFormat="false" ht="12.75" hidden="false" customHeight="false" outlineLevel="0" collapsed="false">
      <c r="B104" s="34" t="s">
        <v>142</v>
      </c>
      <c r="C104" s="35"/>
      <c r="D104" s="36"/>
      <c r="E104" s="36"/>
      <c r="F104" s="51" t="n">
        <f aca="false">66132.36+76</f>
        <v>66208.36</v>
      </c>
    </row>
    <row r="105" customFormat="false" ht="12.75" hidden="false" customHeight="false" outlineLevel="0" collapsed="false">
      <c r="B105" s="34" t="s">
        <v>88</v>
      </c>
      <c r="C105" s="35"/>
      <c r="D105" s="36"/>
      <c r="E105" s="36"/>
      <c r="F105" s="51" t="n">
        <v>5473.52</v>
      </c>
    </row>
    <row r="106" customFormat="false" ht="12.75" hidden="false" customHeight="false" outlineLevel="0" collapsed="false">
      <c r="B106" s="34" t="s">
        <v>157</v>
      </c>
      <c r="C106" s="35"/>
      <c r="D106" s="36"/>
      <c r="E106" s="36"/>
      <c r="F106" s="51" t="n">
        <v>646409.69</v>
      </c>
    </row>
    <row r="107" customFormat="false" ht="12.75" hidden="false" customHeight="false" outlineLevel="0" collapsed="false">
      <c r="B107" s="34" t="s">
        <v>89</v>
      </c>
      <c r="C107" s="35"/>
      <c r="D107" s="36"/>
      <c r="E107" s="36"/>
      <c r="F107" s="51" t="n">
        <v>83643512.49</v>
      </c>
    </row>
    <row r="108" customFormat="false" ht="12.75" hidden="false" customHeight="false" outlineLevel="0" collapsed="false">
      <c r="B108" s="34" t="s">
        <v>162</v>
      </c>
      <c r="C108" s="35"/>
      <c r="D108" s="36"/>
      <c r="E108" s="36"/>
      <c r="F108" s="51" t="n">
        <v>30294.94</v>
      </c>
    </row>
    <row r="109" customFormat="false" ht="12.75" hidden="false" customHeight="false" outlineLevel="0" collapsed="false">
      <c r="B109" s="34" t="s">
        <v>113</v>
      </c>
      <c r="C109" s="35"/>
      <c r="D109" s="36"/>
      <c r="E109" s="36"/>
      <c r="F109" s="51" t="n">
        <f aca="false">171309.95+4808.47</f>
        <v>176118.42</v>
      </c>
    </row>
    <row r="110" customFormat="false" ht="12.75" hidden="false" customHeight="false" outlineLevel="0" collapsed="false">
      <c r="B110" s="34" t="s">
        <v>144</v>
      </c>
      <c r="C110" s="35"/>
      <c r="D110" s="36"/>
      <c r="E110" s="36"/>
      <c r="F110" s="51" t="n">
        <v>26.04</v>
      </c>
    </row>
    <row r="111" customFormat="false" ht="12.75" hidden="false" customHeight="false" outlineLevel="0" collapsed="false">
      <c r="B111" s="34" t="s">
        <v>145</v>
      </c>
      <c r="C111" s="35"/>
      <c r="D111" s="36"/>
      <c r="E111" s="36"/>
      <c r="F111" s="51" t="n">
        <v>51.95</v>
      </c>
    </row>
    <row r="112" customFormat="false" ht="12.75" hidden="false" customHeight="false" outlineLevel="0" collapsed="false">
      <c r="B112" s="34" t="s">
        <v>146</v>
      </c>
      <c r="C112" s="35"/>
      <c r="D112" s="36"/>
      <c r="E112" s="36"/>
      <c r="F112" s="60" t="n">
        <v>845.86</v>
      </c>
    </row>
    <row r="113" customFormat="false" ht="12.75" hidden="false" customHeight="false" outlineLevel="0" collapsed="false">
      <c r="B113" s="14" t="s">
        <v>33</v>
      </c>
      <c r="C113" s="35"/>
      <c r="D113" s="36"/>
      <c r="E113" s="36"/>
      <c r="F113" s="60" t="n">
        <f aca="false">SUM(F101:F112)</f>
        <v>85876087.47</v>
      </c>
      <c r="G113" s="58" t="n">
        <f aca="false">+F113/F94</f>
        <v>0.0868530973163936</v>
      </c>
    </row>
    <row r="114" customFormat="false" ht="15.75" hidden="false" customHeight="false" outlineLevel="0" collapsed="false">
      <c r="B114" s="5"/>
    </row>
    <row r="115" customFormat="false" ht="16.5" hidden="false" customHeight="false" outlineLevel="0" collapsed="false">
      <c r="B115" s="44" t="s">
        <v>55</v>
      </c>
      <c r="C115" s="45"/>
      <c r="D115" s="46"/>
      <c r="E115" s="46"/>
      <c r="F115" s="47" t="n">
        <f aca="false">+F94-F99-F113</f>
        <v>844949314.49</v>
      </c>
      <c r="G115" s="59" t="n">
        <f aca="false">+F115/F94</f>
        <v>0.854562279219543</v>
      </c>
    </row>
    <row r="116" customFormat="false" ht="15.75" hidden="false" customHeight="false" outlineLevel="0" collapsed="false">
      <c r="B116" s="5"/>
    </row>
    <row r="117" customFormat="false" ht="15.75" hidden="false" customHeight="false" outlineLevel="0" collapsed="false">
      <c r="B117" s="49" t="s">
        <v>114</v>
      </c>
      <c r="C117" s="35"/>
      <c r="D117" s="36"/>
      <c r="E117" s="36"/>
    </row>
    <row r="118" customFormat="false" ht="15.75" hidden="false" customHeight="false" outlineLevel="0" collapsed="false">
      <c r="B118" s="49"/>
      <c r="C118" s="35"/>
      <c r="D118" s="36"/>
      <c r="E118" s="36"/>
    </row>
    <row r="119" customFormat="false" ht="12.75" hidden="false" customHeight="false" outlineLevel="0" collapsed="false">
      <c r="B119" s="64" t="s">
        <v>116</v>
      </c>
      <c r="C119" s="35"/>
      <c r="D119" s="36"/>
      <c r="E119" s="36"/>
      <c r="F119" s="76" t="n">
        <f aca="false">+F120</f>
        <v>17729188.2099999</v>
      </c>
    </row>
    <row r="120" customFormat="false" ht="16.5" hidden="false" customHeight="false" outlineLevel="0" collapsed="false">
      <c r="B120" s="49" t="s">
        <v>117</v>
      </c>
      <c r="F120" s="65" t="n">
        <f aca="false">+F115-F88</f>
        <v>17729188.2099999</v>
      </c>
    </row>
    <row r="121" customFormat="false" ht="13.5" hidden="false" customHeight="false" outlineLevel="0" collapsed="false"/>
  </sheetData>
  <printOptions headings="false" gridLines="false" gridLinesSet="true" horizontalCentered="false" verticalCentered="false"/>
  <pageMargins left="0.5" right="0.25" top="0.5" bottom="0.5" header="0.511811023622047" footer="0"/>
  <pageSetup paperSize="1" scale="81"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March 2001</oddFooter>
  </headerFooter>
  <rowBreaks count="1" manualBreakCount="1">
    <brk id="59"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163</v>
      </c>
    </row>
    <row r="4" customFormat="false" ht="15.75" hidden="false" customHeight="false" outlineLevel="0" collapsed="false">
      <c r="B4" s="5"/>
    </row>
    <row r="5" customFormat="false" ht="16.5" hidden="false" customHeight="false" outlineLevel="0" collapsed="false">
      <c r="A5" s="5" t="s">
        <v>57</v>
      </c>
    </row>
    <row r="6" customFormat="false" ht="35.25" hidden="false" customHeight="false" outlineLevel="0" collapsed="false">
      <c r="A6" s="6" t="s">
        <v>3</v>
      </c>
      <c r="B6" s="6" t="s">
        <v>4</v>
      </c>
      <c r="C6" s="6" t="s">
        <v>5</v>
      </c>
      <c r="D6" s="7"/>
      <c r="E6" s="8"/>
      <c r="F6" s="9" t="s">
        <v>6</v>
      </c>
      <c r="G6" s="10" t="s">
        <v>7</v>
      </c>
    </row>
    <row r="7" customFormat="false" ht="12" hidden="false" customHeight="false" outlineLevel="0" collapsed="false">
      <c r="A7" s="11"/>
      <c r="B7" s="11"/>
      <c r="C7" s="11"/>
      <c r="D7" s="11"/>
      <c r="E7" s="11"/>
      <c r="F7" s="12"/>
      <c r="G7" s="11"/>
    </row>
    <row r="8" customFormat="false" ht="13.5" hidden="false" customHeight="false" outlineLevel="0" collapsed="false">
      <c r="A8" s="13"/>
      <c r="B8" s="14" t="s">
        <v>164</v>
      </c>
      <c r="C8" s="66" t="n">
        <v>36982</v>
      </c>
      <c r="D8" s="16"/>
      <c r="E8" s="16"/>
      <c r="F8" s="17" t="n">
        <v>709358606.52</v>
      </c>
      <c r="G8" s="18" t="n">
        <f aca="false">+F8/F$8</f>
        <v>1</v>
      </c>
    </row>
    <row r="9" customFormat="false" ht="13.5" hidden="false" customHeight="false" outlineLevel="0" collapsed="false">
      <c r="A9" s="13"/>
      <c r="B9" s="14"/>
      <c r="C9" s="71"/>
      <c r="D9" s="16"/>
      <c r="E9" s="16"/>
      <c r="F9" s="67"/>
      <c r="G9" s="42"/>
    </row>
    <row r="10" customFormat="false" ht="12.75" hidden="false" customHeight="false" outlineLevel="0" collapsed="false">
      <c r="A10" s="13"/>
      <c r="B10" s="14"/>
      <c r="C10" s="71"/>
      <c r="D10" s="16"/>
      <c r="E10" s="16"/>
      <c r="F10" s="67"/>
      <c r="G10" s="42"/>
    </row>
    <row r="11" customFormat="false" ht="15.75" hidden="false" customHeight="false" outlineLevel="0" collapsed="false">
      <c r="A11" s="5" t="s">
        <v>9</v>
      </c>
      <c r="C11" s="72"/>
    </row>
    <row r="12" customFormat="false" ht="16.5" hidden="false" customHeight="false" outlineLevel="0" collapsed="false">
      <c r="A12" s="5" t="s">
        <v>165</v>
      </c>
      <c r="C12" s="72"/>
    </row>
    <row r="13" customFormat="false" ht="35.25" hidden="false" customHeight="false" outlineLevel="0" collapsed="false">
      <c r="A13" s="6" t="s">
        <v>3</v>
      </c>
      <c r="B13" s="6" t="s">
        <v>4</v>
      </c>
      <c r="C13" s="73" t="s">
        <v>11</v>
      </c>
      <c r="D13" s="6" t="s">
        <v>12</v>
      </c>
      <c r="E13" s="6" t="s">
        <v>13</v>
      </c>
      <c r="F13" s="10" t="s">
        <v>14</v>
      </c>
      <c r="G13" s="10" t="s">
        <v>15</v>
      </c>
    </row>
    <row r="14" customFormat="false" ht="13.5" hidden="false" customHeight="false" outlineLevel="0" collapsed="false">
      <c r="C14" s="72"/>
    </row>
    <row r="15" customFormat="false" ht="12.75" hidden="false" customHeight="false" outlineLevel="0" collapsed="false">
      <c r="A15" s="22" t="n">
        <v>1007</v>
      </c>
      <c r="B15" s="20" t="s">
        <v>121</v>
      </c>
      <c r="C15" s="53" t="n">
        <v>37071</v>
      </c>
      <c r="D15" s="26" t="n">
        <v>15591</v>
      </c>
      <c r="E15" s="22" t="s">
        <v>94</v>
      </c>
      <c r="F15" s="54" t="n">
        <v>20921.76</v>
      </c>
      <c r="G15" s="24" t="n">
        <f aca="false">+F15/$F$47</f>
        <v>2.91698103967159E-005</v>
      </c>
    </row>
    <row r="16" customFormat="false" ht="12.75" hidden="false" customHeight="false" outlineLevel="0" collapsed="false">
      <c r="A16" s="22" t="n">
        <v>1007</v>
      </c>
      <c r="B16" s="20" t="s">
        <v>121</v>
      </c>
      <c r="C16" s="53" t="n">
        <v>37084</v>
      </c>
      <c r="D16" s="26" t="n">
        <v>15731</v>
      </c>
      <c r="E16" s="22" t="s">
        <v>94</v>
      </c>
      <c r="F16" s="54" t="n">
        <v>16.17</v>
      </c>
      <c r="G16" s="24" t="n">
        <f aca="false">+F16/$F$47</f>
        <v>2.25447493000062E-008</v>
      </c>
    </row>
    <row r="17" customFormat="false" ht="12.75" hidden="false" customHeight="false" outlineLevel="0" collapsed="false">
      <c r="A17" s="22" t="n">
        <v>2606</v>
      </c>
      <c r="B17" s="20" t="s">
        <v>99</v>
      </c>
      <c r="C17" s="53" t="n">
        <v>37071</v>
      </c>
      <c r="D17" s="26" t="n">
        <v>15553</v>
      </c>
      <c r="E17" s="22" t="s">
        <v>94</v>
      </c>
      <c r="F17" s="54" t="n">
        <v>220578.62</v>
      </c>
      <c r="G17" s="24" t="n">
        <f aca="false">+F17/$F$47</f>
        <v>0.000307538014152216</v>
      </c>
    </row>
    <row r="18" customFormat="false" ht="12.75" hidden="false" customHeight="false" outlineLevel="0" collapsed="false">
      <c r="A18" s="22" t="n">
        <v>2746</v>
      </c>
      <c r="B18" s="20" t="s">
        <v>166</v>
      </c>
      <c r="C18" s="53" t="n">
        <v>37071</v>
      </c>
      <c r="D18" s="26" t="n">
        <v>15551</v>
      </c>
      <c r="E18" s="22" t="s">
        <v>94</v>
      </c>
      <c r="F18" s="54" t="n">
        <v>221.84</v>
      </c>
      <c r="G18" s="24" t="n">
        <f aca="false">+F18/$F$47</f>
        <v>3.09296671905589E-007</v>
      </c>
    </row>
    <row r="19" customFormat="false" ht="12.75" hidden="false" customHeight="false" outlineLevel="0" collapsed="false">
      <c r="A19" s="22" t="n">
        <v>1544</v>
      </c>
      <c r="B19" s="20" t="s">
        <v>96</v>
      </c>
      <c r="C19" s="53" t="n">
        <v>37071</v>
      </c>
      <c r="D19" s="26" t="n">
        <v>15567</v>
      </c>
      <c r="E19" s="22" t="s">
        <v>94</v>
      </c>
      <c r="F19" s="54" t="n">
        <v>140656.33</v>
      </c>
      <c r="G19" s="24" t="n">
        <f aca="false">+F19/$F$47</f>
        <v>0.000196107711645574</v>
      </c>
    </row>
    <row r="20" customFormat="false" ht="12.75" hidden="false" customHeight="false" outlineLevel="0" collapsed="false">
      <c r="A20" s="22" t="n">
        <v>3106</v>
      </c>
      <c r="B20" s="20" t="s">
        <v>60</v>
      </c>
      <c r="C20" s="53" t="n">
        <v>37071</v>
      </c>
      <c r="D20" s="26" t="n">
        <v>15545</v>
      </c>
      <c r="E20" s="22" t="s">
        <v>94</v>
      </c>
      <c r="F20" s="54" t="n">
        <v>1288148.84</v>
      </c>
      <c r="G20" s="24" t="n">
        <f aca="false">+F20/$F$47</f>
        <v>0.00179597975627049</v>
      </c>
    </row>
    <row r="21" customFormat="false" ht="12.75" hidden="false" customHeight="false" outlineLevel="0" collapsed="false">
      <c r="A21" s="22" t="n">
        <v>1011</v>
      </c>
      <c r="B21" s="20" t="s">
        <v>60</v>
      </c>
      <c r="C21" s="53" t="n">
        <v>37071</v>
      </c>
      <c r="D21" s="26" t="n">
        <v>15588</v>
      </c>
      <c r="E21" s="22" t="s">
        <v>94</v>
      </c>
      <c r="F21" s="54" t="n">
        <v>171090.87</v>
      </c>
      <c r="G21" s="24" t="n">
        <f aca="false">+F21/$F$47</f>
        <v>0.000238540554834258</v>
      </c>
    </row>
    <row r="22" customFormat="false" ht="12.75" hidden="false" customHeight="false" outlineLevel="0" collapsed="false">
      <c r="A22" s="22" t="n">
        <v>2528</v>
      </c>
      <c r="B22" s="20" t="s">
        <v>97</v>
      </c>
      <c r="C22" s="53" t="n">
        <v>37071</v>
      </c>
      <c r="D22" s="26" t="n">
        <v>15556</v>
      </c>
      <c r="E22" s="22" t="s">
        <v>94</v>
      </c>
      <c r="F22" s="54" t="n">
        <v>157189.18</v>
      </c>
      <c r="G22" s="24" t="n">
        <f aca="false">+F22/$F$47</f>
        <v>0.000219158358427554</v>
      </c>
    </row>
    <row r="23" customFormat="false" ht="12.75" hidden="false" customHeight="false" outlineLevel="0" collapsed="false">
      <c r="A23" s="22" t="n">
        <v>1010</v>
      </c>
      <c r="B23" s="20" t="s">
        <v>62</v>
      </c>
      <c r="C23" s="53" t="n">
        <v>37071</v>
      </c>
      <c r="D23" s="26" t="n">
        <v>15589</v>
      </c>
      <c r="E23" s="22" t="s">
        <v>94</v>
      </c>
      <c r="F23" s="54" t="n">
        <v>3119404.25</v>
      </c>
      <c r="G23" s="24" t="n">
        <f aca="false">+F23/$F$47</f>
        <v>0.00434917667171452</v>
      </c>
    </row>
    <row r="24" customFormat="false" ht="12.75" hidden="false" customHeight="false" outlineLevel="0" collapsed="false">
      <c r="A24" s="22" t="n">
        <v>2606</v>
      </c>
      <c r="B24" s="20" t="s">
        <v>99</v>
      </c>
      <c r="C24" s="53" t="n">
        <v>37071</v>
      </c>
      <c r="D24" s="26" t="n">
        <v>15617</v>
      </c>
      <c r="E24" s="22" t="s">
        <v>17</v>
      </c>
      <c r="F24" s="54" t="n">
        <v>3410801.81</v>
      </c>
      <c r="G24" s="24" t="n">
        <f aca="false">+F24/$F$47</f>
        <v>0.00475545279644139</v>
      </c>
    </row>
    <row r="25" customFormat="false" ht="12.75" hidden="false" customHeight="false" outlineLevel="0" collapsed="false">
      <c r="A25" s="22" t="n">
        <v>2606</v>
      </c>
      <c r="B25" s="20" t="s">
        <v>99</v>
      </c>
      <c r="C25" s="53" t="n">
        <v>37084</v>
      </c>
      <c r="D25" s="26" t="n">
        <v>15758</v>
      </c>
      <c r="E25" s="22" t="s">
        <v>17</v>
      </c>
      <c r="F25" s="54" t="n">
        <v>361608.15</v>
      </c>
      <c r="G25" s="24" t="n">
        <f aca="false">+F25/$F$47</f>
        <v>0.000504166053592395</v>
      </c>
    </row>
    <row r="26" customFormat="false" ht="12.75" hidden="false" customHeight="false" outlineLevel="0" collapsed="false">
      <c r="A26" s="22" t="n">
        <v>1685</v>
      </c>
      <c r="B26" s="20" t="s">
        <v>167</v>
      </c>
      <c r="C26" s="53" t="n">
        <v>37071</v>
      </c>
      <c r="D26" s="26" t="n">
        <v>15629</v>
      </c>
      <c r="E26" s="22" t="s">
        <v>17</v>
      </c>
      <c r="F26" s="54" t="n">
        <f aca="false">10577-8.88</f>
        <v>10568.12</v>
      </c>
      <c r="G26" s="24" t="n">
        <f aca="false">+F26/$F$47</f>
        <v>1.47344227564862E-005</v>
      </c>
    </row>
    <row r="27" customFormat="false" ht="12.75" hidden="false" customHeight="false" outlineLevel="0" collapsed="false">
      <c r="A27" s="22" t="n">
        <v>1504</v>
      </c>
      <c r="B27" s="20" t="s">
        <v>150</v>
      </c>
      <c r="C27" s="53" t="n">
        <v>37071</v>
      </c>
      <c r="D27" s="26" t="n">
        <v>15635</v>
      </c>
      <c r="E27" s="22" t="s">
        <v>17</v>
      </c>
      <c r="F27" s="54" t="n">
        <v>166136.63</v>
      </c>
      <c r="G27" s="24" t="n">
        <f aca="false">+F27/$F$47</f>
        <v>0.000231633189418546</v>
      </c>
    </row>
    <row r="28" customFormat="false" ht="12.75" hidden="false" customHeight="false" outlineLevel="0" collapsed="false">
      <c r="A28" s="22" t="n">
        <v>1504</v>
      </c>
      <c r="B28" s="20" t="s">
        <v>150</v>
      </c>
      <c r="C28" s="53" t="n">
        <v>37084</v>
      </c>
      <c r="D28" s="26" t="n">
        <v>15777</v>
      </c>
      <c r="E28" s="22" t="s">
        <v>17</v>
      </c>
      <c r="F28" s="54" t="n">
        <v>1699.09</v>
      </c>
      <c r="G28" s="24" t="n">
        <f aca="false">+F28/$F$47</f>
        <v>2.36892752555025E-006</v>
      </c>
    </row>
    <row r="29" customFormat="false" ht="12.75" hidden="false" customHeight="false" outlineLevel="0" collapsed="false">
      <c r="A29" s="22" t="n">
        <v>1564</v>
      </c>
      <c r="B29" s="20" t="s">
        <v>168</v>
      </c>
      <c r="C29" s="53" t="n">
        <v>37071</v>
      </c>
      <c r="D29" s="26" t="n">
        <v>15631</v>
      </c>
      <c r="E29" s="22" t="s">
        <v>17</v>
      </c>
      <c r="F29" s="54" t="n">
        <f aca="false">3720429.56-334045.19</f>
        <v>3386384.37</v>
      </c>
      <c r="G29" s="24" t="n">
        <f aca="false">+F29/$F$47</f>
        <v>0.00472140919326588</v>
      </c>
    </row>
    <row r="30" customFormat="false" ht="12.75" hidden="false" customHeight="false" outlineLevel="0" collapsed="false">
      <c r="A30" s="74" t="n">
        <v>1017</v>
      </c>
      <c r="B30" s="75" t="s">
        <v>152</v>
      </c>
      <c r="C30" s="53" t="n">
        <v>37071</v>
      </c>
      <c r="D30" s="26" t="n">
        <v>15656</v>
      </c>
      <c r="E30" s="22" t="s">
        <v>17</v>
      </c>
      <c r="F30" s="54" t="n">
        <v>6105737.21</v>
      </c>
      <c r="G30" s="77" t="n">
        <f aca="false">+F30/$F$47</f>
        <v>0.00851282094565053</v>
      </c>
    </row>
    <row r="31" customFormat="false" ht="12.75" hidden="false" customHeight="false" outlineLevel="0" collapsed="false">
      <c r="A31" s="22" t="n">
        <v>1544</v>
      </c>
      <c r="B31" s="20" t="s">
        <v>96</v>
      </c>
      <c r="C31" s="53" t="n">
        <v>37071</v>
      </c>
      <c r="D31" s="26" t="n">
        <v>15632</v>
      </c>
      <c r="E31" s="22" t="s">
        <v>17</v>
      </c>
      <c r="F31" s="54" t="n">
        <v>4262853.17</v>
      </c>
      <c r="G31" s="24" t="n">
        <f aca="false">+F31/$F$47</f>
        <v>0.00594341100930034</v>
      </c>
    </row>
    <row r="32" customFormat="false" ht="12.75" hidden="false" customHeight="false" outlineLevel="0" collapsed="false">
      <c r="A32" s="22" t="n">
        <v>1544</v>
      </c>
      <c r="B32" s="20" t="s">
        <v>96</v>
      </c>
      <c r="C32" s="53" t="n">
        <v>37084</v>
      </c>
      <c r="D32" s="26" t="n">
        <v>15774</v>
      </c>
      <c r="E32" s="22" t="s">
        <v>17</v>
      </c>
      <c r="F32" s="54" t="n">
        <v>91010.61</v>
      </c>
      <c r="G32" s="24" t="n">
        <f aca="false">+F32/$F$47</f>
        <v>0.000126890005324096</v>
      </c>
    </row>
    <row r="33" customFormat="false" ht="12.75" hidden="false" customHeight="false" outlineLevel="0" collapsed="false">
      <c r="A33" s="22" t="n">
        <v>2531</v>
      </c>
      <c r="B33" s="20" t="s">
        <v>169</v>
      </c>
      <c r="C33" s="53" t="n">
        <v>37084</v>
      </c>
      <c r="D33" s="26" t="n">
        <v>15760</v>
      </c>
      <c r="E33" s="22" t="s">
        <v>17</v>
      </c>
      <c r="F33" s="54" t="n">
        <v>12.68</v>
      </c>
      <c r="G33" s="24" t="n">
        <f aca="false">+F33/$F$47</f>
        <v>1.76788757652491E-008</v>
      </c>
    </row>
    <row r="34" customFormat="false" ht="12.75" hidden="false" customHeight="false" outlineLevel="0" collapsed="false">
      <c r="A34" s="22" t="n">
        <v>1005</v>
      </c>
      <c r="B34" s="20" t="s">
        <v>170</v>
      </c>
      <c r="C34" s="53" t="n">
        <v>37084</v>
      </c>
      <c r="D34" s="26" t="n">
        <v>15807</v>
      </c>
      <c r="E34" s="22" t="s">
        <v>17</v>
      </c>
      <c r="F34" s="54" t="n">
        <v>204.79</v>
      </c>
      <c r="G34" s="24" t="n">
        <f aca="false">+F34/$F$47</f>
        <v>2.85524997473609E-007</v>
      </c>
    </row>
    <row r="35" customFormat="false" ht="12.75" hidden="false" customHeight="false" outlineLevel="0" collapsed="false">
      <c r="A35" s="22" t="n">
        <v>2769</v>
      </c>
      <c r="B35" s="20" t="s">
        <v>171</v>
      </c>
      <c r="C35" s="53" t="n">
        <v>37071</v>
      </c>
      <c r="D35" s="26" t="n">
        <v>15610</v>
      </c>
      <c r="E35" s="22" t="s">
        <v>17</v>
      </c>
      <c r="F35" s="54" t="n">
        <v>486576.92</v>
      </c>
      <c r="G35" s="24" t="n">
        <f aca="false">+F35/$F$47</f>
        <v>0.000678401649756905</v>
      </c>
    </row>
    <row r="36" customFormat="false" ht="12.75" hidden="false" customHeight="false" outlineLevel="0" collapsed="false">
      <c r="A36" s="22" t="n">
        <v>3106</v>
      </c>
      <c r="B36" s="20" t="s">
        <v>60</v>
      </c>
      <c r="C36" s="53" t="n">
        <v>37071</v>
      </c>
      <c r="D36" s="26" t="n">
        <v>15603</v>
      </c>
      <c r="E36" s="22" t="s">
        <v>17</v>
      </c>
      <c r="F36" s="54" t="n">
        <v>50758977.65</v>
      </c>
      <c r="G36" s="24" t="n">
        <f aca="false">+F36/$F$47</f>
        <v>0.0707698469909626</v>
      </c>
    </row>
    <row r="37" customFormat="false" ht="12.75" hidden="false" customHeight="false" outlineLevel="0" collapsed="false">
      <c r="A37" s="22" t="n">
        <v>3106</v>
      </c>
      <c r="B37" s="20" t="s">
        <v>60</v>
      </c>
      <c r="C37" s="53" t="n">
        <v>37084</v>
      </c>
      <c r="D37" s="26" t="n">
        <v>15743</v>
      </c>
      <c r="E37" s="22" t="s">
        <v>17</v>
      </c>
      <c r="F37" s="54" t="n">
        <v>256089.02</v>
      </c>
      <c r="G37" s="24" t="n">
        <f aca="false">+F37/$F$47</f>
        <v>0.000357047789386782</v>
      </c>
    </row>
    <row r="38" customFormat="false" ht="12.75" hidden="false" customHeight="false" outlineLevel="0" collapsed="false">
      <c r="A38" s="22" t="n">
        <v>3187</v>
      </c>
      <c r="B38" s="20" t="s">
        <v>172</v>
      </c>
      <c r="C38" s="53" t="n">
        <v>37071</v>
      </c>
      <c r="D38" s="26" t="n">
        <v>15599</v>
      </c>
      <c r="E38" s="22" t="s">
        <v>17</v>
      </c>
      <c r="F38" s="54" t="n">
        <v>188545375.17</v>
      </c>
      <c r="G38" s="24" t="n">
        <f aca="false">+F38/$F$47</f>
        <v>0.262876203765198</v>
      </c>
    </row>
    <row r="39" customFormat="false" ht="12.75" hidden="false" customHeight="false" outlineLevel="0" collapsed="false">
      <c r="A39" s="22" t="n">
        <v>3187</v>
      </c>
      <c r="B39" s="20" t="s">
        <v>172</v>
      </c>
      <c r="C39" s="53" t="n">
        <v>37084</v>
      </c>
      <c r="D39" s="26" t="n">
        <v>15739</v>
      </c>
      <c r="E39" s="22" t="s">
        <v>17</v>
      </c>
      <c r="F39" s="54" t="n">
        <v>8324121.67</v>
      </c>
      <c r="G39" s="24" t="n">
        <f aca="false">+F39/$F$47</f>
        <v>0.011605765998324</v>
      </c>
    </row>
    <row r="40" customFormat="false" ht="12.75" hidden="false" customHeight="false" outlineLevel="0" collapsed="false">
      <c r="A40" s="22" t="n">
        <v>3186</v>
      </c>
      <c r="B40" s="20" t="s">
        <v>172</v>
      </c>
      <c r="C40" s="53" t="n">
        <v>37071</v>
      </c>
      <c r="D40" s="26" t="n">
        <v>15600</v>
      </c>
      <c r="E40" s="22" t="s">
        <v>17</v>
      </c>
      <c r="F40" s="54" t="n">
        <v>16951713.87</v>
      </c>
      <c r="G40" s="24" t="n">
        <f aca="false">+F40/$F$47</f>
        <v>0.0236346406558186</v>
      </c>
    </row>
    <row r="41" customFormat="false" ht="12.75" hidden="false" customHeight="false" outlineLevel="0" collapsed="false">
      <c r="A41" s="22" t="n">
        <v>1011</v>
      </c>
      <c r="B41" s="20" t="s">
        <v>60</v>
      </c>
      <c r="C41" s="53" t="n">
        <v>37071</v>
      </c>
      <c r="D41" s="26" t="n">
        <v>15660</v>
      </c>
      <c r="E41" s="22" t="s">
        <v>17</v>
      </c>
      <c r="F41" s="54" t="n">
        <v>1100362.11</v>
      </c>
      <c r="G41" s="24" t="n">
        <f aca="false">+F41/$F$47</f>
        <v>0.00153416128071588</v>
      </c>
    </row>
    <row r="42" customFormat="false" ht="12.75" hidden="false" customHeight="false" outlineLevel="0" collapsed="false">
      <c r="A42" s="22" t="n">
        <v>2528</v>
      </c>
      <c r="B42" s="20" t="s">
        <v>97</v>
      </c>
      <c r="C42" s="53" t="n">
        <v>37084</v>
      </c>
      <c r="D42" s="26" t="n">
        <v>15762</v>
      </c>
      <c r="E42" s="22" t="s">
        <v>17</v>
      </c>
      <c r="F42" s="54" t="n">
        <v>3576.11</v>
      </c>
      <c r="G42" s="24" t="n">
        <f aca="false">+F42/$F$47</f>
        <v>4.98593094738683E-006</v>
      </c>
    </row>
    <row r="43" customFormat="false" ht="12.75" hidden="false" customHeight="false" outlineLevel="0" collapsed="false">
      <c r="A43" s="22" t="n">
        <v>1010</v>
      </c>
      <c r="B43" s="20" t="s">
        <v>62</v>
      </c>
      <c r="C43" s="53" t="n">
        <v>37071</v>
      </c>
      <c r="D43" s="26" t="n">
        <v>15661</v>
      </c>
      <c r="E43" s="22" t="s">
        <v>17</v>
      </c>
      <c r="F43" s="54" t="n">
        <v>427893504.99</v>
      </c>
      <c r="G43" s="24" t="n">
        <f aca="false">+F43/$F$47</f>
        <v>0.596583289863976</v>
      </c>
    </row>
    <row r="44" customFormat="false" ht="12.75" hidden="false" customHeight="false" outlineLevel="0" collapsed="false">
      <c r="A44" s="22" t="n">
        <v>1024</v>
      </c>
      <c r="B44" s="20" t="s">
        <v>122</v>
      </c>
      <c r="C44" s="53" t="n">
        <v>37071</v>
      </c>
      <c r="D44" s="26" t="n">
        <v>15651</v>
      </c>
      <c r="E44" s="22" t="s">
        <v>17</v>
      </c>
      <c r="F44" s="54" t="n">
        <v>2885.2</v>
      </c>
      <c r="G44" s="24" t="n">
        <f aca="false">+F44/$F$47</f>
        <v>4.02264135314643E-006</v>
      </c>
    </row>
    <row r="45" customFormat="false" ht="12.75" hidden="false" customHeight="false" outlineLevel="0" collapsed="false">
      <c r="A45" s="22" t="n">
        <v>1024</v>
      </c>
      <c r="B45" s="20" t="s">
        <v>122</v>
      </c>
      <c r="C45" s="53" t="n">
        <v>37084</v>
      </c>
      <c r="D45" s="26" t="n">
        <v>15793</v>
      </c>
      <c r="E45" s="22" t="s">
        <v>17</v>
      </c>
      <c r="F45" s="27" t="n">
        <v>1750.76</v>
      </c>
      <c r="G45" s="28" t="n">
        <f aca="false">+F45/$F$47</f>
        <v>2.44096755006053E-006</v>
      </c>
    </row>
    <row r="46" customFormat="false" ht="12.75" hidden="false" customHeight="false" outlineLevel="0" collapsed="false">
      <c r="A46" s="29"/>
      <c r="B46" s="30"/>
      <c r="C46" s="31"/>
      <c r="D46" s="29"/>
      <c r="E46" s="32"/>
      <c r="F46" s="33"/>
      <c r="G46" s="34"/>
    </row>
    <row r="47" customFormat="false" ht="13.5" hidden="false" customHeight="false" outlineLevel="0" collapsed="false">
      <c r="B47" s="14" t="s">
        <v>18</v>
      </c>
      <c r="F47" s="17" t="n">
        <f aca="false">SUM(F15:F45)</f>
        <v>717240177.96</v>
      </c>
      <c r="G47" s="18" t="n">
        <f aca="false">+F47/F47</f>
        <v>1</v>
      </c>
    </row>
    <row r="48" customFormat="false" ht="13.5" hidden="false" customHeight="false" outlineLevel="0" collapsed="false">
      <c r="B48" s="14"/>
      <c r="F48" s="67"/>
      <c r="G48" s="42"/>
    </row>
    <row r="49" customFormat="false" ht="12.75" hidden="false" customHeight="false" outlineLevel="0" collapsed="false">
      <c r="B49" s="14"/>
      <c r="F49" s="67"/>
      <c r="G49" s="42"/>
    </row>
    <row r="50" customFormat="false" ht="12.75" hidden="false" customHeight="false" outlineLevel="0" collapsed="false">
      <c r="B50" s="55" t="s">
        <v>64</v>
      </c>
      <c r="F50" s="67"/>
      <c r="G50" s="42"/>
    </row>
    <row r="52" customFormat="false" ht="15.75" hidden="false" customHeight="false" outlineLevel="0" collapsed="false">
      <c r="B52" s="5" t="str">
        <f aca="false">+B1</f>
        <v>Certification for Market Settlement September 28, 2001</v>
      </c>
    </row>
    <row r="53" customFormat="false" ht="15.75" hidden="false" customHeight="false" outlineLevel="0" collapsed="false">
      <c r="B53" s="5"/>
    </row>
    <row r="54" customFormat="false" ht="15.75" hidden="false" customHeight="false" outlineLevel="0" collapsed="false">
      <c r="B54" s="5" t="str">
        <f aca="false">+B3</f>
        <v>For the Trade Month of April 2001</v>
      </c>
    </row>
    <row r="55" customFormat="false" ht="15.75" hidden="false" customHeight="false" outlineLevel="0" collapsed="false">
      <c r="B55" s="5"/>
    </row>
    <row r="56" customFormat="false" ht="15.75" hidden="false" customHeight="false" outlineLevel="0" collapsed="false">
      <c r="B56" s="5"/>
    </row>
    <row r="57" customFormat="false" ht="15.75" hidden="false" customHeight="false" outlineLevel="0" collapsed="false">
      <c r="B57" s="5" t="s">
        <v>20</v>
      </c>
    </row>
    <row r="58" customFormat="false" ht="15.75" hidden="false" customHeight="false" outlineLevel="0" collapsed="false">
      <c r="B58" s="5"/>
    </row>
    <row r="59" customFormat="false" ht="12.75" hidden="false" customHeight="false" outlineLevel="0" collapsed="false">
      <c r="B59" s="34" t="s">
        <v>21</v>
      </c>
      <c r="C59" s="35"/>
      <c r="D59" s="36"/>
      <c r="E59" s="36"/>
      <c r="F59" s="37" t="n">
        <v>782081536.4</v>
      </c>
      <c r="G59" s="56" t="n">
        <f aca="false">+F59/F61</f>
        <v>0.986125008464263</v>
      </c>
    </row>
    <row r="60" customFormat="false" ht="12.75" hidden="false" customHeight="false" outlineLevel="0" collapsed="false">
      <c r="B60" s="34" t="s">
        <v>22</v>
      </c>
      <c r="C60" s="35"/>
      <c r="D60" s="36"/>
      <c r="E60" s="36"/>
      <c r="F60" s="39" t="n">
        <v>11004055.88</v>
      </c>
      <c r="G60" s="56" t="n">
        <f aca="false">+F60/F61</f>
        <v>0.013874991535737</v>
      </c>
    </row>
    <row r="61" customFormat="false" ht="12.75" hidden="false" customHeight="false" outlineLevel="0" collapsed="false">
      <c r="B61" s="40" t="s">
        <v>23</v>
      </c>
      <c r="C61" s="35"/>
      <c r="D61" s="36"/>
      <c r="E61" s="36"/>
      <c r="F61" s="39" t="n">
        <f aca="false">SUM(F59:F60)</f>
        <v>793085592.28</v>
      </c>
      <c r="G61" s="58" t="n">
        <f aca="false">+F61/F61</f>
        <v>1</v>
      </c>
    </row>
    <row r="62" customFormat="false" ht="15.75" hidden="false" customHeight="false" outlineLevel="0" collapsed="false">
      <c r="B62" s="5"/>
    </row>
    <row r="63" customFormat="false" ht="12.75" hidden="false" customHeight="false" outlineLevel="0" collapsed="false">
      <c r="B63" s="34" t="s">
        <v>173</v>
      </c>
      <c r="C63" s="35"/>
      <c r="D63" s="36"/>
      <c r="E63" s="36"/>
      <c r="F63" s="33" t="n">
        <v>59675885.69</v>
      </c>
    </row>
    <row r="64" customFormat="false" ht="12.75" hidden="false" customHeight="false" outlineLevel="0" collapsed="false">
      <c r="B64" s="34" t="s">
        <v>130</v>
      </c>
      <c r="C64" s="35"/>
      <c r="D64" s="36"/>
      <c r="E64" s="36"/>
      <c r="F64" s="33" t="n">
        <f aca="false">724101.32+3717.88</f>
        <v>727819.2</v>
      </c>
    </row>
    <row r="65" customFormat="false" ht="12.75" hidden="false" customHeight="false" outlineLevel="0" collapsed="false">
      <c r="B65" s="34" t="s">
        <v>130</v>
      </c>
      <c r="C65" s="35"/>
      <c r="D65" s="36"/>
      <c r="E65" s="36"/>
      <c r="F65" s="39" t="n">
        <v>16643322.31</v>
      </c>
    </row>
    <row r="66" customFormat="false" ht="12.75" hidden="false" customHeight="false" outlineLevel="0" collapsed="false">
      <c r="B66" s="40" t="s">
        <v>28</v>
      </c>
      <c r="C66" s="35"/>
      <c r="D66" s="36"/>
      <c r="E66" s="36"/>
      <c r="F66" s="39" t="n">
        <f aca="false">SUM(F63:F65)</f>
        <v>77047027.2</v>
      </c>
      <c r="G66" s="58" t="n">
        <f aca="false">+F66/F61</f>
        <v>0.0971484388948506</v>
      </c>
    </row>
    <row r="67" customFormat="false" ht="15.75" hidden="false" customHeight="false" outlineLevel="0" collapsed="false">
      <c r="B67" s="5"/>
    </row>
    <row r="68" customFormat="false" ht="12.75" hidden="false" customHeight="false" outlineLevel="0" collapsed="false">
      <c r="A68" s="35"/>
      <c r="B68" s="34" t="s">
        <v>132</v>
      </c>
      <c r="C68" s="35"/>
      <c r="D68" s="36"/>
      <c r="E68" s="36"/>
      <c r="F68" s="33" t="n">
        <v>23446.77</v>
      </c>
      <c r="G68" s="34"/>
    </row>
    <row r="69" customFormat="false" ht="12.75" hidden="false" customHeight="false" outlineLevel="0" collapsed="false">
      <c r="A69" s="35"/>
      <c r="B69" s="34" t="s">
        <v>158</v>
      </c>
      <c r="C69" s="35"/>
      <c r="D69" s="36"/>
      <c r="E69" s="36"/>
      <c r="F69" s="33" t="n">
        <f aca="false">18586.04+1701.48</f>
        <v>20287.52</v>
      </c>
      <c r="G69" s="34"/>
    </row>
    <row r="70" customFormat="false" ht="12.75" hidden="false" customHeight="false" outlineLevel="0" collapsed="false">
      <c r="A70" s="35"/>
      <c r="B70" s="34" t="s">
        <v>75</v>
      </c>
      <c r="C70" s="35"/>
      <c r="D70" s="36"/>
      <c r="E70" s="36"/>
      <c r="F70" s="33" t="n">
        <f aca="false">171309.95+4808.47</f>
        <v>176118.42</v>
      </c>
      <c r="G70" s="34"/>
    </row>
    <row r="71" customFormat="false" ht="12.75" hidden="false" customHeight="false" outlineLevel="0" collapsed="false">
      <c r="A71" s="35"/>
      <c r="B71" s="34" t="s">
        <v>76</v>
      </c>
      <c r="C71" s="35"/>
      <c r="D71" s="36"/>
      <c r="E71" s="36"/>
      <c r="F71" s="33" t="n">
        <f aca="false">3183507.98+4743.92-3717.88</f>
        <v>3184534.02</v>
      </c>
      <c r="G71" s="34"/>
    </row>
    <row r="72" customFormat="false" ht="12.75" hidden="false" customHeight="false" outlineLevel="0" collapsed="false">
      <c r="A72" s="35"/>
      <c r="B72" s="34" t="s">
        <v>174</v>
      </c>
      <c r="C72" s="35"/>
      <c r="D72" s="36"/>
      <c r="E72" s="36"/>
      <c r="F72" s="33" t="n">
        <v>9967.98</v>
      </c>
      <c r="G72" s="34"/>
    </row>
    <row r="73" customFormat="false" ht="12.75" hidden="false" customHeight="false" outlineLevel="0" collapsed="false">
      <c r="A73" s="35"/>
      <c r="B73" s="34" t="s">
        <v>77</v>
      </c>
      <c r="C73" s="35"/>
      <c r="D73" s="36"/>
      <c r="E73" s="36"/>
      <c r="F73" s="33" t="n">
        <f aca="false">169976.54+9221.99</f>
        <v>179198.53</v>
      </c>
      <c r="G73" s="34"/>
    </row>
    <row r="74" customFormat="false" ht="12.75" hidden="false" customHeight="false" outlineLevel="0" collapsed="false">
      <c r="A74" s="35"/>
      <c r="B74" s="34" t="s">
        <v>78</v>
      </c>
      <c r="C74" s="35"/>
      <c r="D74" s="36"/>
      <c r="E74" s="36"/>
      <c r="F74" s="39" t="n">
        <v>323061.74</v>
      </c>
      <c r="G74" s="34"/>
    </row>
    <row r="75" customFormat="false" ht="12.75" hidden="false" customHeight="false" outlineLevel="0" collapsed="false">
      <c r="B75" s="14" t="s">
        <v>33</v>
      </c>
      <c r="F75" s="60" t="n">
        <f aca="false">SUM(F68:F74)</f>
        <v>3916614.98</v>
      </c>
      <c r="G75" s="58" t="n">
        <f aca="false">+F75/F61</f>
        <v>0.00493845181166428</v>
      </c>
    </row>
    <row r="76" customFormat="false" ht="12.75" hidden="false" customHeight="false" outlineLevel="0" collapsed="false">
      <c r="B76" s="14"/>
      <c r="F76" s="51"/>
      <c r="G76" s="58"/>
    </row>
    <row r="77" customFormat="false" ht="12.75" hidden="false" customHeight="false" outlineLevel="0" collapsed="false">
      <c r="A77" s="35"/>
      <c r="B77" s="34" t="s">
        <v>175</v>
      </c>
      <c r="C77" s="35"/>
      <c r="D77" s="36"/>
      <c r="E77" s="36"/>
      <c r="F77" s="39" t="n">
        <v>5118227.86</v>
      </c>
      <c r="G77" s="58" t="n">
        <f aca="false">+F77/F61</f>
        <v>0.00645356303256736</v>
      </c>
    </row>
    <row r="78" customFormat="false" ht="15.75" hidden="false" customHeight="false" outlineLevel="0" collapsed="false">
      <c r="B78" s="5"/>
    </row>
    <row r="79" customFormat="false" ht="16.5" hidden="false" customHeight="false" outlineLevel="0" collapsed="false">
      <c r="B79" s="44" t="s">
        <v>34</v>
      </c>
      <c r="C79" s="45"/>
      <c r="D79" s="46"/>
      <c r="E79" s="46"/>
      <c r="F79" s="47" t="n">
        <f aca="false">+F61-F66-F75+F77</f>
        <v>717240177.96</v>
      </c>
      <c r="G79" s="59" t="n">
        <f aca="false">+F79/F61</f>
        <v>0.904366672326052</v>
      </c>
    </row>
    <row r="80" customFormat="false" ht="15.75" hidden="false" customHeight="false" outlineLevel="0" collapsed="false">
      <c r="B80" s="49"/>
      <c r="C80" s="35"/>
      <c r="D80" s="36"/>
      <c r="E80" s="36"/>
      <c r="F80" s="50"/>
    </row>
    <row r="81" customFormat="false" ht="15.75" hidden="false" customHeight="false" outlineLevel="0" collapsed="false">
      <c r="B81" s="5"/>
    </row>
    <row r="82" customFormat="false" ht="15.75" hidden="false" customHeight="false" outlineLevel="0" collapsed="false">
      <c r="B82" s="49" t="s">
        <v>35</v>
      </c>
      <c r="C82" s="35"/>
      <c r="D82" s="36"/>
      <c r="E82" s="36"/>
      <c r="F82" s="34"/>
    </row>
    <row r="83" customFormat="false" ht="15.75" hidden="false" customHeight="false" outlineLevel="0" collapsed="false">
      <c r="B83" s="49"/>
      <c r="C83" s="35"/>
      <c r="D83" s="36"/>
      <c r="E83" s="36"/>
      <c r="F83" s="34"/>
    </row>
    <row r="84" customFormat="false" ht="12.75" hidden="false" customHeight="false" outlineLevel="0" collapsed="false">
      <c r="A84" s="35"/>
      <c r="B84" s="34" t="s">
        <v>21</v>
      </c>
      <c r="C84" s="35"/>
      <c r="D84" s="36"/>
      <c r="E84" s="36"/>
      <c r="F84" s="37" t="n">
        <v>781819933.97</v>
      </c>
      <c r="G84" s="61" t="n">
        <f aca="false">+F84/F86</f>
        <v>0.995923128014252</v>
      </c>
    </row>
    <row r="85" customFormat="false" ht="12.75" hidden="false" customHeight="false" outlineLevel="0" collapsed="false">
      <c r="B85" s="34" t="s">
        <v>22</v>
      </c>
      <c r="C85" s="35"/>
      <c r="D85" s="36"/>
      <c r="E85" s="36"/>
      <c r="F85" s="39" t="n">
        <v>3200427.52</v>
      </c>
      <c r="G85" s="61" t="n">
        <f aca="false">+F85/F86</f>
        <v>0.00407687198574756</v>
      </c>
    </row>
    <row r="86" customFormat="false" ht="12.75" hidden="false" customHeight="false" outlineLevel="0" collapsed="false">
      <c r="B86" s="40" t="s">
        <v>23</v>
      </c>
      <c r="C86" s="35"/>
      <c r="D86" s="36"/>
      <c r="E86" s="36"/>
      <c r="F86" s="39" t="n">
        <f aca="false">SUM(F84:F85)</f>
        <v>785020361.49</v>
      </c>
      <c r="G86" s="58" t="n">
        <f aca="false">+F86/F86</f>
        <v>1</v>
      </c>
    </row>
    <row r="87" customFormat="false" ht="15.75" hidden="false" customHeight="false" outlineLevel="0" collapsed="false">
      <c r="B87" s="5"/>
    </row>
    <row r="88" customFormat="false" ht="12.75" hidden="false" customHeight="false" outlineLevel="0" collapsed="false">
      <c r="B88" s="34" t="s">
        <v>176</v>
      </c>
      <c r="C88" s="35"/>
      <c r="D88" s="36"/>
      <c r="E88" s="36"/>
      <c r="F88" s="33" t="n">
        <v>53933943.25</v>
      </c>
    </row>
    <row r="89" customFormat="false" ht="12.75" hidden="false" customHeight="false" outlineLevel="0" collapsed="false">
      <c r="B89" s="34" t="s">
        <v>177</v>
      </c>
      <c r="C89" s="35"/>
      <c r="D89" s="36"/>
      <c r="E89" s="36"/>
      <c r="F89" s="33" t="n">
        <v>1302886.05</v>
      </c>
    </row>
    <row r="90" customFormat="false" ht="12.75" hidden="false" customHeight="false" outlineLevel="0" collapsed="false">
      <c r="B90" s="34" t="s">
        <v>140</v>
      </c>
      <c r="C90" s="35"/>
      <c r="D90" s="36"/>
      <c r="E90" s="36"/>
      <c r="F90" s="39" t="n">
        <v>16774321.14</v>
      </c>
    </row>
    <row r="91" customFormat="false" ht="12.75" hidden="false" customHeight="false" outlineLevel="0" collapsed="false">
      <c r="B91" s="40" t="s">
        <v>41</v>
      </c>
      <c r="C91" s="35"/>
      <c r="D91" s="36"/>
      <c r="E91" s="36"/>
      <c r="F91" s="39" t="n">
        <f aca="false">SUM(F88:F90)</f>
        <v>72011150.44</v>
      </c>
      <c r="G91" s="58" t="n">
        <f aca="false">+F91/F86</f>
        <v>0.0917315702529294</v>
      </c>
    </row>
    <row r="92" customFormat="false" ht="15.75" hidden="false" customHeight="false" outlineLevel="0" collapsed="false">
      <c r="B92" s="5"/>
    </row>
    <row r="93" customFormat="false" ht="12.75" hidden="false" customHeight="false" outlineLevel="0" collapsed="false">
      <c r="B93" s="34" t="s">
        <v>109</v>
      </c>
      <c r="C93" s="35"/>
      <c r="D93" s="36"/>
      <c r="E93" s="36"/>
      <c r="F93" s="51" t="n">
        <v>24785.08</v>
      </c>
    </row>
    <row r="94" customFormat="false" ht="12.75" hidden="false" customHeight="false" outlineLevel="0" collapsed="false">
      <c r="B94" s="34" t="s">
        <v>72</v>
      </c>
      <c r="C94" s="35"/>
      <c r="D94" s="36"/>
      <c r="E94" s="36"/>
      <c r="F94" s="51" t="n">
        <v>2376.69</v>
      </c>
    </row>
    <row r="95" customFormat="false" ht="12.75" hidden="false" customHeight="false" outlineLevel="0" collapsed="false">
      <c r="B95" s="34" t="s">
        <v>88</v>
      </c>
      <c r="C95" s="35"/>
      <c r="D95" s="36"/>
      <c r="E95" s="36"/>
      <c r="F95" s="51" t="n">
        <v>10525.68</v>
      </c>
    </row>
    <row r="96" customFormat="false" ht="12.75" hidden="false" customHeight="false" outlineLevel="0" collapsed="false">
      <c r="B96" s="34" t="s">
        <v>142</v>
      </c>
      <c r="C96" s="35"/>
      <c r="D96" s="36"/>
      <c r="E96" s="36"/>
      <c r="F96" s="51" t="n">
        <v>1513.5</v>
      </c>
    </row>
    <row r="97" customFormat="false" ht="12.75" hidden="false" customHeight="false" outlineLevel="0" collapsed="false">
      <c r="B97" s="34" t="s">
        <v>89</v>
      </c>
      <c r="C97" s="35"/>
      <c r="D97" s="36"/>
      <c r="E97" s="36"/>
      <c r="F97" s="51" t="n">
        <v>205.19</v>
      </c>
    </row>
    <row r="98" customFormat="false" ht="12.75" hidden="false" customHeight="false" outlineLevel="0" collapsed="false">
      <c r="B98" s="34" t="s">
        <v>113</v>
      </c>
      <c r="C98" s="35"/>
      <c r="D98" s="36"/>
      <c r="E98" s="36"/>
      <c r="F98" s="51" t="n">
        <f aca="false">3188251.9-3717.88</f>
        <v>3184534.02</v>
      </c>
    </row>
    <row r="99" customFormat="false" ht="12.75" hidden="false" customHeight="false" outlineLevel="0" collapsed="false">
      <c r="B99" s="34" t="s">
        <v>162</v>
      </c>
      <c r="C99" s="35"/>
      <c r="D99" s="36"/>
      <c r="E99" s="36"/>
      <c r="F99" s="51" t="n">
        <v>358212.75</v>
      </c>
    </row>
    <row r="100" customFormat="false" ht="12.75" hidden="false" customHeight="false" outlineLevel="0" collapsed="false">
      <c r="B100" s="34" t="s">
        <v>178</v>
      </c>
      <c r="C100" s="35"/>
      <c r="D100" s="36"/>
      <c r="E100" s="36"/>
      <c r="F100" s="51" t="n">
        <v>9950.21</v>
      </c>
    </row>
    <row r="101" customFormat="false" ht="12.75" hidden="false" customHeight="false" outlineLevel="0" collapsed="false">
      <c r="B101" s="34" t="s">
        <v>144</v>
      </c>
      <c r="C101" s="35"/>
      <c r="D101" s="36"/>
      <c r="E101" s="36"/>
      <c r="F101" s="51" t="n">
        <v>6264.07</v>
      </c>
    </row>
    <row r="102" customFormat="false" ht="12.75" hidden="false" customHeight="false" outlineLevel="0" collapsed="false">
      <c r="B102" s="34" t="s">
        <v>179</v>
      </c>
      <c r="C102" s="35"/>
      <c r="D102" s="36"/>
      <c r="E102" s="36"/>
      <c r="F102" s="60" t="n">
        <v>52237.34</v>
      </c>
    </row>
    <row r="103" customFormat="false" ht="12.75" hidden="false" customHeight="false" outlineLevel="0" collapsed="false">
      <c r="B103" s="14" t="s">
        <v>33</v>
      </c>
      <c r="C103" s="35"/>
      <c r="D103" s="36"/>
      <c r="E103" s="36"/>
      <c r="F103" s="60" t="n">
        <f aca="false">SUM(F93:F102)</f>
        <v>3650604.53</v>
      </c>
      <c r="G103" s="58" t="n">
        <f aca="false">+F103/F86</f>
        <v>0.00465033100933969</v>
      </c>
    </row>
    <row r="104" customFormat="false" ht="15.75" hidden="false" customHeight="false" outlineLevel="0" collapsed="false">
      <c r="B104" s="5"/>
    </row>
    <row r="105" customFormat="false" ht="16.5" hidden="false" customHeight="false" outlineLevel="0" collapsed="false">
      <c r="B105" s="44" t="s">
        <v>55</v>
      </c>
      <c r="C105" s="45"/>
      <c r="D105" s="46"/>
      <c r="E105" s="46"/>
      <c r="F105" s="47" t="n">
        <f aca="false">+F86-F91-F103</f>
        <v>709358606.52</v>
      </c>
      <c r="G105" s="59" t="n">
        <f aca="false">+F105/F86</f>
        <v>0.903618098737731</v>
      </c>
    </row>
    <row r="106" customFormat="false" ht="15.75" hidden="false" customHeight="false" outlineLevel="0" collapsed="false">
      <c r="B106" s="5"/>
    </row>
  </sheetData>
  <printOptions headings="false" gridLines="false" gridLinesSet="true" horizontalCentered="false" verticalCentered="false"/>
  <pageMargins left="0.5" right="0.25" top="0.5" bottom="0.5" header="0.511811023622047" footer="0"/>
  <pageSetup paperSize="1" scale="92"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April 2001</oddFooter>
  </headerFooter>
  <rowBreaks count="1" manualBreakCount="1">
    <brk id="51"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41"/>
    <col collapsed="false" customWidth="true" hidden="false" outlineLevel="0" max="5" min="5" style="2" width="4.41"/>
    <col collapsed="false" customWidth="true" hidden="false" outlineLevel="0" max="6" min="6" style="0" width="22.56"/>
    <col collapsed="false" customWidth="true" hidden="false" outlineLevel="0" max="7" min="7" style="0" width="12.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180</v>
      </c>
    </row>
    <row r="4" customFormat="false" ht="15.75" hidden="false" customHeight="false" outlineLevel="0" collapsed="false">
      <c r="B4" s="5"/>
    </row>
    <row r="5" customFormat="false" ht="15.75" hidden="false" customHeight="false" outlineLevel="0" collapsed="false">
      <c r="B5" s="5"/>
    </row>
    <row r="6" customFormat="false" ht="16.5" hidden="false" customHeight="false" outlineLevel="0" collapsed="false">
      <c r="A6" s="5" t="s">
        <v>57</v>
      </c>
    </row>
    <row r="7" customFormat="false" ht="35.25" hidden="false" customHeight="false" outlineLevel="0" collapsed="false">
      <c r="A7" s="6" t="s">
        <v>3</v>
      </c>
      <c r="B7" s="6" t="s">
        <v>4</v>
      </c>
      <c r="C7" s="6" t="s">
        <v>5</v>
      </c>
      <c r="D7" s="7"/>
      <c r="E7" s="8"/>
      <c r="F7" s="9" t="s">
        <v>6</v>
      </c>
      <c r="G7" s="10" t="s">
        <v>7</v>
      </c>
    </row>
    <row r="8" customFormat="false" ht="12" hidden="false" customHeight="false" outlineLevel="0" collapsed="false">
      <c r="A8" s="11"/>
      <c r="B8" s="11"/>
      <c r="C8" s="11"/>
      <c r="D8" s="11"/>
      <c r="E8" s="11"/>
      <c r="F8" s="12"/>
      <c r="G8" s="11"/>
    </row>
    <row r="9" customFormat="false" ht="13.5" hidden="false" customHeight="false" outlineLevel="0" collapsed="false">
      <c r="A9" s="13"/>
      <c r="B9" s="14" t="s">
        <v>181</v>
      </c>
      <c r="C9" s="66" t="n">
        <v>37012</v>
      </c>
      <c r="D9" s="16"/>
      <c r="E9" s="16"/>
      <c r="F9" s="17" t="n">
        <v>569932330.5</v>
      </c>
      <c r="G9" s="18" t="n">
        <f aca="false">+F9/F$9</f>
        <v>1</v>
      </c>
    </row>
    <row r="10" customFormat="false" ht="13.5" hidden="false" customHeight="false" outlineLevel="0" collapsed="false">
      <c r="A10" s="13"/>
      <c r="B10" s="14"/>
      <c r="C10" s="71"/>
      <c r="D10" s="16"/>
      <c r="E10" s="16"/>
      <c r="F10" s="67"/>
      <c r="G10" s="42"/>
    </row>
    <row r="11" customFormat="false" ht="12.75" hidden="false" customHeight="false" outlineLevel="0" collapsed="false">
      <c r="A11" s="13"/>
      <c r="B11" s="14"/>
      <c r="C11" s="71"/>
      <c r="D11" s="16"/>
      <c r="E11" s="16"/>
      <c r="F11" s="67"/>
      <c r="G11" s="42"/>
    </row>
    <row r="12" customFormat="false" ht="12.75" hidden="false" customHeight="false" outlineLevel="0" collapsed="false">
      <c r="A12" s="13"/>
      <c r="B12" s="13"/>
      <c r="C12" s="78"/>
      <c r="D12" s="16"/>
      <c r="E12" s="16"/>
      <c r="F12" s="67"/>
      <c r="G12" s="42"/>
    </row>
    <row r="13" customFormat="false" ht="15.75" hidden="false" customHeight="false" outlineLevel="0" collapsed="false">
      <c r="A13" s="5" t="s">
        <v>9</v>
      </c>
      <c r="C13" s="72"/>
    </row>
    <row r="14" customFormat="false" ht="16.5" hidden="false" customHeight="false" outlineLevel="0" collapsed="false">
      <c r="A14" s="5" t="s">
        <v>182</v>
      </c>
      <c r="C14" s="72"/>
    </row>
    <row r="15" customFormat="false" ht="24" hidden="false" customHeight="false" outlineLevel="0" collapsed="false">
      <c r="A15" s="6" t="s">
        <v>3</v>
      </c>
      <c r="B15" s="6" t="s">
        <v>4</v>
      </c>
      <c r="C15" s="73" t="s">
        <v>11</v>
      </c>
      <c r="D15" s="6" t="s">
        <v>12</v>
      </c>
      <c r="E15" s="6" t="s">
        <v>13</v>
      </c>
      <c r="F15" s="10" t="s">
        <v>14</v>
      </c>
      <c r="G15" s="10" t="s">
        <v>15</v>
      </c>
    </row>
    <row r="16" customFormat="false" ht="13.5" hidden="false" customHeight="false" outlineLevel="0" collapsed="false">
      <c r="C16" s="72"/>
    </row>
    <row r="17" customFormat="false" ht="12.75" hidden="false" customHeight="false" outlineLevel="0" collapsed="false">
      <c r="A17" s="22" t="n">
        <v>1007</v>
      </c>
      <c r="B17" s="20" t="s">
        <v>121</v>
      </c>
      <c r="C17" s="53" t="n">
        <v>37097</v>
      </c>
      <c r="D17" s="74" t="n">
        <v>15887</v>
      </c>
      <c r="E17" s="22" t="s">
        <v>94</v>
      </c>
      <c r="F17" s="54" t="n">
        <v>47461.45</v>
      </c>
      <c r="G17" s="24" t="n">
        <f aca="false">+F17/$F$52</f>
        <v>8.34997080087618E-005</v>
      </c>
    </row>
    <row r="18" customFormat="false" ht="12.75" hidden="false" customHeight="false" outlineLevel="0" collapsed="false">
      <c r="A18" s="22" t="n">
        <v>2606</v>
      </c>
      <c r="B18" s="20" t="s">
        <v>99</v>
      </c>
      <c r="C18" s="53" t="n">
        <v>37097</v>
      </c>
      <c r="D18" s="74" t="n">
        <v>15855</v>
      </c>
      <c r="E18" s="22" t="s">
        <v>94</v>
      </c>
      <c r="F18" s="54" t="n">
        <v>128935.29</v>
      </c>
      <c r="G18" s="24" t="n">
        <f aca="false">+F18/$F$52</f>
        <v>0.000226837972017817</v>
      </c>
    </row>
    <row r="19" customFormat="false" ht="12.75" hidden="false" customHeight="false" outlineLevel="0" collapsed="false">
      <c r="A19" s="22" t="n">
        <v>1544</v>
      </c>
      <c r="B19" s="20" t="s">
        <v>96</v>
      </c>
      <c r="C19" s="53" t="n">
        <v>37097</v>
      </c>
      <c r="D19" s="74" t="n">
        <v>15868</v>
      </c>
      <c r="E19" s="22" t="s">
        <v>94</v>
      </c>
      <c r="F19" s="54" t="n">
        <v>135747.91</v>
      </c>
      <c r="G19" s="24" t="n">
        <f aca="false">+F19/$F$52</f>
        <v>0.000238823526204945</v>
      </c>
    </row>
    <row r="20" customFormat="false" ht="12.75" hidden="false" customHeight="false" outlineLevel="0" collapsed="false">
      <c r="A20" s="22" t="n">
        <v>2528</v>
      </c>
      <c r="B20" s="20" t="s">
        <v>97</v>
      </c>
      <c r="C20" s="53" t="n">
        <v>37097</v>
      </c>
      <c r="D20" s="74" t="n">
        <v>15857</v>
      </c>
      <c r="E20" s="22" t="s">
        <v>94</v>
      </c>
      <c r="F20" s="54" t="n">
        <v>238119.93</v>
      </c>
      <c r="G20" s="24" t="n">
        <f aca="false">+F20/$F$52</f>
        <v>0.000418928301306993</v>
      </c>
    </row>
    <row r="21" customFormat="false" ht="12.75" hidden="false" customHeight="false" outlineLevel="0" collapsed="false">
      <c r="A21" s="22" t="n">
        <v>1010</v>
      </c>
      <c r="B21" s="20" t="s">
        <v>62</v>
      </c>
      <c r="C21" s="53" t="n">
        <v>37097</v>
      </c>
      <c r="D21" s="74" t="n">
        <v>15886</v>
      </c>
      <c r="E21" s="22" t="s">
        <v>94</v>
      </c>
      <c r="F21" s="54" t="n">
        <v>2918351.14</v>
      </c>
      <c r="G21" s="24" t="n">
        <f aca="false">+F21/$F$52</f>
        <v>0.00513430306189628</v>
      </c>
    </row>
    <row r="22" customFormat="false" ht="12.75" hidden="false" customHeight="false" outlineLevel="0" collapsed="false">
      <c r="A22" s="22" t="n">
        <v>1010</v>
      </c>
      <c r="B22" s="20" t="s">
        <v>62</v>
      </c>
      <c r="C22" s="53" t="n">
        <v>37116</v>
      </c>
      <c r="D22" s="74" t="n">
        <v>16026</v>
      </c>
      <c r="E22" s="22" t="s">
        <v>94</v>
      </c>
      <c r="F22" s="54" t="n">
        <v>7917.83</v>
      </c>
      <c r="G22" s="24" t="n">
        <f aca="false">+F22/$F$52</f>
        <v>1.39299682808472E-005</v>
      </c>
    </row>
    <row r="23" customFormat="false" ht="12.75" hidden="false" customHeight="false" outlineLevel="0" collapsed="false">
      <c r="A23" s="22" t="n">
        <v>1007</v>
      </c>
      <c r="B23" s="20" t="s">
        <v>121</v>
      </c>
      <c r="C23" s="53" t="n">
        <v>37097</v>
      </c>
      <c r="D23" s="74" t="n">
        <v>15973</v>
      </c>
      <c r="E23" s="22" t="s">
        <v>17</v>
      </c>
      <c r="F23" s="54" t="n">
        <v>789564.01</v>
      </c>
      <c r="G23" s="24" t="n">
        <f aca="false">+F23/$F$52</f>
        <v>0.00138909292255561</v>
      </c>
    </row>
    <row r="24" customFormat="false" ht="12.75" hidden="false" customHeight="false" outlineLevel="0" collapsed="false">
      <c r="A24" s="22" t="n">
        <v>2606</v>
      </c>
      <c r="B24" s="20" t="s">
        <v>99</v>
      </c>
      <c r="C24" s="53" t="n">
        <v>37097</v>
      </c>
      <c r="D24" s="74" t="n">
        <v>15918</v>
      </c>
      <c r="E24" s="22" t="s">
        <v>17</v>
      </c>
      <c r="F24" s="54" t="n">
        <v>2175341.47</v>
      </c>
      <c r="G24" s="24" t="n">
        <f aca="false">+F24/$F$52</f>
        <v>0.00382711395383729</v>
      </c>
    </row>
    <row r="25" customFormat="false" ht="12.75" hidden="false" customHeight="false" outlineLevel="0" collapsed="false">
      <c r="A25" s="22" t="n">
        <v>2606</v>
      </c>
      <c r="B25" s="20" t="s">
        <v>99</v>
      </c>
      <c r="C25" s="53" t="n">
        <v>37116</v>
      </c>
      <c r="D25" s="74" t="n">
        <v>16059</v>
      </c>
      <c r="E25" s="22" t="s">
        <v>17</v>
      </c>
      <c r="F25" s="54" t="n">
        <v>183772.95</v>
      </c>
      <c r="G25" s="24" t="n">
        <f aca="false">+F25/$F$52</f>
        <v>0.000323314767351372</v>
      </c>
    </row>
    <row r="26" customFormat="false" ht="12.75" hidden="false" customHeight="false" outlineLevel="0" collapsed="false">
      <c r="A26" s="22" t="n">
        <v>1164</v>
      </c>
      <c r="B26" s="20" t="s">
        <v>183</v>
      </c>
      <c r="C26" s="53" t="n">
        <v>37097</v>
      </c>
      <c r="D26" s="74" t="n">
        <v>15954</v>
      </c>
      <c r="E26" s="22" t="s">
        <v>17</v>
      </c>
      <c r="F26" s="54" t="n">
        <v>5754</v>
      </c>
      <c r="G26" s="24" t="n">
        <f aca="false">+F26/$F$52</f>
        <v>1.01231066451281E-005</v>
      </c>
    </row>
    <row r="27" customFormat="false" ht="12.75" hidden="false" customHeight="false" outlineLevel="0" collapsed="false">
      <c r="A27" s="22" t="n">
        <v>1504</v>
      </c>
      <c r="B27" s="20" t="s">
        <v>150</v>
      </c>
      <c r="C27" s="53" t="n">
        <v>37097</v>
      </c>
      <c r="D27" s="74" t="n">
        <v>15940</v>
      </c>
      <c r="E27" s="22" t="s">
        <v>17</v>
      </c>
      <c r="F27" s="54" t="n">
        <v>24028.63</v>
      </c>
      <c r="G27" s="24" t="n">
        <f aca="false">+F27/$F$52</f>
        <v>4.22739631606404E-005</v>
      </c>
    </row>
    <row r="28" customFormat="false" ht="12.75" hidden="false" customHeight="false" outlineLevel="0" collapsed="false">
      <c r="A28" s="22" t="n">
        <v>1504</v>
      </c>
      <c r="B28" s="20" t="s">
        <v>150</v>
      </c>
      <c r="C28" s="53" t="n">
        <v>37116</v>
      </c>
      <c r="D28" s="74" t="n">
        <v>16081</v>
      </c>
      <c r="E28" s="22" t="s">
        <v>17</v>
      </c>
      <c r="F28" s="54" t="n">
        <v>728.62</v>
      </c>
      <c r="G28" s="24" t="n">
        <f aca="false">+F28/$F$52</f>
        <v>1.28187312543852E-006</v>
      </c>
    </row>
    <row r="29" customFormat="false" ht="12.75" hidden="false" customHeight="false" outlineLevel="0" collapsed="false">
      <c r="A29" s="22" t="n">
        <v>1103</v>
      </c>
      <c r="B29" s="20" t="s">
        <v>125</v>
      </c>
      <c r="C29" s="53" t="n">
        <v>37116</v>
      </c>
      <c r="D29" s="74" t="n">
        <v>16099</v>
      </c>
      <c r="E29" s="22" t="s">
        <v>17</v>
      </c>
      <c r="F29" s="54" t="n">
        <v>246916.66</v>
      </c>
      <c r="G29" s="24" t="n">
        <f aca="false">+F29/$F$52</f>
        <v>0.000434404532783948</v>
      </c>
    </row>
    <row r="30" customFormat="false" ht="12.75" hidden="false" customHeight="false" outlineLevel="0" collapsed="false">
      <c r="A30" s="74" t="n">
        <v>2746</v>
      </c>
      <c r="B30" s="75" t="s">
        <v>166</v>
      </c>
      <c r="C30" s="53" t="n">
        <v>37097</v>
      </c>
      <c r="D30" s="74" t="n">
        <v>15912</v>
      </c>
      <c r="E30" s="22" t="s">
        <v>17</v>
      </c>
      <c r="F30" s="54" t="n">
        <v>174563.55</v>
      </c>
      <c r="G30" s="77" t="n">
        <f aca="false">+F30/$F$52</f>
        <v>0.000307112518769926</v>
      </c>
    </row>
    <row r="31" customFormat="false" ht="12.75" hidden="false" customHeight="false" outlineLevel="0" collapsed="false">
      <c r="A31" s="74" t="n">
        <v>1017</v>
      </c>
      <c r="B31" s="75" t="s">
        <v>152</v>
      </c>
      <c r="C31" s="53" t="n">
        <v>37097</v>
      </c>
      <c r="D31" s="74" t="n">
        <v>15966</v>
      </c>
      <c r="E31" s="22" t="s">
        <v>17</v>
      </c>
      <c r="F31" s="54" t="n">
        <v>17134041.28</v>
      </c>
      <c r="G31" s="77" t="n">
        <f aca="false">+F31/$F$52</f>
        <v>0.0301442000589968</v>
      </c>
    </row>
    <row r="32" customFormat="false" ht="12.75" hidden="false" customHeight="false" outlineLevel="0" collapsed="false">
      <c r="A32" s="74" t="n">
        <v>1017</v>
      </c>
      <c r="B32" s="75" t="s">
        <v>152</v>
      </c>
      <c r="C32" s="53" t="n">
        <v>37116</v>
      </c>
      <c r="D32" s="74" t="n">
        <v>16107</v>
      </c>
      <c r="E32" s="22" t="s">
        <v>17</v>
      </c>
      <c r="F32" s="54" t="n">
        <v>1142298.74</v>
      </c>
      <c r="G32" s="77" t="n">
        <f aca="false">+F32/$F$52</f>
        <v>0.00200966492276946</v>
      </c>
    </row>
    <row r="33" customFormat="false" ht="12.75" hidden="false" customHeight="false" outlineLevel="0" collapsed="false">
      <c r="A33" s="22" t="n">
        <v>1544</v>
      </c>
      <c r="B33" s="20" t="s">
        <v>96</v>
      </c>
      <c r="C33" s="53" t="n">
        <v>37097</v>
      </c>
      <c r="D33" s="74" t="n">
        <v>15937</v>
      </c>
      <c r="E33" s="22" t="s">
        <v>17</v>
      </c>
      <c r="F33" s="54" t="n">
        <v>2379488.09</v>
      </c>
      <c r="G33" s="24" t="n">
        <f aca="false">+F33/$F$52</f>
        <v>0.00418627245322944</v>
      </c>
    </row>
    <row r="34" customFormat="false" ht="12.75" hidden="false" customHeight="false" outlineLevel="0" collapsed="false">
      <c r="A34" s="22" t="n">
        <v>1544</v>
      </c>
      <c r="B34" s="20" t="s">
        <v>96</v>
      </c>
      <c r="C34" s="53" t="n">
        <v>37116</v>
      </c>
      <c r="D34" s="74" t="n">
        <v>16078</v>
      </c>
      <c r="E34" s="22" t="s">
        <v>17</v>
      </c>
      <c r="F34" s="54" t="n">
        <v>121739.8</v>
      </c>
      <c r="G34" s="24" t="n">
        <f aca="false">+F34/$F$52</f>
        <v>0.00021417882835533</v>
      </c>
    </row>
    <row r="35" customFormat="false" ht="12.75" hidden="false" customHeight="false" outlineLevel="0" collapsed="false">
      <c r="A35" s="22" t="n">
        <v>1185</v>
      </c>
      <c r="B35" s="20" t="s">
        <v>184</v>
      </c>
      <c r="C35" s="53" t="n">
        <v>37097</v>
      </c>
      <c r="D35" s="74" t="n">
        <v>15951</v>
      </c>
      <c r="E35" s="22" t="s">
        <v>17</v>
      </c>
      <c r="F35" s="54" t="n">
        <v>127593.07</v>
      </c>
      <c r="G35" s="24" t="n">
        <f aca="false">+F35/$F$52</f>
        <v>0.000224476582340858</v>
      </c>
    </row>
    <row r="36" customFormat="false" ht="12.75" hidden="false" customHeight="false" outlineLevel="0" collapsed="false">
      <c r="A36" s="22" t="n">
        <v>1005</v>
      </c>
      <c r="B36" s="20" t="s">
        <v>170</v>
      </c>
      <c r="C36" s="53" t="n">
        <v>37097</v>
      </c>
      <c r="D36" s="74" t="n">
        <v>15975</v>
      </c>
      <c r="E36" s="22" t="s">
        <v>17</v>
      </c>
      <c r="F36" s="54" t="n">
        <v>162.71</v>
      </c>
      <c r="G36" s="24" t="n">
        <f aca="false">+F36/$F$52</f>
        <v>2.86258373692874E-007</v>
      </c>
    </row>
    <row r="37" customFormat="false" ht="12.75" hidden="false" customHeight="false" outlineLevel="0" collapsed="false">
      <c r="A37" s="22" t="n">
        <v>2769</v>
      </c>
      <c r="B37" s="20" t="s">
        <v>171</v>
      </c>
      <c r="C37" s="53" t="n">
        <v>37097</v>
      </c>
      <c r="D37" s="74" t="n">
        <v>15910</v>
      </c>
      <c r="E37" s="22" t="s">
        <v>17</v>
      </c>
      <c r="F37" s="54" t="n">
        <v>154882.82</v>
      </c>
      <c r="G37" s="24" t="n">
        <f aca="false">+F37/$F$52</f>
        <v>0.000272487887444939</v>
      </c>
    </row>
    <row r="38" customFormat="false" ht="12.75" hidden="false" customHeight="false" outlineLevel="0" collapsed="false">
      <c r="A38" s="22" t="n">
        <v>3186</v>
      </c>
      <c r="B38" s="20" t="s">
        <v>172</v>
      </c>
      <c r="C38" s="53" t="n">
        <v>37097</v>
      </c>
      <c r="D38" s="74" t="n">
        <v>15898</v>
      </c>
      <c r="E38" s="22" t="s">
        <v>17</v>
      </c>
      <c r="F38" s="54" t="n">
        <v>12040135.13</v>
      </c>
      <c r="G38" s="24" t="n">
        <f aca="false">+F38/$F$52</f>
        <v>0.0211824073588362</v>
      </c>
    </row>
    <row r="39" customFormat="false" ht="12.75" hidden="false" customHeight="false" outlineLevel="0" collapsed="false">
      <c r="A39" s="22" t="n">
        <v>3186</v>
      </c>
      <c r="B39" s="20" t="s">
        <v>172</v>
      </c>
      <c r="C39" s="53" t="n">
        <v>37116</v>
      </c>
      <c r="D39" s="74" t="n">
        <v>16039</v>
      </c>
      <c r="E39" s="22" t="s">
        <v>17</v>
      </c>
      <c r="F39" s="54" t="n">
        <v>969428.32</v>
      </c>
      <c r="G39" s="24" t="n">
        <f aca="false">+F39/$F$52</f>
        <v>0.00170553115539927</v>
      </c>
    </row>
    <row r="40" customFormat="false" ht="12.75" hidden="false" customHeight="false" outlineLevel="0" collapsed="false">
      <c r="A40" s="22" t="n">
        <v>3187</v>
      </c>
      <c r="B40" s="20" t="s">
        <v>172</v>
      </c>
      <c r="C40" s="53" t="n">
        <v>37097</v>
      </c>
      <c r="D40" s="74" t="n">
        <v>15897</v>
      </c>
      <c r="E40" s="22" t="s">
        <v>17</v>
      </c>
      <c r="F40" s="54" t="n">
        <v>243608942.53</v>
      </c>
      <c r="G40" s="24" t="n">
        <f aca="false">+F40/$F$52</f>
        <v>0.428585211146694</v>
      </c>
    </row>
    <row r="41" customFormat="false" ht="12.75" hidden="false" customHeight="false" outlineLevel="0" collapsed="false">
      <c r="A41" s="22" t="n">
        <v>1012</v>
      </c>
      <c r="B41" s="20" t="s">
        <v>185</v>
      </c>
      <c r="C41" s="53" t="n">
        <v>37097</v>
      </c>
      <c r="D41" s="74" t="n">
        <v>15969</v>
      </c>
      <c r="E41" s="22" t="s">
        <v>17</v>
      </c>
      <c r="F41" s="54" t="n">
        <f aca="false">85181.41-32249.38</f>
        <v>52932.03</v>
      </c>
      <c r="G41" s="24" t="n">
        <f aca="false">+F41/$F$52</f>
        <v>9.31241891958847E-005</v>
      </c>
    </row>
    <row r="42" customFormat="false" ht="12.75" hidden="false" customHeight="false" outlineLevel="0" collapsed="false">
      <c r="A42" s="22" t="n">
        <v>2666</v>
      </c>
      <c r="B42" s="20" t="s">
        <v>186</v>
      </c>
      <c r="C42" s="53" t="n">
        <v>37097</v>
      </c>
      <c r="D42" s="74" t="n">
        <v>15915</v>
      </c>
      <c r="E42" s="22" t="s">
        <v>17</v>
      </c>
      <c r="F42" s="54" t="n">
        <v>10.02</v>
      </c>
      <c r="G42" s="24" t="n">
        <f aca="false">+F42/$F$52</f>
        <v>1.762835046649E-008</v>
      </c>
    </row>
    <row r="43" customFormat="false" ht="12.75" hidden="false" customHeight="false" outlineLevel="0" collapsed="false">
      <c r="A43" s="22" t="n">
        <v>2626</v>
      </c>
      <c r="B43" s="20" t="s">
        <v>187</v>
      </c>
      <c r="C43" s="53" t="n">
        <v>37097</v>
      </c>
      <c r="D43" s="74" t="n">
        <v>15917</v>
      </c>
      <c r="E43" s="22" t="s">
        <v>17</v>
      </c>
      <c r="F43" s="54" t="n">
        <f aca="false">28483.79-26.04</f>
        <v>28457.75</v>
      </c>
      <c r="G43" s="24" t="n">
        <f aca="false">+F43/$F$52</f>
        <v>5.00661866754248E-005</v>
      </c>
    </row>
    <row r="44" customFormat="false" ht="12.75" hidden="false" customHeight="false" outlineLevel="0" collapsed="false">
      <c r="A44" s="22" t="n">
        <v>2528</v>
      </c>
      <c r="B44" s="20" t="s">
        <v>97</v>
      </c>
      <c r="C44" s="53" t="n">
        <v>37097</v>
      </c>
      <c r="D44" s="74" t="n">
        <v>15922</v>
      </c>
      <c r="E44" s="22" t="s">
        <v>17</v>
      </c>
      <c r="F44" s="54" t="n">
        <v>5187.76</v>
      </c>
      <c r="G44" s="24" t="n">
        <f aca="false">+F44/$F$52</f>
        <v>9.1269113189659E-006</v>
      </c>
    </row>
    <row r="45" customFormat="false" ht="12.75" hidden="false" customHeight="false" outlineLevel="0" collapsed="false">
      <c r="A45" s="22" t="n">
        <v>1008</v>
      </c>
      <c r="B45" s="20" t="s">
        <v>61</v>
      </c>
      <c r="C45" s="53" t="n">
        <v>37097</v>
      </c>
      <c r="D45" s="74" t="n">
        <v>15972</v>
      </c>
      <c r="E45" s="22" t="s">
        <v>17</v>
      </c>
      <c r="F45" s="54" t="n">
        <v>2580.99</v>
      </c>
      <c r="G45" s="24" t="n">
        <f aca="false">+F45/$F$52</f>
        <v>4.54077807090879E-006</v>
      </c>
    </row>
    <row r="46" customFormat="false" ht="12.75" hidden="false" customHeight="false" outlineLevel="0" collapsed="false">
      <c r="A46" s="22" t="n">
        <v>1010</v>
      </c>
      <c r="B46" s="20" t="s">
        <v>62</v>
      </c>
      <c r="C46" s="53" t="n">
        <v>37097</v>
      </c>
      <c r="D46" s="74" t="n">
        <v>15971</v>
      </c>
      <c r="E46" s="22" t="s">
        <v>17</v>
      </c>
      <c r="F46" s="54" t="n">
        <v>275597626.93</v>
      </c>
      <c r="G46" s="24" t="n">
        <f aca="false">+F46/$F$52</f>
        <v>0.484863428668165</v>
      </c>
    </row>
    <row r="47" customFormat="false" ht="12.75" hidden="false" customHeight="false" outlineLevel="0" collapsed="false">
      <c r="A47" s="22" t="n">
        <v>1010</v>
      </c>
      <c r="B47" s="20" t="s">
        <v>62</v>
      </c>
      <c r="C47" s="53" t="n">
        <v>37116</v>
      </c>
      <c r="D47" s="74" t="n">
        <v>16112</v>
      </c>
      <c r="E47" s="22" t="s">
        <v>17</v>
      </c>
      <c r="F47" s="54" t="n">
        <v>7735653.83</v>
      </c>
      <c r="G47" s="24" t="n">
        <f aca="false">+F47/$F$52</f>
        <v>0.0136094627547591</v>
      </c>
    </row>
    <row r="48" customFormat="false" ht="12.75" hidden="false" customHeight="false" outlineLevel="0" collapsed="false">
      <c r="A48" s="22" t="n">
        <v>2767</v>
      </c>
      <c r="B48" s="20" t="s">
        <v>188</v>
      </c>
      <c r="C48" s="53" t="n">
        <v>37097</v>
      </c>
      <c r="D48" s="74" t="n">
        <v>15911</v>
      </c>
      <c r="E48" s="22" t="s">
        <v>17</v>
      </c>
      <c r="F48" s="54" t="n">
        <v>121.08</v>
      </c>
      <c r="G48" s="24" t="n">
        <f aca="false">+F48/$F$52</f>
        <v>2.1301803138549E-007</v>
      </c>
    </row>
    <row r="49" customFormat="false" ht="12.75" hidden="false" customHeight="false" outlineLevel="0" collapsed="false">
      <c r="A49" s="22" t="n">
        <v>2767</v>
      </c>
      <c r="B49" s="20" t="s">
        <v>188</v>
      </c>
      <c r="C49" s="53" t="n">
        <v>37116</v>
      </c>
      <c r="D49" s="74" t="n">
        <v>16052</v>
      </c>
      <c r="E49" s="22" t="s">
        <v>17</v>
      </c>
      <c r="F49" s="54" t="n">
        <v>154.38</v>
      </c>
      <c r="G49" s="24" t="n">
        <f aca="false">+F49/$F$52</f>
        <v>2.71603267965742E-007</v>
      </c>
    </row>
    <row r="50" customFormat="false" ht="12.75" hidden="false" customHeight="false" outlineLevel="0" collapsed="false">
      <c r="A50" s="22" t="n">
        <v>3207</v>
      </c>
      <c r="B50" s="20" t="s">
        <v>189</v>
      </c>
      <c r="C50" s="53" t="n">
        <v>37116</v>
      </c>
      <c r="D50" s="74" t="n">
        <v>16034</v>
      </c>
      <c r="E50" s="22" t="s">
        <v>17</v>
      </c>
      <c r="F50" s="27" t="n">
        <f aca="false">232692.9-8747.15</f>
        <v>223945.75</v>
      </c>
      <c r="G50" s="28" t="n">
        <f aca="false">+F50/$F$52</f>
        <v>0.000393991433780535</v>
      </c>
    </row>
    <row r="51" customFormat="false" ht="12.75" hidden="false" customHeight="false" outlineLevel="0" collapsed="false">
      <c r="A51" s="29"/>
      <c r="B51" s="30"/>
      <c r="C51" s="31"/>
      <c r="D51" s="32"/>
      <c r="E51" s="32"/>
      <c r="F51" s="33"/>
      <c r="G51" s="34"/>
    </row>
    <row r="52" customFormat="false" ht="13.5" hidden="false" customHeight="false" outlineLevel="0" collapsed="false">
      <c r="B52" s="14" t="s">
        <v>18</v>
      </c>
      <c r="F52" s="17" t="n">
        <f aca="false">SUM(F17:F51)</f>
        <v>568402586.45</v>
      </c>
      <c r="G52" s="18" t="n">
        <f aca="false">+F52/F52</f>
        <v>1</v>
      </c>
    </row>
    <row r="53" customFormat="false" ht="13.5" hidden="false" customHeight="false" outlineLevel="0" collapsed="false">
      <c r="B53" s="14"/>
      <c r="F53" s="67"/>
      <c r="G53" s="42"/>
    </row>
    <row r="54" customFormat="false" ht="12.75" hidden="false" customHeight="false" outlineLevel="0" collapsed="false">
      <c r="A54" s="68"/>
      <c r="B54" s="69"/>
      <c r="C54" s="70"/>
      <c r="D54" s="36"/>
      <c r="E54" s="68"/>
      <c r="F54" s="33"/>
      <c r="G54" s="38"/>
    </row>
    <row r="55" customFormat="false" ht="12.75" hidden="false" customHeight="false" outlineLevel="0" collapsed="false">
      <c r="B55" s="55" t="s">
        <v>64</v>
      </c>
      <c r="C55" s="72"/>
    </row>
    <row r="57" customFormat="false" ht="15.75" hidden="false" customHeight="false" outlineLevel="0" collapsed="false">
      <c r="B57" s="5" t="str">
        <f aca="false">+B1</f>
        <v>Certification for Market Settlement September 28, 2001</v>
      </c>
    </row>
    <row r="58" customFormat="false" ht="15.75" hidden="false" customHeight="false" outlineLevel="0" collapsed="false">
      <c r="B58" s="5"/>
    </row>
    <row r="59" customFormat="false" ht="15.75" hidden="false" customHeight="false" outlineLevel="0" collapsed="false">
      <c r="B59" s="5" t="str">
        <f aca="false">+B3</f>
        <v>For the Trade Month of May 2001</v>
      </c>
    </row>
    <row r="60" customFormat="false" ht="15.75" hidden="false" customHeight="false" outlineLevel="0" collapsed="false">
      <c r="B60" s="5"/>
    </row>
    <row r="61" customFormat="false" ht="15.75" hidden="false" customHeight="false" outlineLevel="0" collapsed="false">
      <c r="B61" s="5"/>
    </row>
    <row r="62" customFormat="false" ht="15.75" hidden="false" customHeight="false" outlineLevel="0" collapsed="false">
      <c r="B62" s="5" t="s">
        <v>20</v>
      </c>
    </row>
    <row r="63" customFormat="false" ht="15.75" hidden="false" customHeight="false" outlineLevel="0" collapsed="false">
      <c r="B63" s="5"/>
    </row>
    <row r="64" customFormat="false" ht="12.75" hidden="false" customHeight="false" outlineLevel="0" collapsed="false">
      <c r="B64" s="34" t="s">
        <v>21</v>
      </c>
      <c r="C64" s="35"/>
      <c r="D64" s="36"/>
      <c r="E64" s="36"/>
      <c r="F64" s="37" t="n">
        <v>629206074.5</v>
      </c>
      <c r="G64" s="56" t="n">
        <f aca="false">+F64/F66</f>
        <v>0.974717777325345</v>
      </c>
    </row>
    <row r="65" customFormat="false" ht="12.75" hidden="false" customHeight="false" outlineLevel="0" collapsed="false">
      <c r="B65" s="34" t="s">
        <v>22</v>
      </c>
      <c r="C65" s="35"/>
      <c r="D65" s="36"/>
      <c r="E65" s="36"/>
      <c r="F65" s="39" t="n">
        <v>16320342.62</v>
      </c>
      <c r="G65" s="56" t="n">
        <f aca="false">+F65/F66</f>
        <v>0.0252822226746549</v>
      </c>
    </row>
    <row r="66" customFormat="false" ht="12.75" hidden="false" customHeight="false" outlineLevel="0" collapsed="false">
      <c r="B66" s="40" t="s">
        <v>23</v>
      </c>
      <c r="C66" s="35"/>
      <c r="D66" s="36"/>
      <c r="E66" s="36"/>
      <c r="F66" s="39" t="n">
        <f aca="false">SUM(F64:F65)</f>
        <v>645526417.12</v>
      </c>
      <c r="G66" s="58" t="n">
        <f aca="false">+F66/F66</f>
        <v>1</v>
      </c>
    </row>
    <row r="67" customFormat="false" ht="15.75" hidden="false" customHeight="false" outlineLevel="0" collapsed="false">
      <c r="B67" s="5"/>
    </row>
    <row r="68" customFormat="false" ht="12.75" hidden="false" customHeight="false" outlineLevel="0" collapsed="false">
      <c r="B68" s="34" t="s">
        <v>190</v>
      </c>
      <c r="C68" s="35"/>
      <c r="D68" s="36"/>
      <c r="E68" s="36"/>
      <c r="F68" s="33" t="n">
        <v>38626846.89</v>
      </c>
    </row>
    <row r="69" customFormat="false" ht="12.75" hidden="false" customHeight="false" outlineLevel="0" collapsed="false">
      <c r="B69" s="34" t="s">
        <v>191</v>
      </c>
      <c r="C69" s="35"/>
      <c r="D69" s="36"/>
      <c r="E69" s="36"/>
      <c r="F69" s="33" t="n">
        <v>21768339.24</v>
      </c>
    </row>
    <row r="70" customFormat="false" ht="12.75" hidden="false" customHeight="false" outlineLevel="0" collapsed="false">
      <c r="B70" s="34" t="s">
        <v>192</v>
      </c>
      <c r="C70" s="35"/>
      <c r="D70" s="36"/>
      <c r="E70" s="36"/>
      <c r="F70" s="39" t="n">
        <v>795036.39</v>
      </c>
    </row>
    <row r="71" customFormat="false" ht="12.75" hidden="false" customHeight="false" outlineLevel="0" collapsed="false">
      <c r="B71" s="40" t="s">
        <v>28</v>
      </c>
      <c r="C71" s="35"/>
      <c r="D71" s="36"/>
      <c r="E71" s="36"/>
      <c r="F71" s="39" t="n">
        <f aca="false">SUM(F68:F70)</f>
        <v>61190222.52</v>
      </c>
      <c r="G71" s="58" t="n">
        <f aca="false">+F71/F66</f>
        <v>0.0947911981557605</v>
      </c>
    </row>
    <row r="72" customFormat="false" ht="15.75" hidden="false" customHeight="false" outlineLevel="0" collapsed="false">
      <c r="B72" s="5"/>
    </row>
    <row r="73" customFormat="false" ht="12.75" hidden="false" customHeight="false" outlineLevel="0" collapsed="false">
      <c r="A73" s="35"/>
      <c r="B73" s="34" t="s">
        <v>74</v>
      </c>
      <c r="C73" s="35"/>
      <c r="D73" s="36"/>
      <c r="E73" s="36"/>
      <c r="F73" s="33" t="n">
        <v>11567.12</v>
      </c>
      <c r="G73" s="34"/>
    </row>
    <row r="74" customFormat="false" ht="12.75" hidden="false" customHeight="false" outlineLevel="0" collapsed="false">
      <c r="A74" s="35"/>
      <c r="B74" s="34" t="s">
        <v>193</v>
      </c>
      <c r="C74" s="35"/>
      <c r="D74" s="36"/>
      <c r="E74" s="36"/>
      <c r="F74" s="33" t="n">
        <v>26.04</v>
      </c>
      <c r="G74" s="34"/>
    </row>
    <row r="75" customFormat="false" ht="12.75" hidden="false" customHeight="false" outlineLevel="0" collapsed="false">
      <c r="A75" s="35"/>
      <c r="B75" s="34" t="s">
        <v>194</v>
      </c>
      <c r="C75" s="35"/>
      <c r="D75" s="36"/>
      <c r="E75" s="36"/>
      <c r="F75" s="33" t="n">
        <v>52237.34</v>
      </c>
      <c r="G75" s="34"/>
    </row>
    <row r="76" customFormat="false" ht="12.75" hidden="false" customHeight="false" outlineLevel="0" collapsed="false">
      <c r="A76" s="35"/>
      <c r="B76" s="34" t="s">
        <v>179</v>
      </c>
      <c r="C76" s="35"/>
      <c r="D76" s="36"/>
      <c r="E76" s="36"/>
      <c r="F76" s="33" t="n">
        <v>2137665.47</v>
      </c>
      <c r="G76" s="34"/>
    </row>
    <row r="77" customFormat="false" ht="12.75" hidden="false" customHeight="false" outlineLevel="0" collapsed="false">
      <c r="A77" s="35"/>
      <c r="B77" s="34" t="s">
        <v>77</v>
      </c>
      <c r="C77" s="35"/>
      <c r="D77" s="36"/>
      <c r="E77" s="36"/>
      <c r="F77" s="33" t="n">
        <v>15208557.91</v>
      </c>
      <c r="G77" s="34"/>
    </row>
    <row r="78" customFormat="false" ht="12.75" hidden="false" customHeight="false" outlineLevel="0" collapsed="false">
      <c r="A78" s="35"/>
      <c r="B78" s="34" t="s">
        <v>78</v>
      </c>
      <c r="C78" s="35"/>
      <c r="D78" s="36"/>
      <c r="E78" s="36"/>
      <c r="F78" s="39" t="n">
        <v>2000087.82</v>
      </c>
      <c r="G78" s="34"/>
    </row>
    <row r="79" customFormat="false" ht="12.75" hidden="false" customHeight="false" outlineLevel="0" collapsed="false">
      <c r="B79" s="14" t="s">
        <v>33</v>
      </c>
      <c r="F79" s="60" t="n">
        <f aca="false">SUM(F73:F78)</f>
        <v>19410141.7</v>
      </c>
      <c r="G79" s="58" t="n">
        <f aca="false">+F79/F66</f>
        <v>0.030068702357059</v>
      </c>
    </row>
    <row r="80" customFormat="false" ht="12.75" hidden="false" customHeight="false" outlineLevel="0" collapsed="false">
      <c r="B80" s="14"/>
      <c r="F80" s="51"/>
      <c r="G80" s="58"/>
    </row>
    <row r="81" customFormat="false" ht="12.75" hidden="false" customHeight="false" outlineLevel="0" collapsed="false">
      <c r="A81" s="35"/>
      <c r="B81" s="34" t="s">
        <v>195</v>
      </c>
      <c r="C81" s="35"/>
      <c r="D81" s="36"/>
      <c r="E81" s="36"/>
      <c r="F81" s="39" t="n">
        <v>3476533.55</v>
      </c>
      <c r="G81" s="58" t="n">
        <f aca="false">+F81/F66</f>
        <v>0.00538557905269078</v>
      </c>
    </row>
    <row r="82" customFormat="false" ht="15.75" hidden="false" customHeight="false" outlineLevel="0" collapsed="false">
      <c r="B82" s="5"/>
    </row>
    <row r="83" customFormat="false" ht="16.5" hidden="false" customHeight="false" outlineLevel="0" collapsed="false">
      <c r="B83" s="44" t="s">
        <v>34</v>
      </c>
      <c r="C83" s="45"/>
      <c r="D83" s="46"/>
      <c r="E83" s="46"/>
      <c r="F83" s="47" t="n">
        <f aca="false">+F66-F71-F79+F81</f>
        <v>568402586.45</v>
      </c>
      <c r="G83" s="59" t="n">
        <f aca="false">+F83/F66</f>
        <v>0.880525678539871</v>
      </c>
    </row>
    <row r="84" customFormat="false" ht="15.75" hidden="false" customHeight="false" outlineLevel="0" collapsed="false">
      <c r="B84" s="49"/>
      <c r="C84" s="35"/>
      <c r="D84" s="36"/>
      <c r="E84" s="36"/>
      <c r="F84" s="50"/>
    </row>
    <row r="85" customFormat="false" ht="15.75" hidden="false" customHeight="false" outlineLevel="0" collapsed="false">
      <c r="B85" s="5"/>
    </row>
    <row r="86" customFormat="false" ht="15.75" hidden="false" customHeight="false" outlineLevel="0" collapsed="false">
      <c r="B86" s="49" t="s">
        <v>35</v>
      </c>
      <c r="C86" s="35"/>
      <c r="D86" s="36"/>
      <c r="E86" s="36"/>
      <c r="F86" s="34"/>
    </row>
    <row r="87" customFormat="false" ht="15.75" hidden="false" customHeight="false" outlineLevel="0" collapsed="false">
      <c r="B87" s="49"/>
      <c r="C87" s="35"/>
      <c r="D87" s="36"/>
      <c r="E87" s="36"/>
      <c r="F87" s="34"/>
    </row>
    <row r="88" customFormat="false" ht="12.75" hidden="false" customHeight="false" outlineLevel="0" collapsed="false">
      <c r="A88" s="35"/>
      <c r="B88" s="34" t="s">
        <v>21</v>
      </c>
      <c r="C88" s="35"/>
      <c r="D88" s="36"/>
      <c r="E88" s="36"/>
      <c r="F88" s="37" t="n">
        <v>629486180.25</v>
      </c>
      <c r="G88" s="61" t="n">
        <f aca="false">+F88/F90</f>
        <v>0.974726897212987</v>
      </c>
    </row>
    <row r="89" customFormat="false" ht="12.75" hidden="false" customHeight="false" outlineLevel="0" collapsed="false">
      <c r="B89" s="34" t="s">
        <v>22</v>
      </c>
      <c r="C89" s="35"/>
      <c r="D89" s="36"/>
      <c r="E89" s="36"/>
      <c r="F89" s="39" t="n">
        <v>16321565.54</v>
      </c>
      <c r="G89" s="61" t="n">
        <f aca="false">+F89/F90</f>
        <v>0.0252731027870133</v>
      </c>
    </row>
    <row r="90" customFormat="false" ht="12.75" hidden="false" customHeight="false" outlineLevel="0" collapsed="false">
      <c r="B90" s="40" t="s">
        <v>23</v>
      </c>
      <c r="C90" s="35"/>
      <c r="D90" s="36"/>
      <c r="E90" s="36"/>
      <c r="F90" s="39" t="n">
        <f aca="false">SUM(F88:F89)</f>
        <v>645807745.79</v>
      </c>
      <c r="G90" s="58" t="n">
        <f aca="false">+F90/F90</f>
        <v>1</v>
      </c>
    </row>
    <row r="91" customFormat="false" ht="15.75" hidden="false" customHeight="false" outlineLevel="0" collapsed="false">
      <c r="B91" s="5"/>
    </row>
    <row r="92" customFormat="false" ht="12.75" hidden="false" customHeight="false" outlineLevel="0" collapsed="false">
      <c r="B92" s="34" t="s">
        <v>140</v>
      </c>
      <c r="F92" s="33" t="n">
        <v>57029735.53</v>
      </c>
    </row>
    <row r="93" customFormat="false" ht="12.75" hidden="false" customHeight="false" outlineLevel="0" collapsed="false">
      <c r="B93" s="34" t="s">
        <v>141</v>
      </c>
      <c r="C93" s="35"/>
      <c r="D93" s="36"/>
      <c r="E93" s="36"/>
      <c r="F93" s="39" t="n">
        <v>1981016.92</v>
      </c>
    </row>
    <row r="94" customFormat="false" ht="12.75" hidden="false" customHeight="false" outlineLevel="0" collapsed="false">
      <c r="B94" s="40" t="s">
        <v>41</v>
      </c>
      <c r="C94" s="35"/>
      <c r="D94" s="36"/>
      <c r="E94" s="36"/>
      <c r="F94" s="39" t="n">
        <f aca="false">SUM(F92:F93)</f>
        <v>59010752.45</v>
      </c>
      <c r="G94" s="58" t="n">
        <f aca="false">+F94/F90</f>
        <v>0.0913751078934702</v>
      </c>
    </row>
    <row r="95" customFormat="false" ht="15.75" hidden="false" customHeight="false" outlineLevel="0" collapsed="false">
      <c r="B95" s="5"/>
    </row>
    <row r="96" customFormat="false" ht="12.75" hidden="false" customHeight="false" outlineLevel="0" collapsed="false">
      <c r="B96" s="34" t="s">
        <v>161</v>
      </c>
      <c r="C96" s="35"/>
      <c r="D96" s="36"/>
      <c r="E96" s="36"/>
      <c r="F96" s="51" t="n">
        <v>1350922.63</v>
      </c>
    </row>
    <row r="97" customFormat="false" ht="12.75" hidden="false" customHeight="false" outlineLevel="0" collapsed="false">
      <c r="B97" s="34" t="s">
        <v>109</v>
      </c>
      <c r="C97" s="35"/>
      <c r="D97" s="36"/>
      <c r="E97" s="36"/>
      <c r="F97" s="51" t="n">
        <f aca="false">13796.62+470.09</f>
        <v>14266.71</v>
      </c>
    </row>
    <row r="98" customFormat="false" ht="12.75" hidden="false" customHeight="false" outlineLevel="0" collapsed="false">
      <c r="B98" s="34" t="s">
        <v>72</v>
      </c>
      <c r="C98" s="35"/>
      <c r="D98" s="36"/>
      <c r="E98" s="36"/>
      <c r="F98" s="51" t="n">
        <f aca="false">1006.04+56</f>
        <v>1062.04</v>
      </c>
    </row>
    <row r="99" customFormat="false" ht="12.75" hidden="false" customHeight="false" outlineLevel="0" collapsed="false">
      <c r="B99" s="34" t="s">
        <v>142</v>
      </c>
      <c r="C99" s="35"/>
      <c r="D99" s="36"/>
      <c r="E99" s="36"/>
      <c r="F99" s="51" t="n">
        <f aca="false">1256.42+7622.67+821.53</f>
        <v>9700.62</v>
      </c>
    </row>
    <row r="100" customFormat="false" ht="12.75" hidden="false" customHeight="false" outlineLevel="0" collapsed="false">
      <c r="B100" s="34" t="s">
        <v>113</v>
      </c>
      <c r="C100" s="35"/>
      <c r="D100" s="36"/>
      <c r="E100" s="36"/>
      <c r="F100" s="51" t="n">
        <f aca="false">169976.54+9221.99</f>
        <v>179198.53</v>
      </c>
    </row>
    <row r="101" customFormat="false" ht="12.75" hidden="false" customHeight="false" outlineLevel="0" collapsed="false">
      <c r="B101" s="34" t="s">
        <v>179</v>
      </c>
      <c r="C101" s="35"/>
      <c r="D101" s="36"/>
      <c r="E101" s="36"/>
      <c r="F101" s="51" t="n">
        <v>101935.48</v>
      </c>
    </row>
    <row r="102" customFormat="false" ht="12.75" hidden="false" customHeight="false" outlineLevel="0" collapsed="false">
      <c r="B102" s="34" t="s">
        <v>77</v>
      </c>
      <c r="C102" s="35"/>
      <c r="D102" s="36"/>
      <c r="E102" s="36"/>
      <c r="F102" s="51" t="n">
        <v>15207497.13</v>
      </c>
    </row>
    <row r="103" customFormat="false" ht="12.75" hidden="false" customHeight="false" outlineLevel="0" collapsed="false">
      <c r="B103" s="34" t="s">
        <v>145</v>
      </c>
      <c r="C103" s="35"/>
      <c r="D103" s="36"/>
      <c r="E103" s="36"/>
      <c r="F103" s="60" t="n">
        <v>79.7</v>
      </c>
    </row>
    <row r="104" customFormat="false" ht="12.75" hidden="false" customHeight="false" outlineLevel="0" collapsed="false">
      <c r="B104" s="14" t="s">
        <v>33</v>
      </c>
      <c r="C104" s="35"/>
      <c r="D104" s="36"/>
      <c r="E104" s="36"/>
      <c r="F104" s="60" t="n">
        <f aca="false">SUM(F96:F103)</f>
        <v>16864662.84</v>
      </c>
      <c r="G104" s="58" t="n">
        <f aca="false">+F104/F90</f>
        <v>0.0261140609569027</v>
      </c>
    </row>
    <row r="105" customFormat="false" ht="15.75" hidden="false" customHeight="false" outlineLevel="0" collapsed="false">
      <c r="B105" s="5"/>
    </row>
    <row r="106" customFormat="false" ht="16.5" hidden="false" customHeight="false" outlineLevel="0" collapsed="false">
      <c r="B106" s="44" t="s">
        <v>55</v>
      </c>
      <c r="C106" s="45"/>
      <c r="D106" s="46"/>
      <c r="E106" s="46"/>
      <c r="F106" s="47" t="n">
        <f aca="false">+F90-F94-F104</f>
        <v>569932330.5</v>
      </c>
      <c r="G106" s="59" t="n">
        <f aca="false">+F106/F90</f>
        <v>0.882510831149627</v>
      </c>
    </row>
    <row r="107" customFormat="false" ht="15.75" hidden="false" customHeight="false" outlineLevel="0" collapsed="false">
      <c r="B107" s="5"/>
    </row>
    <row r="108" customFormat="false" ht="15.75" hidden="false" customHeight="false" outlineLevel="0" collapsed="false">
      <c r="B108" s="49" t="s">
        <v>114</v>
      </c>
      <c r="C108" s="35"/>
      <c r="D108" s="36"/>
      <c r="E108" s="36"/>
    </row>
    <row r="109" customFormat="false" ht="15.75" hidden="false" customHeight="false" outlineLevel="0" collapsed="false">
      <c r="B109" s="49"/>
      <c r="C109" s="35"/>
      <c r="D109" s="36"/>
      <c r="E109" s="36"/>
    </row>
    <row r="110" customFormat="false" ht="12.75" hidden="false" customHeight="false" outlineLevel="0" collapsed="false">
      <c r="B110" s="64" t="s">
        <v>116</v>
      </c>
      <c r="C110" s="35"/>
      <c r="D110" s="36"/>
      <c r="E110" s="36"/>
      <c r="F110" s="76" t="n">
        <f aca="false">+F111</f>
        <v>1529744.04999995</v>
      </c>
    </row>
    <row r="111" customFormat="false" ht="16.5" hidden="false" customHeight="false" outlineLevel="0" collapsed="false">
      <c r="B111" s="49" t="s">
        <v>117</v>
      </c>
      <c r="F111" s="65" t="n">
        <f aca="false">+F106-F83</f>
        <v>1529744.04999995</v>
      </c>
    </row>
    <row r="112" customFormat="false" ht="13.5" hidden="false" customHeight="false" outlineLevel="0" collapsed="false"/>
  </sheetData>
  <printOptions headings="false" gridLines="false" gridLinesSet="true" horizontalCentered="false" verticalCentered="false"/>
  <pageMargins left="0.5" right="0.25" top="0.5" bottom="0.5" header="0.511811023622047" footer="0"/>
  <pageSetup paperSize="1" scale="87"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May 2001</oddFooter>
  </headerFooter>
  <rowBreaks count="1" manualBreakCount="1">
    <brk id="55"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2"/>
  <sheetViews>
    <sheetView showFormulas="false" showGridLines="true" showRowColHeaders="true" showZeros="true" rightToLeft="false" tabSelected="false" showOutlineSymbols="true" defaultGridColor="true" view="normal" topLeftCell="A32" colorId="64" zoomScale="100" zoomScaleNormal="100" zoomScalePageLayoutView="100" workbookViewId="0">
      <selection pane="topLeft" activeCell="I38" activeCellId="0" sqref="I38"/>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56"/>
    <col collapsed="false" customWidth="true" hidden="false" outlineLevel="0" max="5" min="5" style="2" width="4.41"/>
    <col collapsed="false" customWidth="true" hidden="false" outlineLevel="0" max="6" min="6" style="0" width="22.7"/>
    <col collapsed="false" customWidth="true" hidden="false" outlineLevel="0" max="7" min="7" style="0" width="12.42"/>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196</v>
      </c>
    </row>
    <row r="4" customFormat="false" ht="15.75" hidden="false" customHeight="false" outlineLevel="0" collapsed="false">
      <c r="B4" s="5"/>
    </row>
    <row r="5" customFormat="false" ht="15.75" hidden="false" customHeight="false" outlineLevel="0" collapsed="false">
      <c r="B5" s="5"/>
    </row>
    <row r="6" customFormat="false" ht="16.5" hidden="false" customHeight="false" outlineLevel="0" collapsed="false">
      <c r="A6" s="5" t="s">
        <v>57</v>
      </c>
    </row>
    <row r="7" customFormat="false" ht="24" hidden="false" customHeight="false" outlineLevel="0" collapsed="false">
      <c r="A7" s="6" t="s">
        <v>3</v>
      </c>
      <c r="B7" s="6" t="s">
        <v>4</v>
      </c>
      <c r="C7" s="6" t="s">
        <v>5</v>
      </c>
      <c r="D7" s="7"/>
      <c r="E7" s="8"/>
      <c r="F7" s="9" t="s">
        <v>6</v>
      </c>
      <c r="G7" s="10" t="s">
        <v>7</v>
      </c>
    </row>
    <row r="8" customFormat="false" ht="12" hidden="false" customHeight="false" outlineLevel="0" collapsed="false">
      <c r="A8" s="11"/>
      <c r="B8" s="11"/>
      <c r="C8" s="11"/>
      <c r="D8" s="11"/>
      <c r="E8" s="11"/>
      <c r="F8" s="12"/>
      <c r="G8" s="11"/>
    </row>
    <row r="9" customFormat="false" ht="13.5" hidden="false" customHeight="false" outlineLevel="0" collapsed="false">
      <c r="A9" s="13"/>
      <c r="B9" s="14" t="s">
        <v>197</v>
      </c>
      <c r="C9" s="66" t="n">
        <v>37043</v>
      </c>
      <c r="D9" s="16"/>
      <c r="E9" s="16"/>
      <c r="F9" s="17" t="n">
        <v>181371476.73</v>
      </c>
      <c r="G9" s="18" t="n">
        <f aca="false">+F9/F$9</f>
        <v>1</v>
      </c>
    </row>
    <row r="10" customFormat="false" ht="13.5" hidden="false" customHeight="false" outlineLevel="0" collapsed="false">
      <c r="A10" s="13"/>
      <c r="B10" s="14"/>
      <c r="C10" s="71"/>
      <c r="D10" s="16"/>
      <c r="E10" s="16"/>
      <c r="F10" s="67"/>
      <c r="G10" s="42"/>
    </row>
    <row r="11" customFormat="false" ht="12.75" hidden="false" customHeight="false" outlineLevel="0" collapsed="false">
      <c r="A11" s="13"/>
      <c r="B11" s="14"/>
      <c r="C11" s="71"/>
      <c r="D11" s="16"/>
      <c r="E11" s="16"/>
      <c r="F11" s="67"/>
      <c r="G11" s="42"/>
    </row>
    <row r="12" customFormat="false" ht="15.75" hidden="false" customHeight="false" outlineLevel="0" collapsed="false">
      <c r="A12" s="5" t="s">
        <v>9</v>
      </c>
      <c r="C12" s="72"/>
    </row>
    <row r="13" customFormat="false" ht="16.5" hidden="false" customHeight="false" outlineLevel="0" collapsed="false">
      <c r="A13" s="5" t="s">
        <v>198</v>
      </c>
      <c r="C13" s="72"/>
    </row>
    <row r="14" customFormat="false" ht="24" hidden="false" customHeight="false" outlineLevel="0" collapsed="false">
      <c r="A14" s="6" t="s">
        <v>3</v>
      </c>
      <c r="B14" s="6" t="s">
        <v>4</v>
      </c>
      <c r="C14" s="73" t="s">
        <v>11</v>
      </c>
      <c r="D14" s="6" t="s">
        <v>12</v>
      </c>
      <c r="E14" s="6" t="s">
        <v>13</v>
      </c>
      <c r="F14" s="10" t="s">
        <v>14</v>
      </c>
      <c r="G14" s="10" t="s">
        <v>15</v>
      </c>
    </row>
    <row r="15" customFormat="false" ht="13.5" hidden="false" customHeight="false" outlineLevel="0" collapsed="false">
      <c r="C15" s="72"/>
    </row>
    <row r="16" customFormat="false" ht="12.75" hidden="false" customHeight="false" outlineLevel="0" collapsed="false">
      <c r="A16" s="22" t="n">
        <v>1924</v>
      </c>
      <c r="B16" s="20" t="s">
        <v>199</v>
      </c>
      <c r="C16" s="53" t="n">
        <v>37126</v>
      </c>
      <c r="D16" s="74" t="n">
        <v>16208</v>
      </c>
      <c r="E16" s="22" t="s">
        <v>94</v>
      </c>
      <c r="F16" s="54" t="n">
        <v>2068.06</v>
      </c>
      <c r="G16" s="24" t="n">
        <f aca="false">+F16/$F$58</f>
        <v>8.04895481473736E-006</v>
      </c>
    </row>
    <row r="17" customFormat="false" ht="12.75" hidden="false" customHeight="false" outlineLevel="0" collapsed="false">
      <c r="A17" s="22" t="n">
        <v>1007</v>
      </c>
      <c r="B17" s="20" t="s">
        <v>121</v>
      </c>
      <c r="C17" s="53" t="n">
        <v>37126</v>
      </c>
      <c r="D17" s="74" t="n">
        <v>16233</v>
      </c>
      <c r="E17" s="22" t="s">
        <v>94</v>
      </c>
      <c r="F17" s="54" t="n">
        <v>33285.91</v>
      </c>
      <c r="G17" s="24" t="n">
        <f aca="false">+F17/$F$58</f>
        <v>0.000129549812654089</v>
      </c>
    </row>
    <row r="18" customFormat="false" ht="12.75" hidden="false" customHeight="false" outlineLevel="0" collapsed="false">
      <c r="A18" s="22" t="n">
        <v>2606</v>
      </c>
      <c r="B18" s="20" t="s">
        <v>99</v>
      </c>
      <c r="C18" s="53" t="n">
        <v>37126</v>
      </c>
      <c r="D18" s="74" t="n">
        <v>16196</v>
      </c>
      <c r="E18" s="22" t="s">
        <v>94</v>
      </c>
      <c r="F18" s="54" t="n">
        <v>113422.38</v>
      </c>
      <c r="G18" s="24" t="n">
        <f aca="false">+F18/$F$58</f>
        <v>0.000441443484038167</v>
      </c>
    </row>
    <row r="19" customFormat="false" ht="12.75" hidden="false" customHeight="false" outlineLevel="0" collapsed="false">
      <c r="A19" s="22" t="n">
        <v>1584</v>
      </c>
      <c r="B19" s="20" t="s">
        <v>123</v>
      </c>
      <c r="C19" s="53" t="n">
        <v>37126</v>
      </c>
      <c r="D19" s="74" t="n">
        <v>16213</v>
      </c>
      <c r="E19" s="22" t="s">
        <v>94</v>
      </c>
      <c r="F19" s="54" t="n">
        <v>76478.14</v>
      </c>
      <c r="G19" s="24" t="n">
        <f aca="false">+F19/$F$58</f>
        <v>0.000297655335519839</v>
      </c>
    </row>
    <row r="20" customFormat="false" ht="12.75" hidden="false" customHeight="false" outlineLevel="0" collapsed="false">
      <c r="A20" s="22" t="n">
        <v>2746</v>
      </c>
      <c r="B20" s="20" t="s">
        <v>166</v>
      </c>
      <c r="C20" s="53" t="n">
        <v>37126</v>
      </c>
      <c r="D20" s="74" t="n">
        <v>16194</v>
      </c>
      <c r="E20" s="22" t="s">
        <v>94</v>
      </c>
      <c r="F20" s="54" t="n">
        <v>659.91</v>
      </c>
      <c r="G20" s="24" t="n">
        <f aca="false">+F20/$F$58</f>
        <v>2.56839055529981E-006</v>
      </c>
    </row>
    <row r="21" customFormat="false" ht="12.75" hidden="false" customHeight="false" outlineLevel="0" collapsed="false">
      <c r="A21" s="22" t="n">
        <v>1544</v>
      </c>
      <c r="B21" s="20" t="s">
        <v>96</v>
      </c>
      <c r="C21" s="53" t="n">
        <v>37126</v>
      </c>
      <c r="D21" s="74" t="n">
        <v>16212</v>
      </c>
      <c r="E21" s="22" t="s">
        <v>94</v>
      </c>
      <c r="F21" s="54" t="n">
        <v>110374.06</v>
      </c>
      <c r="G21" s="24" t="n">
        <f aca="false">+F21/$F$58</f>
        <v>0.000429579326353738</v>
      </c>
    </row>
    <row r="22" customFormat="false" ht="12.75" hidden="false" customHeight="false" outlineLevel="0" collapsed="false">
      <c r="A22" s="22" t="n">
        <v>2528</v>
      </c>
      <c r="B22" s="20" t="s">
        <v>97</v>
      </c>
      <c r="C22" s="53" t="n">
        <v>37126</v>
      </c>
      <c r="D22" s="74" t="n">
        <v>16199</v>
      </c>
      <c r="E22" s="22" t="s">
        <v>94</v>
      </c>
      <c r="F22" s="54" t="n">
        <v>145772.65</v>
      </c>
      <c r="G22" s="24" t="n">
        <f aca="false">+F22/$F$58</f>
        <v>0.000567351756271348</v>
      </c>
    </row>
    <row r="23" customFormat="false" ht="12.75" hidden="false" customHeight="false" outlineLevel="0" collapsed="false">
      <c r="A23" s="22" t="n">
        <v>1010</v>
      </c>
      <c r="B23" s="20" t="s">
        <v>62</v>
      </c>
      <c r="C23" s="53" t="n">
        <v>37126</v>
      </c>
      <c r="D23" s="74" t="n">
        <v>16232</v>
      </c>
      <c r="E23" s="22" t="s">
        <v>94</v>
      </c>
      <c r="F23" s="54" t="n">
        <v>2501980.59</v>
      </c>
      <c r="G23" s="24" t="n">
        <f aca="false">+F23/$F$58</f>
        <v>0.00973778745116676</v>
      </c>
    </row>
    <row r="24" customFormat="false" ht="12.75" hidden="false" customHeight="false" outlineLevel="0" collapsed="false">
      <c r="A24" s="22" t="n">
        <v>1924</v>
      </c>
      <c r="B24" s="20" t="s">
        <v>199</v>
      </c>
      <c r="C24" s="53" t="n">
        <v>37126</v>
      </c>
      <c r="D24" s="74" t="n">
        <v>16280</v>
      </c>
      <c r="E24" s="22" t="s">
        <v>17</v>
      </c>
      <c r="F24" s="54" t="n">
        <v>10360.18</v>
      </c>
      <c r="G24" s="24" t="n">
        <f aca="false">+F24/$F$58</f>
        <v>4.03221476613569E-005</v>
      </c>
    </row>
    <row r="25" customFormat="false" ht="12.75" hidden="false" customHeight="false" outlineLevel="0" collapsed="false">
      <c r="A25" s="22" t="n">
        <v>1924</v>
      </c>
      <c r="B25" s="20" t="s">
        <v>199</v>
      </c>
      <c r="C25" s="53" t="n">
        <v>37146</v>
      </c>
      <c r="D25" s="74" t="n">
        <v>16253</v>
      </c>
      <c r="E25" s="22" t="s">
        <v>17</v>
      </c>
      <c r="F25" s="54" t="n">
        <v>8117.74</v>
      </c>
      <c r="G25" s="24" t="n">
        <f aca="false">+F25/$F$58</f>
        <v>3.159450038093E-005</v>
      </c>
    </row>
    <row r="26" customFormat="false" ht="12.75" hidden="false" customHeight="false" outlineLevel="0" collapsed="false">
      <c r="A26" s="22" t="n">
        <v>1007</v>
      </c>
      <c r="B26" s="20" t="s">
        <v>121</v>
      </c>
      <c r="C26" s="53" t="n">
        <v>37126</v>
      </c>
      <c r="D26" s="74" t="n">
        <v>16316</v>
      </c>
      <c r="E26" s="22" t="s">
        <v>17</v>
      </c>
      <c r="F26" s="54" t="n">
        <v>1351954.93</v>
      </c>
      <c r="G26" s="24" t="n">
        <f aca="false">+F26/$F$58</f>
        <v>0.00526185127275389</v>
      </c>
    </row>
    <row r="27" customFormat="false" ht="12.75" hidden="false" customHeight="false" outlineLevel="0" collapsed="false">
      <c r="A27" s="22" t="n">
        <v>1007</v>
      </c>
      <c r="B27" s="20" t="s">
        <v>121</v>
      </c>
      <c r="C27" s="53" t="n">
        <v>37146</v>
      </c>
      <c r="D27" s="74" t="n">
        <v>16560</v>
      </c>
      <c r="E27" s="22" t="s">
        <v>17</v>
      </c>
      <c r="F27" s="54" t="n">
        <v>10312.61</v>
      </c>
      <c r="G27" s="24" t="n">
        <f aca="false">+F27/$F$58</f>
        <v>4.01370037194321E-005</v>
      </c>
    </row>
    <row r="28" customFormat="false" ht="12.75" hidden="false" customHeight="false" outlineLevel="0" collapsed="false">
      <c r="A28" s="22" t="n">
        <v>2606</v>
      </c>
      <c r="B28" s="20" t="s">
        <v>99</v>
      </c>
      <c r="C28" s="53" t="n">
        <v>37126</v>
      </c>
      <c r="D28" s="74" t="n">
        <v>16266</v>
      </c>
      <c r="E28" s="22" t="s">
        <v>17</v>
      </c>
      <c r="F28" s="54" t="n">
        <v>1071214.5</v>
      </c>
      <c r="G28" s="24" t="n">
        <f aca="false">+F28/$F$58</f>
        <v>0.00416920065539273</v>
      </c>
    </row>
    <row r="29" customFormat="false" ht="12.75" hidden="false" customHeight="false" outlineLevel="0" collapsed="false">
      <c r="A29" s="22" t="n">
        <v>1243</v>
      </c>
      <c r="B29" s="20" t="s">
        <v>16</v>
      </c>
      <c r="C29" s="53" t="n">
        <v>37126</v>
      </c>
      <c r="D29" s="74" t="n">
        <v>16292</v>
      </c>
      <c r="E29" s="22" t="s">
        <v>17</v>
      </c>
      <c r="F29" s="54" t="n">
        <v>54920135.43</v>
      </c>
      <c r="G29" s="24" t="n">
        <f aca="false">+F29/$F$58</f>
        <v>0.213750901083782</v>
      </c>
    </row>
    <row r="30" customFormat="false" ht="12.75" hidden="false" customHeight="false" outlineLevel="0" collapsed="false">
      <c r="A30" s="22" t="n">
        <v>1243</v>
      </c>
      <c r="B30" s="20" t="s">
        <v>16</v>
      </c>
      <c r="C30" s="53" t="n">
        <v>37146</v>
      </c>
      <c r="D30" s="74" t="n">
        <v>16535</v>
      </c>
      <c r="E30" s="22" t="s">
        <v>17</v>
      </c>
      <c r="F30" s="54" t="n">
        <v>4268</v>
      </c>
      <c r="G30" s="24" t="n">
        <f aca="false">+F30/$F$58</f>
        <v>1.66111907533143E-005</v>
      </c>
    </row>
    <row r="31" customFormat="false" ht="12.75" hidden="false" customHeight="false" outlineLevel="0" collapsed="false">
      <c r="A31" s="22" t="n">
        <v>1019</v>
      </c>
      <c r="B31" s="20" t="s">
        <v>200</v>
      </c>
      <c r="C31" s="53" t="n">
        <v>37126</v>
      </c>
      <c r="D31" s="74" t="n">
        <v>16307</v>
      </c>
      <c r="E31" s="22" t="s">
        <v>17</v>
      </c>
      <c r="F31" s="54" t="n">
        <v>17276.58</v>
      </c>
      <c r="G31" s="24" t="n">
        <f aca="false">+F31/$F$58</f>
        <v>6.72409948324494E-005</v>
      </c>
    </row>
    <row r="32" customFormat="false" ht="12.75" hidden="false" customHeight="false" outlineLevel="0" collapsed="false">
      <c r="A32" s="22" t="n">
        <v>1164</v>
      </c>
      <c r="B32" s="20" t="s">
        <v>201</v>
      </c>
      <c r="C32" s="53" t="n">
        <v>37146</v>
      </c>
      <c r="D32" s="74" t="n">
        <v>16541</v>
      </c>
      <c r="E32" s="22" t="s">
        <v>17</v>
      </c>
      <c r="F32" s="54" t="n">
        <v>39.65</v>
      </c>
      <c r="G32" s="24" t="n">
        <f aca="false">+F32/$F$58</f>
        <v>1.5431905186713E-007</v>
      </c>
    </row>
    <row r="33" customFormat="false" ht="12.75" hidden="false" customHeight="false" outlineLevel="0" collapsed="false">
      <c r="A33" s="22" t="n">
        <v>1504</v>
      </c>
      <c r="B33" s="20" t="s">
        <v>150</v>
      </c>
      <c r="C33" s="53" t="n">
        <v>37126</v>
      </c>
      <c r="D33" s="74" t="n">
        <v>16287</v>
      </c>
      <c r="E33" s="22" t="s">
        <v>17</v>
      </c>
      <c r="F33" s="54" t="n">
        <v>4247.95</v>
      </c>
      <c r="G33" s="24" t="n">
        <f aca="false">+F33/$F$58</f>
        <v>1.65331555202768E-005</v>
      </c>
    </row>
    <row r="34" customFormat="false" ht="12.75" hidden="false" customHeight="false" outlineLevel="0" collapsed="false">
      <c r="A34" s="22" t="n">
        <v>1504</v>
      </c>
      <c r="B34" s="20" t="s">
        <v>150</v>
      </c>
      <c r="C34" s="53" t="n">
        <v>37146</v>
      </c>
      <c r="D34" s="74" t="n">
        <v>16530</v>
      </c>
      <c r="E34" s="22" t="s">
        <v>17</v>
      </c>
      <c r="F34" s="54" t="n">
        <v>1753.88</v>
      </c>
      <c r="G34" s="24" t="n">
        <f aca="false">+F34/$F$58</f>
        <v>6.82615633515061E-006</v>
      </c>
    </row>
    <row r="35" customFormat="false" ht="12.75" hidden="false" customHeight="false" outlineLevel="0" collapsed="false">
      <c r="A35" s="74" t="n">
        <v>2746</v>
      </c>
      <c r="B35" s="75" t="s">
        <v>166</v>
      </c>
      <c r="C35" s="53" t="n">
        <v>37126</v>
      </c>
      <c r="D35" s="74" t="n">
        <v>16261</v>
      </c>
      <c r="E35" s="22" t="s">
        <v>17</v>
      </c>
      <c r="F35" s="54" t="n">
        <v>13485.93</v>
      </c>
      <c r="G35" s="77" t="n">
        <f aca="false">+F35/$F$58</f>
        <v>5.24876653504788E-005</v>
      </c>
    </row>
    <row r="36" customFormat="false" ht="12.75" hidden="false" customHeight="false" outlineLevel="0" collapsed="false">
      <c r="A36" s="74" t="n">
        <v>2746</v>
      </c>
      <c r="B36" s="75" t="s">
        <v>166</v>
      </c>
      <c r="C36" s="53" t="n">
        <v>37146</v>
      </c>
      <c r="D36" s="74" t="n">
        <v>16502</v>
      </c>
      <c r="E36" s="22" t="s">
        <v>17</v>
      </c>
      <c r="F36" s="54" t="n">
        <v>813.31</v>
      </c>
      <c r="G36" s="77" t="n">
        <f aca="false">+F36/$F$58</f>
        <v>3.16542819858904E-006</v>
      </c>
    </row>
    <row r="37" customFormat="false" ht="12.75" hidden="false" customHeight="false" outlineLevel="0" collapsed="false">
      <c r="A37" s="74" t="n">
        <v>2405</v>
      </c>
      <c r="B37" s="75" t="s">
        <v>202</v>
      </c>
      <c r="C37" s="53" t="n">
        <v>37126</v>
      </c>
      <c r="D37" s="74" t="n">
        <v>16274</v>
      </c>
      <c r="E37" s="22" t="s">
        <v>17</v>
      </c>
      <c r="F37" s="54" t="n">
        <v>1740511.46</v>
      </c>
      <c r="G37" s="77" t="n">
        <f aca="false">+F37/$F$58</f>
        <v>0.00677412555538648</v>
      </c>
    </row>
    <row r="38" customFormat="false" ht="12.75" hidden="false" customHeight="false" outlineLevel="0" collapsed="false">
      <c r="A38" s="74" t="n">
        <v>2064</v>
      </c>
      <c r="B38" s="75" t="s">
        <v>203</v>
      </c>
      <c r="C38" s="53" t="n">
        <v>37146</v>
      </c>
      <c r="D38" s="74" t="n">
        <v>16522</v>
      </c>
      <c r="E38" s="22" t="s">
        <v>17</v>
      </c>
      <c r="F38" s="54" t="n">
        <v>766.44</v>
      </c>
      <c r="G38" s="77" t="n">
        <f aca="false">+F38/$F$58</f>
        <v>2.98300867876527E-006</v>
      </c>
    </row>
    <row r="39" customFormat="false" ht="12.75" hidden="false" customHeight="false" outlineLevel="0" collapsed="false">
      <c r="A39" s="22" t="n">
        <v>1544</v>
      </c>
      <c r="B39" s="20" t="s">
        <v>96</v>
      </c>
      <c r="C39" s="53" t="n">
        <v>37126</v>
      </c>
      <c r="D39" s="74" t="n">
        <v>16284</v>
      </c>
      <c r="E39" s="22" t="s">
        <v>17</v>
      </c>
      <c r="F39" s="54" t="n">
        <v>472343.08</v>
      </c>
      <c r="G39" s="24" t="n">
        <f aca="false">+F39/$F$58</f>
        <v>0.00183837418062043</v>
      </c>
    </row>
    <row r="40" customFormat="false" ht="12.75" hidden="false" customHeight="false" outlineLevel="0" collapsed="false">
      <c r="A40" s="22" t="n">
        <v>1544</v>
      </c>
      <c r="B40" s="20" t="s">
        <v>96</v>
      </c>
      <c r="C40" s="53" t="n">
        <v>37146</v>
      </c>
      <c r="D40" s="74" t="n">
        <v>16527</v>
      </c>
      <c r="E40" s="22" t="s">
        <v>17</v>
      </c>
      <c r="F40" s="54" t="n">
        <v>141425.79</v>
      </c>
      <c r="G40" s="24" t="n">
        <f aca="false">+F40/$F$58</f>
        <v>0.000550433639908192</v>
      </c>
    </row>
    <row r="41" customFormat="false" ht="12.75" hidden="false" customHeight="false" outlineLevel="0" collapsed="false">
      <c r="A41" s="22" t="n">
        <v>1185</v>
      </c>
      <c r="B41" s="20" t="s">
        <v>184</v>
      </c>
      <c r="C41" s="53" t="n">
        <v>37126</v>
      </c>
      <c r="D41" s="74" t="n">
        <v>16295</v>
      </c>
      <c r="E41" s="22" t="s">
        <v>17</v>
      </c>
      <c r="F41" s="54" t="n">
        <v>320042.95</v>
      </c>
      <c r="G41" s="24" t="n">
        <f aca="false">+F41/$F$58</f>
        <v>0.00124561726609733</v>
      </c>
    </row>
    <row r="42" customFormat="false" ht="12.75" hidden="false" customHeight="false" outlineLevel="0" collapsed="false">
      <c r="A42" s="22" t="n">
        <v>1185</v>
      </c>
      <c r="B42" s="20" t="s">
        <v>184</v>
      </c>
      <c r="C42" s="53" t="n">
        <v>37146</v>
      </c>
      <c r="D42" s="74" t="n">
        <v>16538</v>
      </c>
      <c r="E42" s="22" t="s">
        <v>17</v>
      </c>
      <c r="F42" s="54" t="n">
        <v>1177.15</v>
      </c>
      <c r="G42" s="24" t="n">
        <f aca="false">+F42/$F$58</f>
        <v>4.58150496608807E-006</v>
      </c>
    </row>
    <row r="43" customFormat="false" ht="12.75" hidden="false" customHeight="false" outlineLevel="0" collapsed="false">
      <c r="A43" s="22" t="n">
        <v>1005</v>
      </c>
      <c r="B43" s="20" t="s">
        <v>170</v>
      </c>
      <c r="C43" s="53" t="n">
        <v>37146</v>
      </c>
      <c r="D43" s="74" t="n">
        <v>16562</v>
      </c>
      <c r="E43" s="22" t="s">
        <v>17</v>
      </c>
      <c r="F43" s="54" t="n">
        <v>154.02</v>
      </c>
      <c r="G43" s="24" t="n">
        <f aca="false">+F43/$F$58</f>
        <v>5.99450702864447E-007</v>
      </c>
    </row>
    <row r="44" customFormat="false" ht="12.75" hidden="false" customHeight="false" outlineLevel="0" collapsed="false">
      <c r="A44" s="22" t="n">
        <v>2769</v>
      </c>
      <c r="B44" s="20" t="s">
        <v>171</v>
      </c>
      <c r="C44" s="53" t="n">
        <v>37126</v>
      </c>
      <c r="D44" s="74" t="n">
        <v>16259</v>
      </c>
      <c r="E44" s="22" t="s">
        <v>17</v>
      </c>
      <c r="F44" s="54" t="n">
        <v>11581848.51</v>
      </c>
      <c r="G44" s="24" t="n">
        <f aca="false">+F44/$F$58</f>
        <v>0.0450769200739453</v>
      </c>
    </row>
    <row r="45" customFormat="false" ht="12.75" hidden="false" customHeight="false" outlineLevel="0" collapsed="false">
      <c r="A45" s="22" t="n">
        <v>2769</v>
      </c>
      <c r="B45" s="20" t="s">
        <v>171</v>
      </c>
      <c r="C45" s="53" t="n">
        <v>37146</v>
      </c>
      <c r="D45" s="74" t="n">
        <v>16500</v>
      </c>
      <c r="E45" s="22" t="s">
        <v>17</v>
      </c>
      <c r="F45" s="54" t="n">
        <v>1098.26</v>
      </c>
      <c r="G45" s="24" t="n">
        <f aca="false">+F45/$F$58</f>
        <v>4.27446259529871E-006</v>
      </c>
    </row>
    <row r="46" customFormat="false" ht="12.75" hidden="false" customHeight="false" outlineLevel="0" collapsed="false">
      <c r="A46" s="22" t="n">
        <v>3186</v>
      </c>
      <c r="B46" s="20" t="s">
        <v>172</v>
      </c>
      <c r="C46" s="53" t="n">
        <v>37126</v>
      </c>
      <c r="D46" s="74" t="n">
        <v>16248</v>
      </c>
      <c r="E46" s="22" t="s">
        <v>17</v>
      </c>
      <c r="F46" s="54" t="n">
        <v>13927831.96</v>
      </c>
      <c r="G46" s="24" t="n">
        <f aca="false">+F46/$F$58</f>
        <v>0.0542075617309435</v>
      </c>
    </row>
    <row r="47" customFormat="false" ht="12.75" hidden="false" customHeight="false" outlineLevel="0" collapsed="false">
      <c r="A47" s="22" t="n">
        <v>3187</v>
      </c>
      <c r="B47" s="20" t="s">
        <v>172</v>
      </c>
      <c r="C47" s="53" t="n">
        <v>37126</v>
      </c>
      <c r="D47" s="74" t="n">
        <v>16247</v>
      </c>
      <c r="E47" s="22" t="s">
        <v>17</v>
      </c>
      <c r="F47" s="54" t="n">
        <v>19725561.05</v>
      </c>
      <c r="G47" s="24" t="n">
        <f aca="false">+F47/$F$58</f>
        <v>0.0767725064005848</v>
      </c>
    </row>
    <row r="48" customFormat="false" ht="12.75" hidden="false" customHeight="false" outlineLevel="0" collapsed="false">
      <c r="A48" s="22" t="n">
        <v>3187</v>
      </c>
      <c r="B48" s="20" t="s">
        <v>172</v>
      </c>
      <c r="C48" s="53" t="n">
        <v>37146</v>
      </c>
      <c r="D48" s="74" t="n">
        <v>16487</v>
      </c>
      <c r="E48" s="22" t="s">
        <v>17</v>
      </c>
      <c r="F48" s="54" t="n">
        <v>10014532.7</v>
      </c>
      <c r="G48" s="24" t="n">
        <f aca="false">+F48/$F$58</f>
        <v>0.0389768774566549</v>
      </c>
    </row>
    <row r="49" customFormat="false" ht="12.75" hidden="false" customHeight="false" outlineLevel="0" collapsed="false">
      <c r="A49" s="22" t="n">
        <v>2626</v>
      </c>
      <c r="B49" s="20" t="s">
        <v>187</v>
      </c>
      <c r="C49" s="53" t="n">
        <v>37126</v>
      </c>
      <c r="D49" s="74" t="n">
        <v>16265</v>
      </c>
      <c r="E49" s="22" t="s">
        <v>17</v>
      </c>
      <c r="F49" s="54" t="n">
        <v>114273.11</v>
      </c>
      <c r="G49" s="24" t="n">
        <f aca="false">+F49/$F$58</f>
        <v>0.000444754552058215</v>
      </c>
    </row>
    <row r="50" customFormat="false" ht="12.75" hidden="false" customHeight="false" outlineLevel="0" collapsed="false">
      <c r="A50" s="22" t="n">
        <v>2626</v>
      </c>
      <c r="B50" s="20" t="s">
        <v>187</v>
      </c>
      <c r="C50" s="53" t="n">
        <v>37146</v>
      </c>
      <c r="D50" s="74" t="n">
        <v>16507</v>
      </c>
      <c r="E50" s="22" t="s">
        <v>17</v>
      </c>
      <c r="F50" s="54" t="n">
        <v>387.01</v>
      </c>
      <c r="G50" s="24" t="n">
        <f aca="false">+F50/$F$58</f>
        <v>1.50625513904408E-006</v>
      </c>
    </row>
    <row r="51" customFormat="false" ht="12.75" hidden="false" customHeight="false" outlineLevel="0" collapsed="false">
      <c r="A51" s="22" t="n">
        <v>2528</v>
      </c>
      <c r="B51" s="20" t="s">
        <v>97</v>
      </c>
      <c r="C51" s="53" t="n">
        <v>37146</v>
      </c>
      <c r="D51" s="74" t="n">
        <v>16512</v>
      </c>
      <c r="E51" s="22" t="s">
        <v>17</v>
      </c>
      <c r="F51" s="54" t="n">
        <v>6582.2</v>
      </c>
      <c r="G51" s="24" t="n">
        <f aca="false">+F51/$F$58</f>
        <v>2.56181302194154E-005</v>
      </c>
    </row>
    <row r="52" customFormat="false" ht="12.75" hidden="false" customHeight="false" outlineLevel="0" collapsed="false">
      <c r="A52" s="22" t="n">
        <v>1010</v>
      </c>
      <c r="B52" s="20" t="s">
        <v>62</v>
      </c>
      <c r="C52" s="53" t="n">
        <v>37126</v>
      </c>
      <c r="D52" s="74" t="n">
        <v>16314</v>
      </c>
      <c r="E52" s="22" t="s">
        <v>17</v>
      </c>
      <c r="F52" s="54" t="n">
        <v>127016332.56</v>
      </c>
      <c r="G52" s="24" t="n">
        <f aca="false">+F52/$F$58</f>
        <v>0.494351576602755</v>
      </c>
    </row>
    <row r="53" customFormat="false" ht="12.75" hidden="false" customHeight="false" outlineLevel="0" collapsed="false">
      <c r="A53" s="22" t="n">
        <v>1010</v>
      </c>
      <c r="B53" s="20" t="s">
        <v>62</v>
      </c>
      <c r="C53" s="53" t="n">
        <v>37146</v>
      </c>
      <c r="D53" s="74" t="n">
        <v>16558</v>
      </c>
      <c r="E53" s="22" t="s">
        <v>17</v>
      </c>
      <c r="F53" s="54" t="n">
        <v>11297244.88</v>
      </c>
      <c r="G53" s="24" t="n">
        <f aca="false">+F53/$F$58</f>
        <v>0.0439692337602115</v>
      </c>
    </row>
    <row r="54" customFormat="false" ht="12.75" hidden="false" customHeight="false" outlineLevel="0" collapsed="false">
      <c r="A54" s="2" t="n">
        <v>1024</v>
      </c>
      <c r="B54" s="0" t="s">
        <v>122</v>
      </c>
      <c r="C54" s="53" t="n">
        <v>37126</v>
      </c>
      <c r="D54" s="74" t="n">
        <v>16304</v>
      </c>
      <c r="E54" s="22" t="s">
        <v>17</v>
      </c>
      <c r="F54" s="54" t="n">
        <v>24374.42</v>
      </c>
      <c r="G54" s="24" t="n">
        <f aca="false">+F54/$F$58</f>
        <v>9.48660122121364E-005</v>
      </c>
    </row>
    <row r="55" customFormat="false" ht="12.75" hidden="false" customHeight="false" outlineLevel="0" collapsed="false">
      <c r="A55" s="2" t="n">
        <v>1024</v>
      </c>
      <c r="B55" s="0" t="s">
        <v>122</v>
      </c>
      <c r="C55" s="53" t="n">
        <v>37146</v>
      </c>
      <c r="D55" s="74" t="n">
        <v>16548</v>
      </c>
      <c r="E55" s="22" t="s">
        <v>17</v>
      </c>
      <c r="F55" s="54" t="n">
        <v>1642.29</v>
      </c>
      <c r="G55" s="24" t="n">
        <f aca="false">+F55/$F$58</f>
        <v>6.39184453192607E-006</v>
      </c>
    </row>
    <row r="56" customFormat="false" ht="12.75" hidden="false" customHeight="false" outlineLevel="0" collapsed="false">
      <c r="A56" s="22" t="n">
        <v>2767</v>
      </c>
      <c r="B56" s="20" t="s">
        <v>188</v>
      </c>
      <c r="C56" s="53" t="n">
        <v>37126</v>
      </c>
      <c r="D56" s="74" t="n">
        <v>16260</v>
      </c>
      <c r="E56" s="22" t="s">
        <v>17</v>
      </c>
      <c r="F56" s="27" t="n">
        <v>149070.74</v>
      </c>
      <c r="G56" s="28" t="n">
        <f aca="false">+F56/$F$58</f>
        <v>0.000580188026681751</v>
      </c>
    </row>
    <row r="57" customFormat="false" ht="12.75" hidden="false" customHeight="false" outlineLevel="0" collapsed="false">
      <c r="A57" s="29"/>
      <c r="B57" s="30"/>
      <c r="C57" s="31"/>
      <c r="D57" s="32"/>
      <c r="E57" s="32"/>
      <c r="F57" s="33"/>
      <c r="G57" s="34"/>
    </row>
    <row r="58" customFormat="false" ht="13.5" hidden="false" customHeight="false" outlineLevel="0" collapsed="false">
      <c r="B58" s="14" t="s">
        <v>18</v>
      </c>
      <c r="F58" s="17" t="n">
        <f aca="false">SUM(F16:F57)</f>
        <v>256935222.97</v>
      </c>
      <c r="G58" s="18" t="n">
        <f aca="false">+F58/F58</f>
        <v>1</v>
      </c>
    </row>
    <row r="59" customFormat="false" ht="13.5" hidden="false" customHeight="false" outlineLevel="0" collapsed="false"/>
    <row r="61" customFormat="false" ht="12.75" hidden="false" customHeight="false" outlineLevel="0" collapsed="false">
      <c r="B61" s="55" t="s">
        <v>64</v>
      </c>
    </row>
    <row r="63" customFormat="false" ht="15.75" hidden="false" customHeight="false" outlineLevel="0" collapsed="false">
      <c r="B63" s="5" t="str">
        <f aca="false">+B1</f>
        <v>Certification for Market Settlement September 28, 2001</v>
      </c>
    </row>
    <row r="64" customFormat="false" ht="15.75" hidden="false" customHeight="false" outlineLevel="0" collapsed="false">
      <c r="B64" s="5"/>
    </row>
    <row r="65" customFormat="false" ht="15.75" hidden="false" customHeight="false" outlineLevel="0" collapsed="false">
      <c r="B65" s="5" t="str">
        <f aca="false">+B3</f>
        <v>For the Trade Month of June 2001</v>
      </c>
    </row>
    <row r="66" customFormat="false" ht="15.75" hidden="false" customHeight="false" outlineLevel="0" collapsed="false">
      <c r="B66" s="5"/>
    </row>
    <row r="67" customFormat="false" ht="15.75" hidden="false" customHeight="false" outlineLevel="0" collapsed="false">
      <c r="B67" s="5"/>
    </row>
    <row r="68" customFormat="false" ht="15.75" hidden="false" customHeight="false" outlineLevel="0" collapsed="false">
      <c r="B68" s="5" t="s">
        <v>20</v>
      </c>
    </row>
    <row r="69" customFormat="false" ht="15.75" hidden="false" customHeight="false" outlineLevel="0" collapsed="false">
      <c r="B69" s="5"/>
    </row>
    <row r="70" customFormat="false" ht="12.75" hidden="false" customHeight="false" outlineLevel="0" collapsed="false">
      <c r="B70" s="34" t="s">
        <v>21</v>
      </c>
      <c r="C70" s="35"/>
      <c r="D70" s="36"/>
      <c r="E70" s="36"/>
      <c r="F70" s="37" t="n">
        <v>274871788.9</v>
      </c>
      <c r="G70" s="56" t="n">
        <f aca="false">+F70/F72</f>
        <v>0.915071407319968</v>
      </c>
    </row>
    <row r="71" customFormat="false" ht="12.75" hidden="false" customHeight="false" outlineLevel="0" collapsed="false">
      <c r="B71" s="34" t="s">
        <v>22</v>
      </c>
      <c r="C71" s="35"/>
      <c r="D71" s="36"/>
      <c r="E71" s="36"/>
      <c r="F71" s="39" t="n">
        <v>25511095.65</v>
      </c>
      <c r="G71" s="56" t="n">
        <f aca="false">+F71/F72</f>
        <v>0.0849285926800319</v>
      </c>
    </row>
    <row r="72" customFormat="false" ht="12.75" hidden="false" customHeight="false" outlineLevel="0" collapsed="false">
      <c r="B72" s="40" t="s">
        <v>23</v>
      </c>
      <c r="C72" s="35"/>
      <c r="D72" s="36"/>
      <c r="E72" s="36"/>
      <c r="F72" s="39" t="n">
        <f aca="false">SUM(F70:F71)</f>
        <v>300382884.55</v>
      </c>
      <c r="G72" s="58" t="n">
        <f aca="false">+F72/F72</f>
        <v>1</v>
      </c>
    </row>
    <row r="73" customFormat="false" ht="15.75" hidden="false" customHeight="false" outlineLevel="0" collapsed="false">
      <c r="B73" s="5"/>
    </row>
    <row r="74" customFormat="false" ht="12.75" hidden="false" customHeight="false" outlineLevel="0" collapsed="false">
      <c r="B74" s="34" t="s">
        <v>192</v>
      </c>
      <c r="C74" s="35"/>
      <c r="D74" s="36"/>
      <c r="E74" s="36"/>
      <c r="F74" s="33" t="n">
        <v>37697147.17</v>
      </c>
    </row>
    <row r="75" customFormat="false" ht="12.75" hidden="false" customHeight="false" outlineLevel="0" collapsed="false">
      <c r="B75" s="34" t="s">
        <v>204</v>
      </c>
      <c r="C75" s="35"/>
      <c r="D75" s="36"/>
      <c r="E75" s="36"/>
      <c r="F75" s="39" t="n">
        <v>2850791.91</v>
      </c>
    </row>
    <row r="76" customFormat="false" ht="12.75" hidden="false" customHeight="false" outlineLevel="0" collapsed="false">
      <c r="B76" s="40" t="s">
        <v>28</v>
      </c>
      <c r="C76" s="35"/>
      <c r="D76" s="36"/>
      <c r="E76" s="36"/>
      <c r="F76" s="39" t="n">
        <f aca="false">SUM(F74:F75)</f>
        <v>40547939.08</v>
      </c>
      <c r="G76" s="58" t="n">
        <f aca="false">+F76/F72</f>
        <v>0.134987514820441</v>
      </c>
    </row>
    <row r="77" customFormat="false" ht="15.75" hidden="false" customHeight="false" outlineLevel="0" collapsed="false">
      <c r="B77" s="5"/>
    </row>
    <row r="78" customFormat="false" ht="12.75" hidden="false" customHeight="false" outlineLevel="0" collapsed="false">
      <c r="A78" s="35"/>
      <c r="B78" s="34" t="s">
        <v>74</v>
      </c>
      <c r="C78" s="35"/>
      <c r="D78" s="36"/>
      <c r="E78" s="36"/>
      <c r="F78" s="33" t="n">
        <v>608.27</v>
      </c>
      <c r="G78" s="34"/>
    </row>
    <row r="79" customFormat="false" ht="12.75" hidden="false" customHeight="false" outlineLevel="0" collapsed="false">
      <c r="A79" s="35"/>
      <c r="B79" s="34" t="s">
        <v>193</v>
      </c>
      <c r="C79" s="35"/>
      <c r="D79" s="36"/>
      <c r="E79" s="36"/>
      <c r="F79" s="33" t="n">
        <v>845.86</v>
      </c>
      <c r="G79" s="34"/>
    </row>
    <row r="80" customFormat="false" ht="12.75" hidden="false" customHeight="false" outlineLevel="0" collapsed="false">
      <c r="A80" s="35"/>
      <c r="B80" s="34" t="s">
        <v>205</v>
      </c>
      <c r="C80" s="35"/>
      <c r="D80" s="36"/>
      <c r="E80" s="36"/>
      <c r="F80" s="33" t="n">
        <v>3402725.29</v>
      </c>
      <c r="G80" s="34"/>
    </row>
    <row r="81" customFormat="false" ht="12.75" hidden="false" customHeight="false" outlineLevel="0" collapsed="false">
      <c r="A81" s="35"/>
      <c r="B81" s="34" t="s">
        <v>145</v>
      </c>
      <c r="C81" s="35"/>
      <c r="D81" s="36"/>
      <c r="E81" s="36"/>
      <c r="F81" s="33" t="n">
        <v>63.7</v>
      </c>
      <c r="G81" s="34"/>
    </row>
    <row r="82" customFormat="false" ht="12.75" hidden="false" customHeight="false" outlineLevel="0" collapsed="false">
      <c r="A82" s="35"/>
      <c r="B82" s="34" t="s">
        <v>78</v>
      </c>
      <c r="C82" s="35"/>
      <c r="D82" s="36"/>
      <c r="E82" s="36"/>
      <c r="F82" s="39" t="n">
        <v>2479521.08</v>
      </c>
      <c r="G82" s="34"/>
    </row>
    <row r="83" customFormat="false" ht="12.75" hidden="false" customHeight="false" outlineLevel="0" collapsed="false">
      <c r="B83" s="14" t="s">
        <v>33</v>
      </c>
      <c r="F83" s="60" t="n">
        <f aca="false">SUM(F78:F82)</f>
        <v>5883764.2</v>
      </c>
      <c r="G83" s="58" t="n">
        <f aca="false">+F83/F72</f>
        <v>0.0195875481015318</v>
      </c>
    </row>
    <row r="84" customFormat="false" ht="12.75" hidden="false" customHeight="false" outlineLevel="0" collapsed="false">
      <c r="B84" s="14"/>
      <c r="F84" s="51"/>
      <c r="G84" s="58"/>
    </row>
    <row r="85" customFormat="false" ht="12.75" hidden="false" customHeight="false" outlineLevel="0" collapsed="false">
      <c r="A85" s="35"/>
      <c r="B85" s="34" t="s">
        <v>206</v>
      </c>
      <c r="C85" s="35"/>
      <c r="D85" s="36"/>
      <c r="E85" s="36"/>
      <c r="F85" s="39" t="n">
        <v>2984041.7</v>
      </c>
      <c r="G85" s="58" t="n">
        <f aca="false">+F85/F72</f>
        <v>0.00993412692094744</v>
      </c>
    </row>
    <row r="86" customFormat="false" ht="15.75" hidden="false" customHeight="false" outlineLevel="0" collapsed="false">
      <c r="B86" s="5"/>
    </row>
    <row r="87" customFormat="false" ht="16.5" hidden="false" customHeight="false" outlineLevel="0" collapsed="false">
      <c r="B87" s="44" t="s">
        <v>34</v>
      </c>
      <c r="C87" s="45"/>
      <c r="D87" s="46"/>
      <c r="E87" s="46"/>
      <c r="F87" s="47" t="n">
        <f aca="false">+F72-F76-F83+F85</f>
        <v>256935222.97</v>
      </c>
      <c r="G87" s="59" t="n">
        <f aca="false">+F87/F72</f>
        <v>0.855359063998974</v>
      </c>
    </row>
    <row r="88" customFormat="false" ht="15.75" hidden="false" customHeight="false" outlineLevel="0" collapsed="false">
      <c r="B88" s="49"/>
      <c r="C88" s="35"/>
      <c r="D88" s="36"/>
      <c r="E88" s="36"/>
      <c r="F88" s="50"/>
    </row>
    <row r="89" customFormat="false" ht="15.75" hidden="false" customHeight="false" outlineLevel="0" collapsed="false">
      <c r="B89" s="5"/>
    </row>
    <row r="90" customFormat="false" ht="15.75" hidden="false" customHeight="false" outlineLevel="0" collapsed="false">
      <c r="B90" s="49" t="s">
        <v>35</v>
      </c>
      <c r="C90" s="35"/>
      <c r="D90" s="36"/>
      <c r="E90" s="36"/>
      <c r="F90" s="34"/>
    </row>
    <row r="91" customFormat="false" ht="15.75" hidden="false" customHeight="false" outlineLevel="0" collapsed="false">
      <c r="B91" s="49"/>
      <c r="C91" s="35"/>
      <c r="D91" s="36"/>
      <c r="E91" s="36"/>
      <c r="F91" s="34"/>
    </row>
    <row r="92" customFormat="false" ht="12.75" hidden="false" customHeight="false" outlineLevel="0" collapsed="false">
      <c r="A92" s="35"/>
      <c r="B92" s="34" t="s">
        <v>21</v>
      </c>
      <c r="C92" s="35"/>
      <c r="D92" s="36"/>
      <c r="E92" s="36"/>
      <c r="F92" s="37" t="n">
        <v>274870136.25</v>
      </c>
      <c r="G92" s="61" t="n">
        <f aca="false">+F92/F94</f>
        <v>0.981596195400941</v>
      </c>
    </row>
    <row r="93" customFormat="false" ht="12.75" hidden="false" customHeight="false" outlineLevel="0" collapsed="false">
      <c r="B93" s="34" t="s">
        <v>22</v>
      </c>
      <c r="C93" s="35"/>
      <c r="D93" s="36"/>
      <c r="E93" s="36"/>
      <c r="F93" s="39" t="n">
        <v>5153500.29</v>
      </c>
      <c r="G93" s="61" t="n">
        <f aca="false">+F93/F94</f>
        <v>0.0184038045990587</v>
      </c>
    </row>
    <row r="94" customFormat="false" ht="12.75" hidden="false" customHeight="false" outlineLevel="0" collapsed="false">
      <c r="B94" s="40" t="s">
        <v>23</v>
      </c>
      <c r="C94" s="35"/>
      <c r="D94" s="36"/>
      <c r="E94" s="36"/>
      <c r="F94" s="39" t="n">
        <f aca="false">SUM(F92:F93)</f>
        <v>280023636.54</v>
      </c>
      <c r="G94" s="58" t="n">
        <f aca="false">+F94/F94</f>
        <v>1</v>
      </c>
    </row>
    <row r="95" customFormat="false" ht="15.75" hidden="false" customHeight="false" outlineLevel="0" collapsed="false">
      <c r="B95" s="5"/>
    </row>
    <row r="96" customFormat="false" ht="12.75" hidden="false" customHeight="false" outlineLevel="0" collapsed="false">
      <c r="B96" s="34" t="s">
        <v>141</v>
      </c>
      <c r="C96" s="35"/>
      <c r="D96" s="36"/>
      <c r="E96" s="36"/>
      <c r="F96" s="39" t="n">
        <v>29703202.44</v>
      </c>
    </row>
    <row r="97" customFormat="false" ht="12.75" hidden="false" customHeight="false" outlineLevel="0" collapsed="false">
      <c r="B97" s="40" t="s">
        <v>41</v>
      </c>
      <c r="C97" s="35"/>
      <c r="D97" s="36"/>
      <c r="E97" s="36"/>
      <c r="F97" s="39" t="n">
        <f aca="false">SUM(F96)</f>
        <v>29703202.44</v>
      </c>
      <c r="G97" s="58" t="n">
        <f aca="false">+F97/F94</f>
        <v>0.1060739114991</v>
      </c>
    </row>
    <row r="98" customFormat="false" ht="15.75" hidden="false" customHeight="false" outlineLevel="0" collapsed="false">
      <c r="B98" s="5"/>
    </row>
    <row r="99" customFormat="false" ht="12.75" hidden="false" customHeight="false" outlineLevel="0" collapsed="false">
      <c r="B99" s="34" t="s">
        <v>109</v>
      </c>
      <c r="C99" s="35"/>
      <c r="D99" s="36"/>
      <c r="E99" s="36"/>
      <c r="F99" s="51" t="n">
        <v>434861.71</v>
      </c>
    </row>
    <row r="100" customFormat="false" ht="12.75" hidden="false" customHeight="false" outlineLevel="0" collapsed="false">
      <c r="B100" s="34" t="s">
        <v>88</v>
      </c>
      <c r="C100" s="35"/>
      <c r="D100" s="36"/>
      <c r="E100" s="36"/>
      <c r="F100" s="51" t="n">
        <v>3337418.44</v>
      </c>
    </row>
    <row r="101" customFormat="false" ht="12.75" hidden="false" customHeight="false" outlineLevel="0" collapsed="false">
      <c r="B101" s="34" t="s">
        <v>89</v>
      </c>
      <c r="C101" s="35"/>
      <c r="D101" s="36"/>
      <c r="E101" s="36"/>
      <c r="F101" s="51" t="n">
        <v>2968438.1</v>
      </c>
    </row>
    <row r="102" customFormat="false" ht="12.75" hidden="false" customHeight="false" outlineLevel="0" collapsed="false">
      <c r="B102" s="34" t="s">
        <v>162</v>
      </c>
      <c r="C102" s="35"/>
      <c r="D102" s="36"/>
      <c r="E102" s="36"/>
      <c r="F102" s="51" t="n">
        <v>22.43</v>
      </c>
    </row>
    <row r="103" customFormat="false" ht="12.75" hidden="false" customHeight="false" outlineLevel="0" collapsed="false">
      <c r="B103" s="34" t="s">
        <v>113</v>
      </c>
      <c r="C103" s="35"/>
      <c r="D103" s="36"/>
      <c r="E103" s="36"/>
      <c r="F103" s="51" t="n">
        <v>323061.74</v>
      </c>
    </row>
    <row r="104" customFormat="false" ht="12.75" hidden="false" customHeight="false" outlineLevel="0" collapsed="false">
      <c r="B104" s="34" t="s">
        <v>179</v>
      </c>
      <c r="C104" s="35"/>
      <c r="D104" s="36"/>
      <c r="E104" s="36"/>
      <c r="F104" s="51" t="n">
        <v>149679.06</v>
      </c>
    </row>
    <row r="105" customFormat="false" ht="12.75" hidden="false" customHeight="false" outlineLevel="0" collapsed="false">
      <c r="B105" s="34" t="s">
        <v>144</v>
      </c>
      <c r="C105" s="35"/>
      <c r="D105" s="36"/>
      <c r="E105" s="36"/>
      <c r="F105" s="51" t="n">
        <v>2000087.82</v>
      </c>
    </row>
    <row r="106" customFormat="false" ht="12.75" hidden="false" customHeight="false" outlineLevel="0" collapsed="false">
      <c r="B106" s="34" t="s">
        <v>205</v>
      </c>
      <c r="C106" s="35"/>
      <c r="D106" s="36"/>
      <c r="E106" s="36"/>
      <c r="F106" s="51" t="n">
        <v>56824014.52</v>
      </c>
    </row>
    <row r="107" customFormat="false" ht="12.75" hidden="false" customHeight="false" outlineLevel="0" collapsed="false">
      <c r="B107" s="34" t="s">
        <v>145</v>
      </c>
      <c r="C107" s="35"/>
      <c r="D107" s="36"/>
      <c r="E107" s="36"/>
      <c r="F107" s="51" t="n">
        <v>431852.47</v>
      </c>
    </row>
    <row r="108" customFormat="false" ht="12.75" hidden="false" customHeight="false" outlineLevel="0" collapsed="false">
      <c r="B108" s="34" t="s">
        <v>146</v>
      </c>
      <c r="C108" s="35"/>
      <c r="D108" s="36"/>
      <c r="E108" s="36"/>
      <c r="F108" s="60" t="n">
        <v>2479521.08</v>
      </c>
    </row>
    <row r="109" customFormat="false" ht="12.75" hidden="false" customHeight="false" outlineLevel="0" collapsed="false">
      <c r="B109" s="14" t="s">
        <v>33</v>
      </c>
      <c r="C109" s="35"/>
      <c r="D109" s="36"/>
      <c r="E109" s="36"/>
      <c r="F109" s="60" t="n">
        <f aca="false">SUM(F99:F108)</f>
        <v>68948957.37</v>
      </c>
      <c r="G109" s="58" t="n">
        <f aca="false">+F109/F94</f>
        <v>0.246225490897626</v>
      </c>
    </row>
    <row r="110" customFormat="false" ht="15.75" hidden="false" customHeight="false" outlineLevel="0" collapsed="false">
      <c r="B110" s="5"/>
    </row>
    <row r="111" customFormat="false" ht="16.5" hidden="false" customHeight="false" outlineLevel="0" collapsed="false">
      <c r="B111" s="44" t="s">
        <v>55</v>
      </c>
      <c r="C111" s="45"/>
      <c r="D111" s="46"/>
      <c r="E111" s="46"/>
      <c r="F111" s="47" t="n">
        <f aca="false">+F94-F97-F109</f>
        <v>181371476.73</v>
      </c>
      <c r="G111" s="59" t="n">
        <f aca="false">+F111/F94</f>
        <v>0.647700597603274</v>
      </c>
    </row>
    <row r="112" customFormat="false" ht="15.75" hidden="false" customHeight="false" outlineLevel="0" collapsed="false">
      <c r="B112" s="5"/>
    </row>
  </sheetData>
  <printOptions headings="false" gridLines="false" gridLinesSet="true" horizontalCentered="false" verticalCentered="false"/>
  <pageMargins left="0.5" right="0.25" top="0.5" bottom="0.5" header="0.511811023622047" footer="0"/>
  <pageSetup paperSize="1" scale="78" fitToWidth="1" fitToHeight="1" pageOrder="downThenOver" orientation="portrait" blackAndWhite="false" draft="false" cellComments="none" horizontalDpi="300" verticalDpi="300" copies="1"/>
  <headerFooter differentFirst="false" differentOddEven="false">
    <oddHeader/>
    <oddFooter>&amp;LCertification September 28, 2001&amp;CPage &amp;P of &amp;N&amp;RTrade Month June 2001</oddFooter>
  </headerFooter>
  <rowBreaks count="1" manualBreakCount="1">
    <brk id="62"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2"/>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A15" activeCellId="0" sqref="A15"/>
    </sheetView>
  </sheetViews>
  <sheetFormatPr defaultColWidth="9.0546875" defaultRowHeight="12.75" customHeight="true" zeroHeight="false" outlineLevelRow="0" outlineLevelCol="0"/>
  <cols>
    <col collapsed="false" customWidth="true" hidden="false" outlineLevel="0" max="1" min="1" style="0" width="70.7"/>
    <col collapsed="false" customWidth="true" hidden="false" outlineLevel="0" max="2" min="2" style="0" width="16.7"/>
  </cols>
  <sheetData>
    <row r="1" customFormat="false" ht="15.75" hidden="false" customHeight="true" outlineLevel="0" collapsed="false">
      <c r="A1" s="3" t="s">
        <v>207</v>
      </c>
    </row>
    <row r="2" customFormat="false" ht="15.75" hidden="false" customHeight="true" outlineLevel="0" collapsed="false">
      <c r="A2" s="5"/>
    </row>
    <row r="3" customFormat="false" ht="15.75" hidden="false" customHeight="true" outlineLevel="0" collapsed="false">
      <c r="A3" s="79" t="s">
        <v>208</v>
      </c>
    </row>
    <row r="4" customFormat="false" ht="15.75" hidden="false" customHeight="true" outlineLevel="0" collapsed="false">
      <c r="A4" s="80" t="s">
        <v>209</v>
      </c>
    </row>
    <row r="5" customFormat="false" ht="15.75" hidden="false" customHeight="true" outlineLevel="0" collapsed="false">
      <c r="A5" s="80" t="s">
        <v>210</v>
      </c>
    </row>
    <row r="6" customFormat="false" ht="15.75" hidden="false" customHeight="true" outlineLevel="0" collapsed="false">
      <c r="A6" s="80" t="s">
        <v>211</v>
      </c>
    </row>
    <row r="7" customFormat="false" ht="15.75" hidden="false" customHeight="true" outlineLevel="0" collapsed="false">
      <c r="A7" s="80" t="s">
        <v>212</v>
      </c>
    </row>
    <row r="8" customFormat="false" ht="15.75" hidden="false" customHeight="true" outlineLevel="0" collapsed="false">
      <c r="A8" s="80" t="s">
        <v>213</v>
      </c>
    </row>
    <row r="9" customFormat="false" ht="15.75" hidden="false" customHeight="true" outlineLevel="0" collapsed="false">
      <c r="A9" s="80" t="s">
        <v>214</v>
      </c>
    </row>
    <row r="10" customFormat="false" ht="15.75" hidden="false" customHeight="true" outlineLevel="0" collapsed="false">
      <c r="A10" s="80" t="s">
        <v>215</v>
      </c>
    </row>
    <row r="11" customFormat="false" ht="15.75" hidden="false" customHeight="true" outlineLevel="0" collapsed="false">
      <c r="A11" s="80" t="s">
        <v>216</v>
      </c>
    </row>
    <row r="12" customFormat="false" ht="15.75" hidden="false" customHeight="true" outlineLevel="0" collapsed="false">
      <c r="A12" s="80"/>
    </row>
    <row r="13" customFormat="false" ht="15.75" hidden="false" customHeight="true" outlineLevel="0" collapsed="false">
      <c r="A13" s="80"/>
    </row>
    <row r="14" customFormat="false" ht="15.75" hidden="false" customHeight="true" outlineLevel="0" collapsed="false"/>
    <row r="15" customFormat="false" ht="15.75" hidden="false" customHeight="true" outlineLevel="0" collapsed="false">
      <c r="A15" s="5" t="s">
        <v>217</v>
      </c>
    </row>
    <row r="16" customFormat="false" ht="15.75" hidden="false" customHeight="true" outlineLevel="0" collapsed="false">
      <c r="A16" s="81"/>
    </row>
    <row r="17" customFormat="false" ht="102.75" hidden="false" customHeight="true" outlineLevel="0" collapsed="false">
      <c r="A17" s="82" t="s">
        <v>218</v>
      </c>
    </row>
    <row r="18" customFormat="false" ht="15.75" hidden="false" customHeight="true" outlineLevel="0" collapsed="false"/>
    <row r="19" customFormat="false" ht="15.75" hidden="false" customHeight="true" outlineLevel="0" collapsed="false">
      <c r="A19" s="5" t="s">
        <v>219</v>
      </c>
    </row>
    <row r="20" customFormat="false" ht="15.75" hidden="false" customHeight="true" outlineLevel="0" collapsed="false">
      <c r="A20" s="5" t="s">
        <v>220</v>
      </c>
    </row>
    <row r="21" customFormat="false" ht="54.75" hidden="false" customHeight="true" outlineLevel="0" collapsed="false">
      <c r="A21" s="83" t="s">
        <v>221</v>
      </c>
    </row>
    <row r="22" customFormat="false" ht="15.75" hidden="false" customHeight="true" outlineLevel="0" collapsed="false">
      <c r="A22" s="5" t="s">
        <v>222</v>
      </c>
    </row>
  </sheetData>
  <printOptions headings="false" gridLines="false" gridLinesSet="true" horizontalCentered="false" verticalCentered="false"/>
  <pageMargins left="1"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&amp;LCertification September 28, 2001&amp;CPage 1</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1998-02-16T23:11:47Z</dcterms:created>
  <dc:creator>Brown and Caldwell</dc:creator>
  <dc:description/>
  <dc:language>en-US</dc:language>
  <cp:lastModifiedBy>mepstein</cp:lastModifiedBy>
  <cp:lastPrinted>2001-09-28T16:58:19Z</cp:lastPrinted>
  <dcterms:modified xsi:type="dcterms:W3CDTF">2001-09-28T16:59:21Z</dcterms:modified>
  <cp:revision>0</cp:revision>
  <dc:subject/>
  <dc:title/>
</cp:coreProperties>
</file>