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ert Nov-00" sheetId="1" state="visible" r:id="rId3"/>
    <sheet name="Cert Dec-00" sheetId="2" state="visible" r:id="rId4"/>
    <sheet name="Cert Jan-01" sheetId="3" state="visible" r:id="rId5"/>
    <sheet name="Cert Feb-01" sheetId="4" state="visible" r:id="rId6"/>
    <sheet name="Cert Mar-01" sheetId="5" state="visible" r:id="rId7"/>
    <sheet name="Cert Apr-01" sheetId="6" state="visible" r:id="rId8"/>
    <sheet name="Cert May-01" sheetId="7" state="visible" r:id="rId9"/>
    <sheet name="Certification" sheetId="8" state="visible" r:id="rId10"/>
  </sheets>
  <externalReferences>
    <externalReference r:id="rId11"/>
  </externalReferences>
  <definedNames>
    <definedName function="false" hidden="false" localSheetId="5" name="_xlnm.Print_Area" vbProcedure="false">'Cert Apr-01'!$A$1:$G$129</definedName>
    <definedName function="false" hidden="false" localSheetId="1" name="_xlnm.Print_Area" vbProcedure="false">'Cert Dec-00'!$A$1:$G$88</definedName>
    <definedName function="false" hidden="false" localSheetId="3" name="_xlnm.Print_Area" vbProcedure="false">'Cert Feb-01'!$A$1:$G$129</definedName>
    <definedName function="false" hidden="false" localSheetId="2" name="_xlnm.Print_Area" vbProcedure="false">'Cert Jan-01'!$A$1:$G$97</definedName>
    <definedName function="false" hidden="false" localSheetId="4" name="_xlnm.Print_Area" vbProcedure="false">'Cert Mar-01'!$A$1:$G$137</definedName>
    <definedName function="false" hidden="false" localSheetId="6" name="_xlnm.Print_Area" vbProcedure="false">'Cert May-01'!$A$1:$G$134</definedName>
    <definedName function="false" hidden="false" localSheetId="0" name="_xlnm.Print_Area" vbProcedure="false">'Cert Nov-00'!$A$1:$G$77</definedName>
    <definedName function="false" hidden="false" name="database_apr01" vbProcedure="false">#REF!</definedName>
    <definedName function="false" hidden="false" name="database_dec" vbProcedure="false">#REF!</definedName>
    <definedName function="false" hidden="false" name="database_feb01" vbProcedure="false">#REF!</definedName>
    <definedName function="false" hidden="false" name="database_jan01" vbProcedure="false">#REF!</definedName>
    <definedName function="false" hidden="false" name="database_mar01" vbProcedure="false">#REF!</definedName>
    <definedName function="false" hidden="false" name="database_nov" vbProcedure="false">#REF!</definedName>
    <definedName function="false" hidden="false" name="_MARKET_AP" vbProcedure="false">[1]Summary!$F$8</definedName>
    <definedName function="false" hidden="false" name="_MARKET_SHORTFALL" vbProcedure="false">[1]Summary!$F$12</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<sst xmlns="http://schemas.openxmlformats.org/spreadsheetml/2006/main" count="820" uniqueCount="207">
  <si>
    <t xml:space="preserve">Certification for Market Settlement August 24, 2001</t>
  </si>
  <si>
    <t xml:space="preserve">For the Trade Month of November 2000</t>
  </si>
  <si>
    <t xml:space="preserve">ISO Creditors to whom amounts are Owed</t>
  </si>
  <si>
    <t xml:space="preserve"> #</t>
  </si>
  <si>
    <t xml:space="preserve">Customer Name</t>
  </si>
  <si>
    <t xml:space="preserve">Trade Month</t>
  </si>
  <si>
    <t xml:space="preserve">Amount Owed</t>
  </si>
  <si>
    <t xml:space="preserve">% of total owed to Creditors</t>
  </si>
  <si>
    <t xml:space="preserve">Total Due to 55 SCs (Creditors)</t>
  </si>
  <si>
    <t xml:space="preserve">Amounts owed by ISO Debtor that remain unpaid:</t>
  </si>
  <si>
    <t xml:space="preserve">Preliminary and final invoices were provided in February's certification.</t>
  </si>
  <si>
    <t xml:space="preserve">Date</t>
  </si>
  <si>
    <t xml:space="preserve">Inv #</t>
  </si>
  <si>
    <t xml:space="preserve">Type</t>
  </si>
  <si>
    <t xml:space="preserve">Unpaid Balance</t>
  </si>
  <si>
    <t xml:space="preserve">% of total due from Debtors</t>
  </si>
  <si>
    <t xml:space="preserve">California Power Exchange</t>
  </si>
  <si>
    <t xml:space="preserve">Mkt</t>
  </si>
  <si>
    <t xml:space="preserve">Total Due From SCs (Debtors)</t>
  </si>
  <si>
    <t xml:space="preserve">Summary of activity for Trade Month of November 2000:</t>
  </si>
  <si>
    <t xml:space="preserve">Due from SCs</t>
  </si>
  <si>
    <t xml:space="preserve">Preliminary Invoices</t>
  </si>
  <si>
    <t xml:space="preserve">Final Invoices</t>
  </si>
  <si>
    <t xml:space="preserve">Total Invoiced</t>
  </si>
  <si>
    <t xml:space="preserve">Collected 2/1/01</t>
  </si>
  <si>
    <t xml:space="preserve">Collected 2/9/01</t>
  </si>
  <si>
    <t xml:space="preserve">Collected 2/22/01</t>
  </si>
  <si>
    <t xml:space="preserve">Collected 3/5/01</t>
  </si>
  <si>
    <t xml:space="preserve">Total Collected</t>
  </si>
  <si>
    <t xml:space="preserve">Offsets against Nov-00 Market AP </t>
  </si>
  <si>
    <t xml:space="preserve">Cancelled Nov-00 Market AR invoice </t>
  </si>
  <si>
    <t xml:space="preserve">Total Adjustments</t>
  </si>
  <si>
    <t xml:space="preserve">Balance Due from SCs</t>
  </si>
  <si>
    <t xml:space="preserve">Due to SCs</t>
  </si>
  <si>
    <t xml:space="preserve">Paid 2/1/01</t>
  </si>
  <si>
    <t xml:space="preserve">Paid 2/9/01</t>
  </si>
  <si>
    <t xml:space="preserve">Paid 2/22/01</t>
  </si>
  <si>
    <t xml:space="preserve">Paid 3/7/01</t>
  </si>
  <si>
    <t xml:space="preserve">Paid 4/26/01</t>
  </si>
  <si>
    <t xml:space="preserve">Total Paid</t>
  </si>
  <si>
    <t xml:space="preserve">Offsets against Oct-00 Market AR </t>
  </si>
  <si>
    <t xml:space="preserve">Offsets against Nov-00 GMC </t>
  </si>
  <si>
    <t xml:space="preserve">Offsets against Nov-00 Market AR </t>
  </si>
  <si>
    <t xml:space="preserve">Offsets against Dec-00 GMC</t>
  </si>
  <si>
    <t xml:space="preserve">Offsets against Dec-00 Market AR </t>
  </si>
  <si>
    <t xml:space="preserve">Offsets against Jan-01 GMC </t>
  </si>
  <si>
    <t xml:space="preserve">Offsets against Jan-01 Market AP</t>
  </si>
  <si>
    <t xml:space="preserve">Offsets against Feb-01 GMC </t>
  </si>
  <si>
    <t xml:space="preserve">Offsets against Feb-01 Market AR </t>
  </si>
  <si>
    <t xml:space="preserve">Offsets against Mar-01 Market AR</t>
  </si>
  <si>
    <t xml:space="preserve">Offsets against Mar-01 GMC</t>
  </si>
  <si>
    <t xml:space="preserve">Offsets against Apr-01 AR</t>
  </si>
  <si>
    <t xml:space="preserve">FERC ordered reduction Nov-00 Market AP</t>
  </si>
  <si>
    <t xml:space="preserve">Balance Due to SCs</t>
  </si>
  <si>
    <t xml:space="preserve">For the Trade Month of December 2000</t>
  </si>
  <si>
    <t xml:space="preserve">ISO Creditors to whom amounts are Owed:</t>
  </si>
  <si>
    <t xml:space="preserve">Total Due to 48 SCs (Creditors)</t>
  </si>
  <si>
    <t xml:space="preserve">Preliminary and final invoices were provided in March's certification.</t>
  </si>
  <si>
    <t xml:space="preserve">Pacific Gas and Electric (a)</t>
  </si>
  <si>
    <t xml:space="preserve">Salt River project</t>
  </si>
  <si>
    <t xml:space="preserve">Southern California Edison</t>
  </si>
  <si>
    <t xml:space="preserve">Strategic Energy</t>
  </si>
  <si>
    <t xml:space="preserve">(a) - pre-bankruptcy activity</t>
  </si>
  <si>
    <t xml:space="preserve">Summary of activity for Trade Month of December 2000:</t>
  </si>
  <si>
    <t xml:space="preserve">Collected 3/9/01</t>
  </si>
  <si>
    <t xml:space="preserve">Collected 3/22/01</t>
  </si>
  <si>
    <t xml:space="preserve">Collected 4/20/01</t>
  </si>
  <si>
    <t xml:space="preserve">Offset against Nov-00 Market AP</t>
  </si>
  <si>
    <t xml:space="preserve">Cancelled Dec-00 Market AR invoice </t>
  </si>
  <si>
    <t xml:space="preserve">Offset against Dec-00 Market AP </t>
  </si>
  <si>
    <t xml:space="preserve">Offset against Jan-01 GMC</t>
  </si>
  <si>
    <t xml:space="preserve">Offset against Jan-01 Market AP </t>
  </si>
  <si>
    <t xml:space="preserve">Offset against Feb-01 Market AP </t>
  </si>
  <si>
    <t xml:space="preserve">Offset against Mar-01 Market AP</t>
  </si>
  <si>
    <t xml:space="preserve">Offset against Apr-01 Market AP</t>
  </si>
  <si>
    <t xml:space="preserve">Offset against May-01 Market AP</t>
  </si>
  <si>
    <t xml:space="preserve">Paid 3/97/01</t>
  </si>
  <si>
    <t xml:space="preserve">Paid 3/23/01</t>
  </si>
  <si>
    <t xml:space="preserve">Paid 3/27/01</t>
  </si>
  <si>
    <t xml:space="preserve">Paid 4/23/01</t>
  </si>
  <si>
    <t xml:space="preserve">Offset against Dec-00 GMC</t>
  </si>
  <si>
    <t xml:space="preserve">Offset against Dec-00 Market AR </t>
  </si>
  <si>
    <t xml:space="preserve">Cancelled Dec-00 Market AP invoices</t>
  </si>
  <si>
    <t xml:space="preserve">Offset against Jan-01 Market AR </t>
  </si>
  <si>
    <t xml:space="preserve">Offset against Feb-01 Market AR</t>
  </si>
  <si>
    <t xml:space="preserve">Offset against Mar-01 Market AR</t>
  </si>
  <si>
    <t xml:space="preserve">FERC ordered reduction Dec-00 Market AP</t>
  </si>
  <si>
    <t xml:space="preserve">For the Trade Month of January 2001</t>
  </si>
  <si>
    <t xml:space="preserve">Total Due to 51 SCs (Creditors)</t>
  </si>
  <si>
    <t xml:space="preserve">Preliminary and final invoices were provided in April's certification.</t>
  </si>
  <si>
    <t xml:space="preserve">Aquila Power</t>
  </si>
  <si>
    <t xml:space="preserve">GMC</t>
  </si>
  <si>
    <t xml:space="preserve">British Columbia power Exchange</t>
  </si>
  <si>
    <t xml:space="preserve">Idaho Power Company</t>
  </si>
  <si>
    <t xml:space="preserve">Sacramento Municipal Utility District</t>
  </si>
  <si>
    <t xml:space="preserve">Turlock Irrigation District</t>
  </si>
  <si>
    <t xml:space="preserve">British Columbia Power Exchange</t>
  </si>
  <si>
    <t xml:space="preserve">Pacific Gas and Electric (California Power Exchange) (a)</t>
  </si>
  <si>
    <t xml:space="preserve">Pacific Gas and Electric Company (a)</t>
  </si>
  <si>
    <t xml:space="preserve">Summary of activity for Trade Month of January 2001:</t>
  </si>
  <si>
    <t xml:space="preserve">Collected 4/2/01</t>
  </si>
  <si>
    <t xml:space="preserve">Offset against Dec-00 Market AP</t>
  </si>
  <si>
    <t xml:space="preserve">Cancelled Jan-01 Market AR invoices</t>
  </si>
  <si>
    <t xml:space="preserve">Add Uncollected Jan-01 GMC</t>
  </si>
  <si>
    <t xml:space="preserve">Paid 4/2/01</t>
  </si>
  <si>
    <t xml:space="preserve">Paid 4/27/01</t>
  </si>
  <si>
    <t xml:space="preserve">Offset against Dec-00 Market AR</t>
  </si>
  <si>
    <t xml:space="preserve">Offset against Jan-01 Market AR</t>
  </si>
  <si>
    <t xml:space="preserve">Issued Jan-01 Market AP invoice </t>
  </si>
  <si>
    <t xml:space="preserve">Cancelled Jan-01 Market AP invoices</t>
  </si>
  <si>
    <t xml:space="preserve">Offset against Apr-01 Market AR</t>
  </si>
  <si>
    <t xml:space="preserve">Excess of Balance Due to SCs over Due from SCs</t>
  </si>
  <si>
    <t xml:space="preserve">Attributable to Trade Month of November 2000</t>
  </si>
  <si>
    <t xml:space="preserve">Attributable to Trade Month of December 2000</t>
  </si>
  <si>
    <t xml:space="preserve">Total</t>
  </si>
  <si>
    <t xml:space="preserve">For the Trade Month of February 2001</t>
  </si>
  <si>
    <t xml:space="preserve">Total Due to 26 SCs (Creditors)</t>
  </si>
  <si>
    <t xml:space="preserve">Preliminary and final invoices were provided in May's certification.</t>
  </si>
  <si>
    <t xml:space="preserve">Arizona Public Service</t>
  </si>
  <si>
    <t xml:space="preserve">Seattle City Light</t>
  </si>
  <si>
    <t xml:space="preserve">City of Anaheim</t>
  </si>
  <si>
    <t xml:space="preserve">City of Azuza</t>
  </si>
  <si>
    <t xml:space="preserve">Amounts owed by ISO Debtor that remain unpaid (continued):</t>
  </si>
  <si>
    <t xml:space="preserve">City of Riverside</t>
  </si>
  <si>
    <t xml:space="preserve">Salt River Project</t>
  </si>
  <si>
    <t xml:space="preserve">Collected 5/2/01</t>
  </si>
  <si>
    <t xml:space="preserve">Collected 5/1701</t>
  </si>
  <si>
    <t xml:space="preserve">Collected 5/31/01</t>
  </si>
  <si>
    <t xml:space="preserve">Collected 6/1901</t>
  </si>
  <si>
    <t xml:space="preserve">Collected 7/19/01</t>
  </si>
  <si>
    <t xml:space="preserve">Collected 8/20/01</t>
  </si>
  <si>
    <t xml:space="preserve">Offset against Jan-01 Market AP</t>
  </si>
  <si>
    <t xml:space="preserve">Cancelled Feb-01 Market AR invoices</t>
  </si>
  <si>
    <t xml:space="preserve">Offset against April-00 Market AP</t>
  </si>
  <si>
    <t xml:space="preserve">Add Uncollected Feb-01 GMC</t>
  </si>
  <si>
    <t xml:space="preserve">Paid 5/3/01</t>
  </si>
  <si>
    <t xml:space="preserve">Paid 5/17/01</t>
  </si>
  <si>
    <t xml:space="preserve">Paid 6/19/01</t>
  </si>
  <si>
    <t xml:space="preserve">Paid 8/23/01</t>
  </si>
  <si>
    <t xml:space="preserve">Offset against Feb-01 GMC</t>
  </si>
  <si>
    <t xml:space="preserve">For the Trade Month of March 2001</t>
  </si>
  <si>
    <t xml:space="preserve">Preliminary and final invoices were provided in June's certification.</t>
  </si>
  <si>
    <t xml:space="preserve">Aquila Power Corporation</t>
  </si>
  <si>
    <t xml:space="preserve">City of Glendale</t>
  </si>
  <si>
    <t xml:space="preserve">Coral Power, LLC </t>
  </si>
  <si>
    <t xml:space="preserve">Duke Energy and Trading</t>
  </si>
  <si>
    <t xml:space="preserve">Edison Source</t>
  </si>
  <si>
    <t xml:space="preserve">Louisville Gas and Electric</t>
  </si>
  <si>
    <t xml:space="preserve">Portland General Electric</t>
  </si>
  <si>
    <t xml:space="preserve">Collected 6/19/01</t>
  </si>
  <si>
    <t xml:space="preserve">Cancelled Mar-01 Market AR invoices</t>
  </si>
  <si>
    <t xml:space="preserve">Offset against Mar-01 GMC</t>
  </si>
  <si>
    <t xml:space="preserve">Offset against Feb-01 Market AP</t>
  </si>
  <si>
    <t xml:space="preserve">Add Uncollected Feb-01 GMC 7/24/01</t>
  </si>
  <si>
    <t xml:space="preserve">Paid 6/4/01</t>
  </si>
  <si>
    <t xml:space="preserve">Offset against Apr-01 GMC</t>
  </si>
  <si>
    <t xml:space="preserve">For the Trade Month of April 2001</t>
  </si>
  <si>
    <t xml:space="preserve">Preliminary and final invoices were provided in July's certification.</t>
  </si>
  <si>
    <t xml:space="preserve">Constellation Power Source</t>
  </si>
  <si>
    <t xml:space="preserve">Pacific Gas and Electric</t>
  </si>
  <si>
    <t xml:space="preserve">City of Banning</t>
  </si>
  <si>
    <t xml:space="preserve">City of Pasadena</t>
  </si>
  <si>
    <t xml:space="preserve">Koch Energy Trading</t>
  </si>
  <si>
    <t xml:space="preserve">Louisville Gans and Electric</t>
  </si>
  <si>
    <t xml:space="preserve">Pacific Gas and Electric (California PX) (a)</t>
  </si>
  <si>
    <t xml:space="preserve">Reliant Energy Services</t>
  </si>
  <si>
    <t xml:space="preserve">Collected 6/29/01</t>
  </si>
  <si>
    <t xml:space="preserve">Cancelled Apr-01 Market AR invoices</t>
  </si>
  <si>
    <t xml:space="preserve">Add Uncollected Apr-01 GMC </t>
  </si>
  <si>
    <t xml:space="preserve">Paid 6/29/01</t>
  </si>
  <si>
    <t xml:space="preserve">Paid 7/24/01</t>
  </si>
  <si>
    <t xml:space="preserve">Cancelled Apr-01 Market AP invoices</t>
  </si>
  <si>
    <t xml:space="preserve">Offset against May-01 Market AR</t>
  </si>
  <si>
    <t xml:space="preserve">Offset against May-01 GMC</t>
  </si>
  <si>
    <t xml:space="preserve">For the Trade Month of May 2001</t>
  </si>
  <si>
    <t xml:space="preserve">Total Due to 28 SCs (Creditors)</t>
  </si>
  <si>
    <t xml:space="preserve">Preliminary and final invoices were provided in August's certification.</t>
  </si>
  <si>
    <t xml:space="preserve">Dynegy Power Marketing</t>
  </si>
  <si>
    <t xml:space="preserve">Mirant</t>
  </si>
  <si>
    <t xml:space="preserve">Citizens Power Sales</t>
  </si>
  <si>
    <t xml:space="preserve">Illinova Energy Partners</t>
  </si>
  <si>
    <t xml:space="preserve">Los Angeles Department of Water and Power</t>
  </si>
  <si>
    <t xml:space="preserve">Mirant (b)</t>
  </si>
  <si>
    <t xml:space="preserve">PPL Montana</t>
  </si>
  <si>
    <t xml:space="preserve">Public Service Company of New Mexico</t>
  </si>
  <si>
    <t xml:space="preserve">Puget Sound Energy</t>
  </si>
  <si>
    <t xml:space="preserve">Sierra Pacific Power Company</t>
  </si>
  <si>
    <t xml:space="preserve">Western Area Power Administration - Redding</t>
  </si>
  <si>
    <t xml:space="preserve">(b) - paid 8/23/01</t>
  </si>
  <si>
    <t xml:space="preserve">Collected 8/1/01</t>
  </si>
  <si>
    <t xml:space="preserve">Collected 8/21/01</t>
  </si>
  <si>
    <t xml:space="preserve">Offset against Apr-01 Market AP </t>
  </si>
  <si>
    <t xml:space="preserve">Add Uncollected May-01 GMC </t>
  </si>
  <si>
    <t xml:space="preserve">Certification for Market Settlement August 24, 2001 </t>
  </si>
  <si>
    <t xml:space="preserve">For the Trade Months of:</t>
  </si>
  <si>
    <t xml:space="preserve">November 2000</t>
  </si>
  <si>
    <t xml:space="preserve">December 2000</t>
  </si>
  <si>
    <t xml:space="preserve">January 2001</t>
  </si>
  <si>
    <t xml:space="preserve">February 2001</t>
  </si>
  <si>
    <t xml:space="preserve">March 2001</t>
  </si>
  <si>
    <t xml:space="preserve">April 2001</t>
  </si>
  <si>
    <t xml:space="preserve">May 2001</t>
  </si>
  <si>
    <t xml:space="preserve">Certification:</t>
  </si>
  <si>
    <t xml:space="preserve">I, William J. Regan, Jr., hereby certify as Chief Financial Officer at the  California Independent System Operator Corporation ("ISO") that the following information and schedules and attached invoices of ISO Debtors is a true and accurate reflection of the current financial data set forth.</t>
  </si>
  <si>
    <t xml:space="preserve">Dated:  August 24, 2001</t>
  </si>
  <si>
    <t xml:space="preserve">Signature: </t>
  </si>
  <si>
    <r>
      <rPr>
        <b val="true"/>
        <sz val="12"/>
        <rFont val="Arial"/>
        <family val="2"/>
      </rPr>
      <t xml:space="preserve">by:  </t>
    </r>
    <r>
      <rPr>
        <b val="true"/>
        <i val="true"/>
        <sz val="12"/>
        <rFont val="Arial"/>
        <family val="2"/>
      </rPr>
      <t xml:space="preserve">William J. Regan, Jr.</t>
    </r>
    <r>
      <rPr>
        <b val="true"/>
        <sz val="12"/>
        <rFont val="Arial"/>
        <family val="2"/>
      </rPr>
      <t xml:space="preserve"> Chief Financial Officer</t>
    </r>
  </si>
</sst>
</file>

<file path=xl/styles.xml><?xml version="1.0" encoding="utf-8"?>
<styleSheet xmlns="http://schemas.openxmlformats.org/spreadsheetml/2006/main">
  <numFmts count="10">
    <numFmt numFmtId="164" formatCode="General"/>
    <numFmt numFmtId="165" formatCode="_(* #,##0.00_);_(* \(#,##0.00\);_(* \-??_);_(@_)"/>
    <numFmt numFmtId="166" formatCode="_(\$* #,##0.00_);_(\$* \(#,##0.00\);_(\$* \-??_);_(@_)"/>
    <numFmt numFmtId="167" formatCode="0%"/>
    <numFmt numFmtId="168" formatCode="0.000%"/>
    <numFmt numFmtId="169" formatCode="[$-409]d\-mmm\-yy"/>
    <numFmt numFmtId="170" formatCode="[$-409]m/d/yyyy"/>
    <numFmt numFmtId="171" formatCode="dd\-mmm\-yy"/>
    <numFmt numFmtId="172" formatCode="0.0000%"/>
    <numFmt numFmtId="173" formatCode="@"/>
  </numFmts>
  <fonts count="14">
    <font>
      <sz val="10"/>
      <name val="Arial"/>
      <family val="0"/>
    </font>
    <font>
      <sz val="10"/>
      <name val="Arial"/>
      <family val="0"/>
    </font>
    <font>
      <sz val="10"/>
      <name val="Arial"/>
      <family val="0"/>
    </font>
    <font>
      <sz val="10"/>
      <name val="Arial"/>
      <family val="0"/>
    </font>
    <font>
      <sz val="8"/>
      <name val="Arial"/>
      <family val="2"/>
    </font>
    <font>
      <b val="true"/>
      <sz val="12"/>
      <name val="Arial"/>
      <family val="2"/>
    </font>
    <font>
      <b val="true"/>
      <sz val="8"/>
      <name val="Arial"/>
      <family val="2"/>
    </font>
    <font>
      <b val="true"/>
      <sz val="10"/>
      <name val="Arial"/>
      <family val="2"/>
    </font>
    <font>
      <sz val="8"/>
      <color rgb="FF000000"/>
      <name val="Arial"/>
      <family val="2"/>
    </font>
    <font>
      <sz val="10"/>
      <color rgb="FF000000"/>
      <name val="Arial"/>
      <family val="2"/>
    </font>
    <font>
      <sz val="10"/>
      <name val="Arial"/>
      <family val="2"/>
    </font>
    <font>
      <b val="true"/>
      <sz val="10"/>
      <color rgb="FF000000"/>
      <name val="Arial"/>
      <family val="2"/>
    </font>
    <font>
      <b val="true"/>
      <u val="single"/>
      <sz val="12"/>
      <name val="Arial"/>
      <family val="2"/>
    </font>
    <font>
      <b val="true"/>
      <i val="true"/>
      <sz val="12"/>
      <name val="Arial"/>
      <family val="2"/>
    </font>
  </fonts>
  <fills count="2">
    <fill>
      <patternFill patternType="none"/>
    </fill>
    <fill>
      <patternFill patternType="gray125"/>
    </fill>
  </fills>
  <borders count="11">
    <border diagonalUp="false" diagonalDown="false">
      <left/>
      <right/>
      <top/>
      <bottom/>
      <diagonal/>
    </border>
    <border diagonalUp="false" diagonalDown="false">
      <left style="thick"/>
      <right style="thick"/>
      <top style="thick"/>
      <bottom style="thick"/>
      <diagonal/>
    </border>
    <border diagonalUp="false" diagonalDown="false">
      <left style="thick"/>
      <right/>
      <top style="thick"/>
      <bottom style="thick"/>
      <diagonal/>
    </border>
    <border diagonalUp="false" diagonalDown="false">
      <left/>
      <right/>
      <top style="thick"/>
      <bottom style="thick"/>
      <diagonal/>
    </border>
    <border diagonalUp="false" diagonalDown="false">
      <left/>
      <right style="thick"/>
      <top style="thick"/>
      <bottom style="thick"/>
      <diagonal/>
    </border>
    <border diagonalUp="false" diagonalDown="false">
      <left/>
      <right/>
      <top/>
      <bottom style="double"/>
      <diagonal/>
    </border>
    <border diagonalUp="false" diagonalDown="false">
      <left style="hair"/>
      <right style="hair"/>
      <top style="hair"/>
      <bottom style="hair"/>
      <diagonal/>
    </border>
    <border diagonalUp="false" diagonalDown="false">
      <left style="hair"/>
      <right style="hair"/>
      <top style="hair"/>
      <bottom style="thin"/>
      <diagonal/>
    </border>
    <border diagonalUp="false" diagonalDown="false">
      <left/>
      <right/>
      <top/>
      <bottom style="thin"/>
      <diagonal/>
    </border>
    <border diagonalUp="false" diagonalDown="false">
      <left/>
      <right/>
      <top/>
      <bottom style="medium"/>
      <diagonal/>
    </border>
    <border diagonalUp="false" diagonalDown="false">
      <left style="hair"/>
      <right style="hair"/>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false" applyProtection="false"/>
  </cellStyleXfs>
  <cellXfs count="8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4" fillId="0" borderId="3" xfId="0" applyFont="true" applyBorder="true" applyAlignment="true" applyProtection="false">
      <alignment horizontal="center" vertical="center" textRotation="0" wrapText="true" indent="0" shrinkToFit="false"/>
      <protection locked="true" hidden="false"/>
    </xf>
    <xf numFmtId="165" fontId="4" fillId="0" borderId="4" xfId="15" applyFont="true" applyBorder="true" applyAlignment="true" applyProtection="true">
      <alignment horizontal="center" vertical="center" textRotation="0" wrapText="true" indent="0" shrinkToFit="false"/>
      <protection locked="true" hidden="false"/>
    </xf>
    <xf numFmtId="165" fontId="4" fillId="0" borderId="1" xfId="15" applyFont="true" applyBorder="tru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5" fontId="4" fillId="0" borderId="0" xfId="15" applyFont="true" applyBorder="true" applyAlignment="true" applyProtection="true">
      <alignment horizontal="center" vertical="bottom"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6" fontId="7" fillId="0" borderId="5" xfId="15" applyFont="true" applyBorder="true" applyAlignment="true" applyProtection="true">
      <alignment horizontal="general" vertical="bottom" textRotation="0" wrapText="false" indent="0" shrinkToFit="false"/>
      <protection locked="true" hidden="false"/>
    </xf>
    <xf numFmtId="168" fontId="7" fillId="0" borderId="5" xfId="19" applyFont="true" applyBorder="true" applyAlignment="true" applyProtection="true">
      <alignment horizontal="general" vertical="bottom" textRotation="0" wrapText="false" indent="0" shrinkToFit="false"/>
      <protection locked="true" hidden="false"/>
    </xf>
    <xf numFmtId="164" fontId="8" fillId="0" borderId="6" xfId="0" applyFont="true" applyBorder="true" applyAlignment="false" applyProtection="false">
      <alignment horizontal="general" vertical="bottom" textRotation="0" wrapText="false" indent="0" shrinkToFit="false"/>
      <protection locked="true" hidden="false"/>
    </xf>
    <xf numFmtId="164" fontId="9" fillId="0" borderId="6" xfId="0" applyFont="true" applyBorder="true" applyAlignment="false" applyProtection="false">
      <alignment horizontal="general" vertical="bottom" textRotation="0" wrapText="false" indent="0" shrinkToFit="false"/>
      <protection locked="true" hidden="false"/>
    </xf>
    <xf numFmtId="169" fontId="4" fillId="0" borderId="6" xfId="0" applyFont="true" applyBorder="true" applyAlignment="true" applyProtection="false">
      <alignment horizontal="general" vertical="bottom" textRotation="0" wrapText="true" indent="0" shrinkToFit="false"/>
      <protection locked="true" hidden="false"/>
    </xf>
    <xf numFmtId="164" fontId="8" fillId="0" borderId="6" xfId="0" applyFont="true" applyBorder="true" applyAlignment="true" applyProtection="false">
      <alignment horizontal="center" vertical="bottom" textRotation="0" wrapText="false" indent="0" shrinkToFit="false"/>
      <protection locked="true" hidden="false"/>
    </xf>
    <xf numFmtId="166" fontId="9" fillId="0" borderId="6" xfId="15" applyFont="true" applyBorder="true" applyAlignment="true" applyProtection="true">
      <alignment horizontal="general" vertical="bottom" textRotation="0" wrapText="false" indent="0" shrinkToFit="false"/>
      <protection locked="true" hidden="false"/>
    </xf>
    <xf numFmtId="168" fontId="10" fillId="0" borderId="6" xfId="19" applyFont="true" applyBorder="true" applyAlignment="true" applyProtection="tru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9" fontId="4" fillId="0" borderId="6"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false" applyProtection="false">
      <alignment horizontal="general" vertical="bottom" textRotation="0" wrapText="false" indent="0" shrinkToFit="false"/>
      <protection locked="true" hidden="false"/>
    </xf>
    <xf numFmtId="165" fontId="9" fillId="0" borderId="7" xfId="15" applyFont="true" applyBorder="true" applyAlignment="true" applyProtection="true">
      <alignment horizontal="general" vertical="bottom" textRotation="0" wrapText="false" indent="0" shrinkToFit="false"/>
      <protection locked="true" hidden="false"/>
    </xf>
    <xf numFmtId="168" fontId="10" fillId="0" borderId="7" xfId="19" applyFont="true" applyBorder="true" applyAlignment="true" applyProtection="tru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70"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6" fontId="9" fillId="0" borderId="0" xfId="15" applyFont="true" applyBorder="true" applyAlignment="true" applyProtection="true">
      <alignment horizontal="general" vertical="bottom" textRotation="0" wrapText="false" indent="0" shrinkToFit="false"/>
      <protection locked="true" hidden="false"/>
    </xf>
    <xf numFmtId="168" fontId="10" fillId="0" borderId="0" xfId="19" applyFont="true" applyBorder="true" applyAlignment="true" applyProtection="true">
      <alignment horizontal="general" vertical="bottom" textRotation="0" wrapText="false" indent="0" shrinkToFit="false"/>
      <protection locked="true" hidden="false"/>
    </xf>
    <xf numFmtId="165" fontId="9" fillId="0" borderId="8" xfId="15" applyFont="true" applyBorder="true" applyAlignment="true" applyProtection="tru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5" fontId="11" fillId="0" borderId="8" xfId="15" applyFont="true" applyBorder="true" applyAlignment="true" applyProtection="true">
      <alignment horizontal="general" vertical="bottom" textRotation="0" wrapText="false" indent="0" shrinkToFit="false"/>
      <protection locked="true" hidden="false"/>
    </xf>
    <xf numFmtId="168" fontId="7" fillId="0" borderId="0" xfId="19" applyFont="true" applyBorder="true" applyAlignment="true" applyProtection="true">
      <alignment horizontal="general" vertical="bottom" textRotation="0" wrapText="false" indent="0" shrinkToFit="false"/>
      <protection locked="true" hidden="false"/>
    </xf>
    <xf numFmtId="165" fontId="7" fillId="0" borderId="8" xfId="0" applyFont="true" applyBorder="true" applyAlignment="false" applyProtection="false">
      <alignment horizontal="general" vertical="bottom" textRotation="0" wrapText="false" indent="0" shrinkToFit="false"/>
      <protection locked="true" hidden="false"/>
    </xf>
    <xf numFmtId="164" fontId="5" fillId="0" borderId="9" xfId="0" applyFont="true" applyBorder="true" applyAlignment="false" applyProtection="false">
      <alignment horizontal="general" vertical="bottom" textRotation="0" wrapText="false" indent="0" shrinkToFit="false"/>
      <protection locked="true" hidden="false"/>
    </xf>
    <xf numFmtId="164" fontId="4" fillId="0" borderId="9" xfId="0" applyFont="true" applyBorder="true" applyAlignment="false" applyProtection="false">
      <alignment horizontal="general" vertical="bottom" textRotation="0" wrapText="false" indent="0" shrinkToFit="false"/>
      <protection locked="true" hidden="false"/>
    </xf>
    <xf numFmtId="164" fontId="4" fillId="0" borderId="9" xfId="0" applyFont="true" applyBorder="true" applyAlignment="true" applyProtection="false">
      <alignment horizontal="center" vertical="bottom" textRotation="0" wrapText="false" indent="0" shrinkToFit="false"/>
      <protection locked="true" hidden="false"/>
    </xf>
    <xf numFmtId="166" fontId="11" fillId="0" borderId="9" xfId="15" applyFont="true" applyBorder="true" applyAlignment="true" applyProtection="true">
      <alignment horizontal="general" vertical="bottom" textRotation="0" wrapText="false" indent="0" shrinkToFit="false"/>
      <protection locked="true" hidden="false"/>
    </xf>
    <xf numFmtId="168" fontId="7" fillId="0" borderId="9" xfId="19"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6" fontId="11"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71" fontId="4" fillId="0" borderId="6" xfId="0" applyFont="true" applyBorder="true" applyAlignment="true" applyProtection="false">
      <alignment horizontal="general" vertical="bottom" textRotation="0" wrapText="true" indent="0" shrinkToFit="false"/>
      <protection locked="true" hidden="false"/>
    </xf>
    <xf numFmtId="165" fontId="9" fillId="0" borderId="6"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8" fontId="7" fillId="0" borderId="0" xfId="0" applyFont="true" applyBorder="false" applyAlignment="false" applyProtection="false">
      <alignment horizontal="general" vertical="bottom" textRotation="0" wrapText="false" indent="0" shrinkToFit="false"/>
      <protection locked="true" hidden="false"/>
    </xf>
    <xf numFmtId="168" fontId="7" fillId="0" borderId="9" xfId="0" applyFont="true" applyBorder="tru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0" fillId="0" borderId="8" xfId="0" applyFont="false" applyBorder="true" applyAlignment="false" applyProtection="false">
      <alignment horizontal="general" vertical="bottom" textRotation="0" wrapText="false" indent="0" shrinkToFit="false"/>
      <protection locked="true" hidden="false"/>
    </xf>
    <xf numFmtId="168" fontId="10" fillId="0" borderId="0" xfId="0" applyFont="true" applyBorder="false" applyAlignment="false" applyProtection="false">
      <alignment horizontal="general" vertical="bottom" textRotation="0" wrapText="false" indent="0" shrinkToFit="false"/>
      <protection locked="true" hidden="false"/>
    </xf>
    <xf numFmtId="168" fontId="7"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6" fontId="11" fillId="0" borderId="5" xfId="15" applyFont="true" applyBorder="true" applyAlignment="true" applyProtection="true">
      <alignment horizontal="general" vertical="bottom" textRotation="0" wrapText="false" indent="0" shrinkToFit="false"/>
      <protection locked="true" hidden="false"/>
    </xf>
    <xf numFmtId="166" fontId="7" fillId="0" borderId="0" xfId="15"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70" fontId="4" fillId="0" borderId="0" xfId="0" applyFont="true" applyBorder="true" applyAlignment="true" applyProtection="false">
      <alignment horizontal="general" vertical="bottom" textRotation="0" wrapText="tru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70" fontId="4" fillId="0" borderId="6" xfId="0" applyFont="true" applyBorder="true" applyAlignment="true" applyProtection="false">
      <alignment horizontal="general" vertical="bottom" textRotation="0" wrapText="true" indent="0" shrinkToFit="false"/>
      <protection locked="true" hidden="false"/>
    </xf>
    <xf numFmtId="171" fontId="6" fillId="0" borderId="0" xfId="0" applyFont="true" applyBorder="false" applyAlignment="false" applyProtection="false">
      <alignment horizontal="general" vertical="bottom" textRotation="0" wrapText="false" indent="0" shrinkToFit="false"/>
      <protection locked="true" hidden="false"/>
    </xf>
    <xf numFmtId="171" fontId="7" fillId="0" borderId="0" xfId="0" applyFont="true" applyBorder="false" applyAlignment="false" applyProtection="false">
      <alignment horizontal="general" vertical="bottom" textRotation="0" wrapText="false" indent="0" shrinkToFit="false"/>
      <protection locked="true" hidden="false"/>
    </xf>
    <xf numFmtId="171" fontId="4" fillId="0" borderId="0" xfId="0" applyFont="true" applyBorder="false" applyAlignment="false" applyProtection="false">
      <alignment horizontal="general" vertical="bottom" textRotation="0" wrapText="false" indent="0" shrinkToFit="false"/>
      <protection locked="true" hidden="false"/>
    </xf>
    <xf numFmtId="171" fontId="4" fillId="0" borderId="1" xfId="0" applyFont="true" applyBorder="true" applyAlignment="true" applyProtection="false">
      <alignment horizontal="center" vertical="center" textRotation="0" wrapText="tru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4" fontId="9" fillId="0" borderId="6" xfId="0" applyFont="true" applyBorder="true" applyAlignment="false" applyProtection="false">
      <alignment horizontal="general" vertical="bottom" textRotation="0" wrapText="false" indent="0" shrinkToFit="false"/>
      <protection locked="true" hidden="false"/>
    </xf>
    <xf numFmtId="168" fontId="10" fillId="0" borderId="10" xfId="19" applyFont="true" applyBorder="true" applyAlignment="true" applyProtection="true">
      <alignment horizontal="general" vertical="bottom" textRotation="0" wrapText="false" indent="0" shrinkToFit="false"/>
      <protection locked="true" hidden="false"/>
    </xf>
    <xf numFmtId="171" fontId="4" fillId="0" borderId="0" xfId="0" applyFont="true" applyBorder="true" applyAlignment="true" applyProtection="false">
      <alignment horizontal="general" vertical="bottom" textRotation="0" wrapText="true" indent="0" shrinkToFit="false"/>
      <protection locked="true" hidden="false"/>
    </xf>
    <xf numFmtId="166" fontId="9" fillId="0" borderId="8" xfId="15" applyFont="true" applyBorder="true" applyAlignment="true" applyProtection="tru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73" fontId="5" fillId="0" borderId="0" xfId="0" applyFont="true" applyBorder="false" applyAlignment="true" applyProtection="false">
      <alignment horizontal="left"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general"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externalLink" Target="externalLinks/externalLink1.xml"/><Relationship Id="rId12"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U:/MKIverson/Market/PRELIM%20MKT%202-2-0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ummary"/>
      <sheetName val="Market_AR"/>
      <sheetName val="GMC_AR"/>
      <sheetName val="Market_AP"/>
      <sheetName val="GMC_AP"/>
      <sheetName val="Accounts"/>
      <sheetName val="NameMap"/>
      <sheetName val="Invoices"/>
      <sheetName val="Wire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7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4.99"/>
    <col collapsed="false" customWidth="true" hidden="false" outlineLevel="0" max="2" min="2" style="0" width="46.99"/>
    <col collapsed="false" customWidth="true" hidden="false" outlineLevel="0" max="3" min="3" style="1" width="8.14"/>
    <col collapsed="false" customWidth="true" hidden="false" outlineLevel="0" max="4" min="4" style="2" width="5.99"/>
    <col collapsed="false" customWidth="true" hidden="false" outlineLevel="0" max="5" min="5" style="2" width="4.99"/>
    <col collapsed="false" customWidth="true" hidden="false" outlineLevel="0" max="6" min="6" style="0" width="16.7"/>
    <col collapsed="false" customWidth="true" hidden="false" outlineLevel="0" max="7" min="7" style="0" width="9.28"/>
    <col collapsed="false" customWidth="true" hidden="false" outlineLevel="0" max="9" min="9" style="0" width="10.85"/>
  </cols>
  <sheetData>
    <row r="1" customFormat="false" ht="15.75" hidden="false" customHeight="false" outlineLevel="0" collapsed="false">
      <c r="B1" s="3" t="s">
        <v>0</v>
      </c>
    </row>
    <row r="2" customFormat="false" ht="15.75" hidden="false" customHeight="false" outlineLevel="0" collapsed="false">
      <c r="B2" s="4"/>
    </row>
    <row r="3" customFormat="false" ht="15.75" hidden="false" customHeight="false" outlineLevel="0" collapsed="false">
      <c r="B3" s="3" t="s">
        <v>1</v>
      </c>
    </row>
    <row r="4" customFormat="false" ht="15.75" hidden="false" customHeight="false" outlineLevel="0" collapsed="false">
      <c r="B4" s="4"/>
    </row>
    <row r="5" customFormat="false" ht="15.75" hidden="false" customHeight="false" outlineLevel="0" collapsed="false">
      <c r="B5" s="4"/>
    </row>
    <row r="6" customFormat="false" ht="15.75" hidden="false" customHeight="false" outlineLevel="0" collapsed="false">
      <c r="B6" s="4"/>
    </row>
    <row r="7" customFormat="false" ht="16.5" hidden="false" customHeight="false" outlineLevel="0" collapsed="false">
      <c r="A7" s="5" t="s">
        <v>2</v>
      </c>
    </row>
    <row r="8" customFormat="false" ht="35.25" hidden="false" customHeight="false" outlineLevel="0" collapsed="false">
      <c r="A8" s="6" t="s">
        <v>3</v>
      </c>
      <c r="B8" s="6" t="s">
        <v>4</v>
      </c>
      <c r="C8" s="6" t="s">
        <v>5</v>
      </c>
      <c r="D8" s="7"/>
      <c r="E8" s="8"/>
      <c r="F8" s="9" t="s">
        <v>6</v>
      </c>
      <c r="G8" s="10" t="s">
        <v>7</v>
      </c>
      <c r="H8" s="11"/>
      <c r="I8" s="11"/>
    </row>
    <row r="9" customFormat="false" ht="12" hidden="false" customHeight="false" outlineLevel="0" collapsed="false">
      <c r="A9" s="12"/>
      <c r="B9" s="12"/>
      <c r="C9" s="12"/>
      <c r="D9" s="12"/>
      <c r="E9" s="12"/>
      <c r="F9" s="13"/>
      <c r="G9" s="12"/>
      <c r="H9" s="12"/>
      <c r="I9" s="12"/>
    </row>
    <row r="10" customFormat="false" ht="13.5" hidden="false" customHeight="false" outlineLevel="0" collapsed="false">
      <c r="A10" s="14"/>
      <c r="B10" s="15" t="s">
        <v>8</v>
      </c>
      <c r="C10" s="14"/>
      <c r="D10" s="16"/>
      <c r="E10" s="16"/>
      <c r="F10" s="17" t="n">
        <v>498275053.58</v>
      </c>
      <c r="G10" s="18" t="n">
        <f aca="false">+F10/F$10</f>
        <v>1</v>
      </c>
      <c r="H10" s="15"/>
      <c r="I10" s="15"/>
    </row>
    <row r="11" customFormat="false" ht="16.5" hidden="false" customHeight="false" outlineLevel="0" collapsed="false">
      <c r="B11" s="4"/>
    </row>
    <row r="12" customFormat="false" ht="15.75" hidden="false" customHeight="false" outlineLevel="0" collapsed="false">
      <c r="B12" s="4"/>
    </row>
    <row r="13" customFormat="false" ht="15.75" hidden="false" customHeight="false" outlineLevel="0" collapsed="false">
      <c r="B13" s="4"/>
    </row>
    <row r="14" customFormat="false" ht="15.75" hidden="false" customHeight="false" outlineLevel="0" collapsed="false">
      <c r="B14" s="4"/>
    </row>
    <row r="15" customFormat="false" ht="15.75" hidden="false" customHeight="false" outlineLevel="0" collapsed="false">
      <c r="B15" s="4"/>
    </row>
    <row r="16" customFormat="false" ht="15.75" hidden="false" customHeight="false" outlineLevel="0" collapsed="false">
      <c r="A16" s="5" t="s">
        <v>9</v>
      </c>
    </row>
    <row r="17" customFormat="false" ht="16.5" hidden="false" customHeight="false" outlineLevel="0" collapsed="false">
      <c r="A17" s="5" t="s">
        <v>10</v>
      </c>
    </row>
    <row r="18" customFormat="false" ht="35.25" hidden="false" customHeight="false" outlineLevel="0" collapsed="false">
      <c r="A18" s="6" t="s">
        <v>3</v>
      </c>
      <c r="B18" s="6" t="s">
        <v>4</v>
      </c>
      <c r="C18" s="6" t="s">
        <v>11</v>
      </c>
      <c r="D18" s="6" t="s">
        <v>12</v>
      </c>
      <c r="E18" s="6" t="s">
        <v>13</v>
      </c>
      <c r="F18" s="10" t="s">
        <v>14</v>
      </c>
      <c r="G18" s="10" t="s">
        <v>15</v>
      </c>
      <c r="H18" s="11"/>
      <c r="I18" s="11"/>
    </row>
    <row r="19" customFormat="false" ht="13.5" hidden="false" customHeight="false" outlineLevel="0" collapsed="false"/>
    <row r="20" customFormat="false" ht="12.75" hidden="false" customHeight="false" outlineLevel="0" collapsed="false">
      <c r="A20" s="19" t="n">
        <v>2769</v>
      </c>
      <c r="B20" s="20" t="s">
        <v>16</v>
      </c>
      <c r="C20" s="21" t="n">
        <v>36936</v>
      </c>
      <c r="D20" s="19" t="n">
        <v>14006</v>
      </c>
      <c r="E20" s="22" t="s">
        <v>17</v>
      </c>
      <c r="F20" s="23" t="n">
        <v>93414.8</v>
      </c>
      <c r="G20" s="24" t="n">
        <f aca="false">+F20/F23</f>
        <v>0.000184023808085076</v>
      </c>
      <c r="H20" s="25"/>
      <c r="I20" s="25"/>
    </row>
    <row r="21" customFormat="false" ht="12.75" hidden="false" customHeight="false" outlineLevel="0" collapsed="false">
      <c r="A21" s="19" t="n">
        <v>1243</v>
      </c>
      <c r="B21" s="20" t="s">
        <v>16</v>
      </c>
      <c r="C21" s="26" t="n">
        <v>36917</v>
      </c>
      <c r="D21" s="27" t="n">
        <v>13881</v>
      </c>
      <c r="E21" s="22" t="s">
        <v>17</v>
      </c>
      <c r="F21" s="28" t="n">
        <v>507530033.34</v>
      </c>
      <c r="G21" s="29" t="n">
        <f aca="false">+F21/F23</f>
        <v>0.999815976191915</v>
      </c>
    </row>
    <row r="22" customFormat="false" ht="12.75" hidden="false" customHeight="false" outlineLevel="0" collapsed="false">
      <c r="A22" s="30"/>
      <c r="B22" s="31"/>
      <c r="C22" s="32"/>
      <c r="D22" s="30"/>
      <c r="E22" s="33"/>
      <c r="F22" s="34"/>
      <c r="G22" s="35"/>
    </row>
    <row r="23" customFormat="false" ht="13.5" hidden="false" customHeight="false" outlineLevel="0" collapsed="false">
      <c r="B23" s="15" t="s">
        <v>18</v>
      </c>
      <c r="F23" s="17" t="n">
        <f aca="false">SUM(F20:F22)</f>
        <v>507623448.14</v>
      </c>
      <c r="G23" s="18" t="n">
        <f aca="false">+F23/F23</f>
        <v>1</v>
      </c>
    </row>
    <row r="24" customFormat="false" ht="13.5" hidden="false" customHeight="false" outlineLevel="0" collapsed="false"/>
    <row r="25" customFormat="false" ht="15.75" hidden="false" customHeight="false" outlineLevel="0" collapsed="false">
      <c r="B25" s="3" t="str">
        <f aca="false">+B1</f>
        <v>Certification for Market Settlement August 24, 2001</v>
      </c>
    </row>
    <row r="26" customFormat="false" ht="15.75" hidden="false" customHeight="false" outlineLevel="0" collapsed="false">
      <c r="B26" s="4"/>
    </row>
    <row r="27" customFormat="false" ht="15.75" hidden="false" customHeight="false" outlineLevel="0" collapsed="false">
      <c r="B27" s="5" t="s">
        <v>19</v>
      </c>
    </row>
    <row r="28" customFormat="false" ht="15.75" hidden="false" customHeight="false" outlineLevel="0" collapsed="false">
      <c r="B28" s="5"/>
    </row>
    <row r="29" customFormat="false" ht="15.75" hidden="false" customHeight="false" outlineLevel="0" collapsed="false">
      <c r="B29" s="5" t="s">
        <v>20</v>
      </c>
      <c r="G29" s="35"/>
    </row>
    <row r="30" customFormat="false" ht="15.75" hidden="false" customHeight="false" outlineLevel="0" collapsed="false">
      <c r="B30" s="5"/>
      <c r="G30" s="35"/>
    </row>
    <row r="31" customFormat="false" ht="12.75" hidden="false" customHeight="false" outlineLevel="0" collapsed="false">
      <c r="B31" s="35" t="s">
        <v>21</v>
      </c>
      <c r="C31" s="36"/>
      <c r="D31" s="37"/>
      <c r="E31" s="37"/>
      <c r="F31" s="38" t="n">
        <v>669272884</v>
      </c>
      <c r="G31" s="39" t="n">
        <f aca="false">+F31/F33</f>
        <v>0.995310747264585</v>
      </c>
    </row>
    <row r="32" customFormat="false" ht="12.75" hidden="false" customHeight="false" outlineLevel="0" collapsed="false">
      <c r="B32" s="35" t="s">
        <v>22</v>
      </c>
      <c r="C32" s="36"/>
      <c r="D32" s="37"/>
      <c r="E32" s="37"/>
      <c r="F32" s="40" t="n">
        <f aca="false">3153175.74</f>
        <v>3153175.74</v>
      </c>
      <c r="G32" s="39" t="n">
        <f aca="false">+F32/F33</f>
        <v>0.00468925273541481</v>
      </c>
    </row>
    <row r="33" customFormat="false" ht="12.75" hidden="false" customHeight="false" outlineLevel="0" collapsed="false">
      <c r="B33" s="41" t="s">
        <v>23</v>
      </c>
      <c r="C33" s="36"/>
      <c r="D33" s="37"/>
      <c r="E33" s="37"/>
      <c r="F33" s="42" t="n">
        <f aca="false">+F32+F31</f>
        <v>672426059.74</v>
      </c>
      <c r="G33" s="43" t="n">
        <f aca="false">+F33/F33</f>
        <v>1</v>
      </c>
    </row>
    <row r="34" customFormat="false" ht="15.75" hidden="false" customHeight="false" outlineLevel="0" collapsed="false">
      <c r="B34" s="5"/>
      <c r="G34" s="35"/>
    </row>
    <row r="35" customFormat="false" ht="12.75" hidden="false" customHeight="false" outlineLevel="0" collapsed="false">
      <c r="B35" s="35" t="s">
        <v>24</v>
      </c>
      <c r="C35" s="36"/>
      <c r="D35" s="37"/>
      <c r="E35" s="37"/>
      <c r="F35" s="34" t="n">
        <v>2983589.97</v>
      </c>
      <c r="G35" s="37"/>
    </row>
    <row r="36" customFormat="false" ht="12.75" hidden="false" customHeight="false" outlineLevel="0" collapsed="false">
      <c r="B36" s="35" t="s">
        <v>25</v>
      </c>
      <c r="C36" s="36"/>
      <c r="D36" s="37"/>
      <c r="E36" s="37"/>
      <c r="F36" s="34" t="n">
        <v>144397659.3</v>
      </c>
      <c r="G36" s="37"/>
    </row>
    <row r="37" customFormat="false" ht="12.75" hidden="false" customHeight="false" outlineLevel="0" collapsed="false">
      <c r="B37" s="35" t="s">
        <v>26</v>
      </c>
      <c r="C37" s="36"/>
      <c r="D37" s="37"/>
      <c r="E37" s="37"/>
      <c r="F37" s="34" t="n">
        <v>62787.65</v>
      </c>
      <c r="G37" s="37"/>
    </row>
    <row r="38" customFormat="false" ht="12.75" hidden="false" customHeight="false" outlineLevel="0" collapsed="false">
      <c r="B38" s="35" t="s">
        <v>27</v>
      </c>
      <c r="C38" s="36"/>
      <c r="D38" s="37"/>
      <c r="E38" s="37"/>
      <c r="F38" s="40" t="n">
        <v>352934.19</v>
      </c>
      <c r="G38" s="37"/>
    </row>
    <row r="39" customFormat="false" ht="12.75" hidden="false" customHeight="false" outlineLevel="0" collapsed="false">
      <c r="B39" s="41" t="s">
        <v>28</v>
      </c>
      <c r="C39" s="36"/>
      <c r="D39" s="37"/>
      <c r="E39" s="37"/>
      <c r="F39" s="42" t="n">
        <f aca="false">SUM(F35:F38)</f>
        <v>147796971.11</v>
      </c>
      <c r="G39" s="43" t="n">
        <f aca="false">+F39/F33</f>
        <v>0.219796614020502</v>
      </c>
    </row>
    <row r="40" customFormat="false" ht="15.75" hidden="false" customHeight="false" outlineLevel="0" collapsed="false">
      <c r="B40" s="5"/>
      <c r="G40" s="35"/>
    </row>
    <row r="41" customFormat="false" ht="12.75" hidden="false" customHeight="false" outlineLevel="0" collapsed="false">
      <c r="B41" s="35" t="s">
        <v>29</v>
      </c>
      <c r="C41" s="36"/>
      <c r="D41" s="37"/>
      <c r="E41" s="37"/>
      <c r="F41" s="34" t="n">
        <v>16925215.71</v>
      </c>
      <c r="G41" s="37"/>
    </row>
    <row r="42" customFormat="false" ht="12.75" hidden="false" customHeight="false" outlineLevel="0" collapsed="false">
      <c r="B42" s="35" t="s">
        <v>30</v>
      </c>
      <c r="C42" s="36"/>
      <c r="D42" s="37"/>
      <c r="E42" s="37"/>
      <c r="F42" s="40" t="n">
        <f aca="false">80424.78</f>
        <v>80424.78</v>
      </c>
      <c r="G42" s="37"/>
    </row>
    <row r="43" customFormat="false" ht="12.75" hidden="false" customHeight="false" outlineLevel="0" collapsed="false">
      <c r="B43" s="41" t="s">
        <v>31</v>
      </c>
      <c r="C43" s="36"/>
      <c r="D43" s="37"/>
      <c r="E43" s="37"/>
      <c r="F43" s="44" t="n">
        <f aca="false">SUM(F41:F42)</f>
        <v>17005640.49</v>
      </c>
      <c r="G43" s="43" t="n">
        <f aca="false">+F43/F33</f>
        <v>0.0252899783458354</v>
      </c>
    </row>
    <row r="44" customFormat="false" ht="15.75" hidden="false" customHeight="false" outlineLevel="0" collapsed="false">
      <c r="B44" s="5"/>
      <c r="G44" s="35"/>
    </row>
    <row r="45" customFormat="false" ht="16.5" hidden="false" customHeight="false" outlineLevel="0" collapsed="false">
      <c r="B45" s="45" t="s">
        <v>32</v>
      </c>
      <c r="C45" s="46"/>
      <c r="D45" s="47"/>
      <c r="E45" s="47"/>
      <c r="F45" s="48" t="n">
        <f aca="false">+F33-F39-F43</f>
        <v>507623448.14</v>
      </c>
      <c r="G45" s="49" t="n">
        <f aca="false">+F45/F33</f>
        <v>0.754913407633662</v>
      </c>
    </row>
    <row r="46" customFormat="false" ht="15.75" hidden="false" customHeight="false" outlineLevel="0" collapsed="false">
      <c r="B46" s="50"/>
      <c r="C46" s="36"/>
      <c r="D46" s="37"/>
      <c r="E46" s="37"/>
      <c r="F46" s="51"/>
      <c r="G46" s="35"/>
    </row>
    <row r="47" customFormat="false" ht="15.75" hidden="false" customHeight="false" outlineLevel="0" collapsed="false">
      <c r="B47" s="50"/>
      <c r="C47" s="36"/>
      <c r="D47" s="37"/>
      <c r="E47" s="37"/>
      <c r="F47" s="51"/>
      <c r="G47" s="35"/>
    </row>
    <row r="48" customFormat="false" ht="15.75" hidden="false" customHeight="false" outlineLevel="0" collapsed="false">
      <c r="B48" s="50" t="s">
        <v>33</v>
      </c>
      <c r="C48" s="36"/>
      <c r="D48" s="37"/>
      <c r="E48" s="37"/>
      <c r="F48" s="35"/>
      <c r="G48" s="35"/>
    </row>
    <row r="49" customFormat="false" ht="15.75" hidden="false" customHeight="false" outlineLevel="0" collapsed="false">
      <c r="B49" s="50"/>
      <c r="C49" s="36"/>
      <c r="D49" s="37"/>
      <c r="E49" s="37"/>
      <c r="F49" s="35"/>
      <c r="G49" s="35"/>
    </row>
    <row r="50" customFormat="false" ht="12.75" hidden="false" customHeight="false" outlineLevel="0" collapsed="false">
      <c r="B50" s="35" t="s">
        <v>21</v>
      </c>
      <c r="C50" s="36"/>
      <c r="D50" s="37"/>
      <c r="E50" s="37"/>
      <c r="F50" s="38" t="n">
        <v>669155560.78</v>
      </c>
      <c r="G50" s="39" t="n">
        <f aca="false">+F50/F52</f>
        <v>0.974447997174991</v>
      </c>
    </row>
    <row r="51" customFormat="false" ht="12.75" hidden="false" customHeight="false" outlineLevel="0" collapsed="false">
      <c r="B51" s="35" t="s">
        <v>22</v>
      </c>
      <c r="C51" s="36"/>
      <c r="D51" s="37"/>
      <c r="E51" s="37"/>
      <c r="F51" s="40" t="n">
        <v>17546615.96</v>
      </c>
      <c r="G51" s="39" t="n">
        <f aca="false">+F51/F52</f>
        <v>0.0255520028250086</v>
      </c>
    </row>
    <row r="52" customFormat="false" ht="12.75" hidden="false" customHeight="false" outlineLevel="0" collapsed="false">
      <c r="B52" s="41" t="s">
        <v>23</v>
      </c>
      <c r="C52" s="36"/>
      <c r="D52" s="37"/>
      <c r="E52" s="37"/>
      <c r="F52" s="42" t="n">
        <f aca="false">+F51+F50</f>
        <v>686702176.74</v>
      </c>
      <c r="G52" s="43" t="n">
        <f aca="false">+F52/F52</f>
        <v>1</v>
      </c>
    </row>
    <row r="53" customFormat="false" ht="15.75" hidden="false" customHeight="false" outlineLevel="0" collapsed="false">
      <c r="B53" s="5"/>
      <c r="G53" s="35"/>
    </row>
    <row r="54" customFormat="false" ht="12.75" hidden="false" customHeight="false" outlineLevel="0" collapsed="false">
      <c r="B54" s="35" t="s">
        <v>34</v>
      </c>
      <c r="C54" s="36"/>
      <c r="D54" s="37"/>
      <c r="E54" s="37"/>
      <c r="F54" s="34" t="n">
        <v>12113244.29</v>
      </c>
      <c r="G54" s="37"/>
    </row>
    <row r="55" customFormat="false" ht="12.75" hidden="false" customHeight="false" outlineLevel="0" collapsed="false">
      <c r="B55" s="35" t="s">
        <v>35</v>
      </c>
      <c r="C55" s="36"/>
      <c r="D55" s="37"/>
      <c r="E55" s="37"/>
      <c r="F55" s="34" t="n">
        <v>149333046.54</v>
      </c>
      <c r="G55" s="37"/>
    </row>
    <row r="56" customFormat="false" ht="12.75" hidden="false" customHeight="false" outlineLevel="0" collapsed="false">
      <c r="B56" s="35" t="s">
        <v>36</v>
      </c>
      <c r="C56" s="36"/>
      <c r="D56" s="37"/>
      <c r="E56" s="37"/>
      <c r="F56" s="34" t="n">
        <v>62787.65</v>
      </c>
      <c r="G56" s="37"/>
    </row>
    <row r="57" customFormat="false" ht="12.75" hidden="false" customHeight="false" outlineLevel="0" collapsed="false">
      <c r="B57" s="35" t="s">
        <v>37</v>
      </c>
      <c r="C57" s="36"/>
      <c r="D57" s="37"/>
      <c r="E57" s="37"/>
      <c r="F57" s="34" t="n">
        <v>352693.64</v>
      </c>
      <c r="G57" s="37"/>
    </row>
    <row r="58" customFormat="false" ht="12.75" hidden="false" customHeight="false" outlineLevel="0" collapsed="false">
      <c r="B58" s="35" t="s">
        <v>38</v>
      </c>
      <c r="C58" s="36"/>
      <c r="D58" s="37"/>
      <c r="E58" s="37"/>
      <c r="F58" s="40" t="n">
        <v>5209.76</v>
      </c>
      <c r="G58" s="37"/>
    </row>
    <row r="59" customFormat="false" ht="12.75" hidden="false" customHeight="false" outlineLevel="0" collapsed="false">
      <c r="B59" s="41" t="s">
        <v>39</v>
      </c>
      <c r="C59" s="36"/>
      <c r="D59" s="37"/>
      <c r="E59" s="37"/>
      <c r="F59" s="42" t="n">
        <f aca="false">SUM(F54:F58)</f>
        <v>161866981.88</v>
      </c>
      <c r="G59" s="43" t="n">
        <f aca="false">+F59/F52</f>
        <v>0.23571642462011</v>
      </c>
    </row>
    <row r="60" customFormat="false" ht="15.75" hidden="false" customHeight="false" outlineLevel="0" collapsed="false">
      <c r="B60" s="5"/>
      <c r="G60" s="35"/>
    </row>
    <row r="61" customFormat="false" ht="12.75" hidden="false" customHeight="false" outlineLevel="0" collapsed="false">
      <c r="B61" s="35" t="s">
        <v>40</v>
      </c>
      <c r="C61" s="36"/>
      <c r="D61" s="37"/>
      <c r="E61" s="37"/>
      <c r="F61" s="52" t="n">
        <v>957235.81</v>
      </c>
      <c r="G61" s="37"/>
    </row>
    <row r="62" customFormat="false" ht="12.75" hidden="false" customHeight="false" outlineLevel="0" collapsed="false">
      <c r="B62" s="35" t="s">
        <v>41</v>
      </c>
      <c r="C62" s="36"/>
      <c r="D62" s="37"/>
      <c r="E62" s="37"/>
      <c r="F62" s="52" t="n">
        <v>443900.1</v>
      </c>
      <c r="G62" s="37"/>
    </row>
    <row r="63" customFormat="false" ht="12.75" hidden="false" customHeight="false" outlineLevel="0" collapsed="false">
      <c r="B63" s="35" t="s">
        <v>42</v>
      </c>
      <c r="C63" s="36"/>
      <c r="D63" s="37"/>
      <c r="E63" s="37"/>
      <c r="F63" s="34" t="n">
        <v>16925215.71</v>
      </c>
      <c r="G63" s="37"/>
    </row>
    <row r="64" customFormat="false" ht="12.75" hidden="false" customHeight="false" outlineLevel="0" collapsed="false">
      <c r="B64" s="35" t="s">
        <v>43</v>
      </c>
      <c r="C64" s="36"/>
      <c r="D64" s="37"/>
      <c r="E64" s="37"/>
      <c r="F64" s="34" t="n">
        <v>240.55</v>
      </c>
      <c r="G64" s="37"/>
    </row>
    <row r="65" customFormat="false" ht="12.75" hidden="false" customHeight="false" outlineLevel="0" collapsed="false">
      <c r="B65" s="35" t="s">
        <v>44</v>
      </c>
      <c r="C65" s="36"/>
      <c r="D65" s="37"/>
      <c r="E65" s="37"/>
      <c r="F65" s="34" t="n">
        <f aca="false">2463.45+9045.05</f>
        <v>11508.5</v>
      </c>
      <c r="G65" s="37"/>
    </row>
    <row r="66" customFormat="false" ht="12.75" hidden="false" customHeight="false" outlineLevel="0" collapsed="false">
      <c r="A66" s="36"/>
      <c r="B66" s="35" t="s">
        <v>45</v>
      </c>
      <c r="C66" s="36"/>
      <c r="D66" s="37"/>
      <c r="E66" s="37"/>
      <c r="F66" s="34" t="n">
        <v>4918.46</v>
      </c>
      <c r="G66" s="37"/>
      <c r="H66" s="35"/>
      <c r="I66" s="35"/>
    </row>
    <row r="67" customFormat="false" ht="12.75" hidden="false" customHeight="false" outlineLevel="0" collapsed="false">
      <c r="B67" s="35" t="s">
        <v>46</v>
      </c>
      <c r="C67" s="36"/>
      <c r="D67" s="37"/>
      <c r="E67" s="37"/>
      <c r="F67" s="34" t="n">
        <v>7683.69</v>
      </c>
      <c r="G67" s="37"/>
    </row>
    <row r="68" customFormat="false" ht="12.75" hidden="false" customHeight="false" outlineLevel="0" collapsed="false">
      <c r="B68" s="35" t="s">
        <v>47</v>
      </c>
      <c r="C68" s="36"/>
      <c r="D68" s="37"/>
      <c r="E68" s="37"/>
      <c r="F68" s="34" t="n">
        <v>252.41</v>
      </c>
      <c r="G68" s="37"/>
    </row>
    <row r="69" customFormat="false" ht="12.75" hidden="false" customHeight="false" outlineLevel="0" collapsed="false">
      <c r="B69" s="53" t="s">
        <v>48</v>
      </c>
      <c r="C69" s="36"/>
      <c r="D69" s="37"/>
      <c r="E69" s="37"/>
      <c r="F69" s="34" t="n">
        <f aca="false">1321875.76+25515.38</f>
        <v>1347391.14</v>
      </c>
      <c r="G69" s="37"/>
    </row>
    <row r="70" customFormat="false" ht="12.75" hidden="false" customHeight="false" outlineLevel="0" collapsed="false">
      <c r="B70" s="53" t="s">
        <v>49</v>
      </c>
      <c r="C70" s="36"/>
      <c r="D70" s="37"/>
      <c r="E70" s="37"/>
      <c r="F70" s="34" t="n">
        <v>7117.71</v>
      </c>
      <c r="G70" s="37"/>
    </row>
    <row r="71" customFormat="false" ht="12.75" hidden="false" customHeight="false" outlineLevel="0" collapsed="false">
      <c r="B71" s="53" t="s">
        <v>50</v>
      </c>
      <c r="C71" s="36"/>
      <c r="D71" s="37"/>
      <c r="E71" s="37"/>
      <c r="F71" s="34" t="n">
        <v>89223.57</v>
      </c>
      <c r="G71" s="37"/>
    </row>
    <row r="72" customFormat="false" ht="12.75" hidden="false" customHeight="false" outlineLevel="0" collapsed="false">
      <c r="B72" s="53" t="s">
        <v>51</v>
      </c>
      <c r="C72" s="36"/>
      <c r="D72" s="37"/>
      <c r="E72" s="37"/>
      <c r="F72" s="34" t="n">
        <v>56858.77</v>
      </c>
      <c r="G72" s="37"/>
    </row>
    <row r="73" customFormat="false" ht="12.75" hidden="false" customHeight="false" outlineLevel="0" collapsed="false">
      <c r="B73" s="53" t="s">
        <v>52</v>
      </c>
      <c r="C73" s="36"/>
      <c r="D73" s="37"/>
      <c r="E73" s="37"/>
      <c r="F73" s="40" t="n">
        <v>6708594.86</v>
      </c>
      <c r="G73" s="37"/>
    </row>
    <row r="74" customFormat="false" ht="12.75" hidden="false" customHeight="false" outlineLevel="0" collapsed="false">
      <c r="B74" s="41" t="s">
        <v>31</v>
      </c>
      <c r="C74" s="36"/>
      <c r="D74" s="37"/>
      <c r="E74" s="37"/>
      <c r="F74" s="44" t="n">
        <f aca="false">SUM(F61:F73)</f>
        <v>26560141.28</v>
      </c>
      <c r="G74" s="43" t="n">
        <f aca="false">+F74/F52</f>
        <v>0.0386778172250592</v>
      </c>
    </row>
    <row r="75" customFormat="false" ht="15.75" hidden="false" customHeight="false" outlineLevel="0" collapsed="false">
      <c r="B75" s="5"/>
      <c r="G75" s="35"/>
    </row>
    <row r="76" customFormat="false" ht="16.5" hidden="false" customHeight="false" outlineLevel="0" collapsed="false">
      <c r="B76" s="45" t="s">
        <v>53</v>
      </c>
      <c r="C76" s="46"/>
      <c r="D76" s="47"/>
      <c r="E76" s="47"/>
      <c r="F76" s="48" t="n">
        <f aca="false">+F52-F59-F74</f>
        <v>498275053.58</v>
      </c>
      <c r="G76" s="49" t="n">
        <f aca="false">+F76/F52</f>
        <v>0.72560575815483</v>
      </c>
      <c r="I76" s="54" t="n">
        <f aca="false">+F10-F76</f>
        <v>0</v>
      </c>
    </row>
    <row r="77" customFormat="false" ht="15.75" hidden="false" customHeight="false" outlineLevel="0" collapsed="false">
      <c r="B77" s="5"/>
    </row>
  </sheetData>
  <printOptions headings="false" gridLines="false" gridLinesSet="true" horizontalCentered="false" verticalCentered="false"/>
  <pageMargins left="0.5" right="0.25" top="0.984027777777778" bottom="0.5" header="0.511811023622047" footer="0"/>
  <pageSetup paperSize="1" scale="95" fitToWidth="1" fitToHeight="1" pageOrder="downThenOver" orientation="portrait" blackAndWhite="false" draft="false" cellComments="none" horizontalDpi="300" verticalDpi="300" copies="1"/>
  <headerFooter differentFirst="false" differentOddEven="false">
    <oddHeader/>
    <oddFooter>&amp;LCertification August 24, 2001&amp;CPage &amp;P of &amp;N&amp;RTrade Month November 2000</oddFooter>
  </headerFooter>
  <rowBreaks count="1" manualBreakCount="1">
    <brk id="24"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6" activeCellId="0" sqref="A16"/>
    </sheetView>
  </sheetViews>
  <sheetFormatPr defaultColWidth="9.0546875" defaultRowHeight="12.75" customHeight="true" zeroHeight="false" outlineLevelRow="0" outlineLevelCol="0"/>
  <cols>
    <col collapsed="false" customWidth="true" hidden="false" outlineLevel="0" max="1" min="1" style="1" width="4.99"/>
    <col collapsed="false" customWidth="true" hidden="false" outlineLevel="0" max="2" min="2" style="0" width="49.99"/>
    <col collapsed="false" customWidth="true" hidden="false" outlineLevel="0" max="3" min="3" style="1" width="8.14"/>
    <col collapsed="false" customWidth="true" hidden="false" outlineLevel="0" max="4" min="4" style="2" width="5.99"/>
    <col collapsed="false" customWidth="true" hidden="false" outlineLevel="0" max="5" min="5" style="2" width="4.99"/>
    <col collapsed="false" customWidth="true" hidden="false" outlineLevel="0" max="6" min="6" style="0" width="17.42"/>
    <col collapsed="false" customWidth="true" hidden="false" outlineLevel="0" max="7" min="7" style="0" width="9.28"/>
    <col collapsed="false" customWidth="true" hidden="false" outlineLevel="0" max="8" min="8" style="0" width="11.85"/>
  </cols>
  <sheetData>
    <row r="1" customFormat="false" ht="15.75" hidden="false" customHeight="false" outlineLevel="0" collapsed="false">
      <c r="B1" s="3" t="s">
        <v>0</v>
      </c>
    </row>
    <row r="2" customFormat="false" ht="15.75" hidden="false" customHeight="false" outlineLevel="0" collapsed="false">
      <c r="B2" s="5"/>
    </row>
    <row r="3" customFormat="false" ht="15.75" hidden="false" customHeight="false" outlineLevel="0" collapsed="false">
      <c r="B3" s="5" t="s">
        <v>54</v>
      </c>
    </row>
    <row r="4" customFormat="false" ht="15.75" hidden="false" customHeight="false" outlineLevel="0" collapsed="false">
      <c r="B4" s="5"/>
    </row>
    <row r="5" customFormat="false" ht="15.75" hidden="false" customHeight="false" outlineLevel="0" collapsed="false">
      <c r="B5" s="5"/>
    </row>
    <row r="6" customFormat="false" ht="15.75" hidden="false" customHeight="false" outlineLevel="0" collapsed="false">
      <c r="B6" s="5"/>
    </row>
    <row r="7" customFormat="false" ht="16.5" hidden="false" customHeight="false" outlineLevel="0" collapsed="false">
      <c r="A7" s="5" t="s">
        <v>55</v>
      </c>
    </row>
    <row r="8" customFormat="false" ht="35.25" hidden="false" customHeight="false" outlineLevel="0" collapsed="false">
      <c r="A8" s="6" t="s">
        <v>3</v>
      </c>
      <c r="B8" s="6" t="s">
        <v>4</v>
      </c>
      <c r="C8" s="6" t="s">
        <v>5</v>
      </c>
      <c r="D8" s="7"/>
      <c r="E8" s="8"/>
      <c r="F8" s="9" t="s">
        <v>6</v>
      </c>
      <c r="G8" s="10" t="s">
        <v>7</v>
      </c>
      <c r="H8" s="11"/>
    </row>
    <row r="9" customFormat="false" ht="12" hidden="false" customHeight="false" outlineLevel="0" collapsed="false">
      <c r="A9" s="12"/>
      <c r="B9" s="12"/>
      <c r="C9" s="12"/>
      <c r="D9" s="12"/>
      <c r="E9" s="12"/>
      <c r="F9" s="13"/>
      <c r="G9" s="12"/>
      <c r="H9" s="12"/>
    </row>
    <row r="10" customFormat="false" ht="13.5" hidden="false" customHeight="false" outlineLevel="0" collapsed="false">
      <c r="A10" s="14"/>
      <c r="B10" s="15" t="s">
        <v>56</v>
      </c>
      <c r="C10" s="14"/>
      <c r="D10" s="16"/>
      <c r="E10" s="16"/>
      <c r="F10" s="17" t="n">
        <v>1471079852.9</v>
      </c>
      <c r="G10" s="18" t="n">
        <f aca="false">+F10/F$10</f>
        <v>1</v>
      </c>
      <c r="H10" s="15"/>
    </row>
    <row r="11" customFormat="false" ht="16.5" hidden="false" customHeight="false" outlineLevel="0" collapsed="false">
      <c r="B11" s="5"/>
    </row>
    <row r="12" customFormat="false" ht="15.75" hidden="false" customHeight="false" outlineLevel="0" collapsed="false">
      <c r="B12" s="5"/>
    </row>
    <row r="13" customFormat="false" ht="15.75" hidden="false" customHeight="false" outlineLevel="0" collapsed="false">
      <c r="B13" s="5"/>
    </row>
    <row r="14" customFormat="false" ht="15.75" hidden="false" customHeight="false" outlineLevel="0" collapsed="false">
      <c r="B14" s="5"/>
    </row>
    <row r="15" customFormat="false" ht="15.75" hidden="false" customHeight="false" outlineLevel="0" collapsed="false">
      <c r="B15" s="5"/>
    </row>
    <row r="16" customFormat="false" ht="15.75" hidden="false" customHeight="false" outlineLevel="0" collapsed="false">
      <c r="A16" s="5" t="s">
        <v>9</v>
      </c>
    </row>
    <row r="17" customFormat="false" ht="16.5" hidden="false" customHeight="false" outlineLevel="0" collapsed="false">
      <c r="A17" s="5" t="s">
        <v>57</v>
      </c>
    </row>
    <row r="18" customFormat="false" ht="35.25" hidden="false" customHeight="false" outlineLevel="0" collapsed="false">
      <c r="A18" s="6" t="s">
        <v>3</v>
      </c>
      <c r="B18" s="6" t="s">
        <v>4</v>
      </c>
      <c r="C18" s="6" t="s">
        <v>11</v>
      </c>
      <c r="D18" s="6" t="s">
        <v>12</v>
      </c>
      <c r="E18" s="6" t="s">
        <v>13</v>
      </c>
      <c r="F18" s="10" t="s">
        <v>14</v>
      </c>
      <c r="G18" s="10" t="s">
        <v>15</v>
      </c>
      <c r="H18" s="11"/>
    </row>
    <row r="19" customFormat="false" ht="13.5" hidden="false" customHeight="false" outlineLevel="0" collapsed="false"/>
    <row r="20" customFormat="false" ht="12.75" hidden="false" customHeight="false" outlineLevel="0" collapsed="false">
      <c r="A20" s="22" t="n">
        <v>1243</v>
      </c>
      <c r="B20" s="20" t="s">
        <v>16</v>
      </c>
      <c r="C20" s="55" t="n">
        <v>36949</v>
      </c>
      <c r="D20" s="27" t="n">
        <v>14163</v>
      </c>
      <c r="E20" s="22" t="s">
        <v>17</v>
      </c>
      <c r="F20" s="23" t="n">
        <v>1430114437.65</v>
      </c>
      <c r="G20" s="24" t="n">
        <f aca="false">+F20/$F$29</f>
        <v>0.944367436519203</v>
      </c>
    </row>
    <row r="21" customFormat="false" ht="12.75" hidden="false" customHeight="false" outlineLevel="0" collapsed="false">
      <c r="A21" s="22" t="n">
        <v>1243</v>
      </c>
      <c r="B21" s="20" t="s">
        <v>16</v>
      </c>
      <c r="C21" s="55" t="n">
        <v>36965</v>
      </c>
      <c r="D21" s="27" t="n">
        <v>14323</v>
      </c>
      <c r="E21" s="22" t="s">
        <v>17</v>
      </c>
      <c r="F21" s="56" t="n">
        <v>54594957.95</v>
      </c>
      <c r="G21" s="24" t="n">
        <f aca="false">+F21/$F$29</f>
        <v>0.0360514509390144</v>
      </c>
    </row>
    <row r="22" customFormat="false" ht="12.75" hidden="false" customHeight="false" outlineLevel="0" collapsed="false">
      <c r="A22" s="22" t="n">
        <v>2769</v>
      </c>
      <c r="B22" s="20" t="s">
        <v>16</v>
      </c>
      <c r="C22" s="55" t="n">
        <v>36949</v>
      </c>
      <c r="D22" s="27" t="n">
        <v>14126</v>
      </c>
      <c r="E22" s="22" t="s">
        <v>17</v>
      </c>
      <c r="F22" s="56" t="n">
        <v>12171363.36</v>
      </c>
      <c r="G22" s="24" t="n">
        <f aca="false">+F22/$F$29</f>
        <v>0.00803728632662053</v>
      </c>
    </row>
    <row r="23" customFormat="false" ht="12.75" hidden="false" customHeight="false" outlineLevel="0" collapsed="false">
      <c r="A23" s="22" t="n">
        <v>2769</v>
      </c>
      <c r="B23" s="20" t="s">
        <v>16</v>
      </c>
      <c r="C23" s="55" t="n">
        <v>36965</v>
      </c>
      <c r="D23" s="27" t="n">
        <v>14286</v>
      </c>
      <c r="E23" s="22" t="s">
        <v>17</v>
      </c>
      <c r="F23" s="56" t="n">
        <v>235652.69</v>
      </c>
      <c r="G23" s="24" t="n">
        <f aca="false">+F23/$F$29</f>
        <v>0.000155611831406892</v>
      </c>
    </row>
    <row r="24" customFormat="false" ht="12.75" hidden="false" customHeight="false" outlineLevel="0" collapsed="false">
      <c r="A24" s="22" t="n">
        <v>1011</v>
      </c>
      <c r="B24" s="20" t="s">
        <v>58</v>
      </c>
      <c r="C24" s="55" t="n">
        <v>36949</v>
      </c>
      <c r="D24" s="27" t="n">
        <v>14183</v>
      </c>
      <c r="E24" s="22" t="s">
        <v>17</v>
      </c>
      <c r="F24" s="56" t="n">
        <v>11394577.6</v>
      </c>
      <c r="G24" s="24" t="n">
        <f aca="false">+F24/$F$29</f>
        <v>0.00752434053879865</v>
      </c>
    </row>
    <row r="25" customFormat="false" ht="12.75" hidden="false" customHeight="false" outlineLevel="0" collapsed="false">
      <c r="A25" s="22" t="n">
        <v>1008</v>
      </c>
      <c r="B25" s="20" t="s">
        <v>59</v>
      </c>
      <c r="C25" s="55" t="n">
        <v>36965</v>
      </c>
      <c r="D25" s="27" t="n">
        <v>14345</v>
      </c>
      <c r="E25" s="22" t="s">
        <v>17</v>
      </c>
      <c r="F25" s="56" t="n">
        <v>1721998.72</v>
      </c>
      <c r="G25" s="24" t="n">
        <f aca="false">+F25/$F$29</f>
        <v>0.00113711146051218</v>
      </c>
    </row>
    <row r="26" customFormat="false" ht="12.75" hidden="false" customHeight="false" outlineLevel="0" collapsed="false">
      <c r="A26" s="22" t="n">
        <v>1010</v>
      </c>
      <c r="B26" s="20" t="s">
        <v>60</v>
      </c>
      <c r="C26" s="55" t="n">
        <v>36965</v>
      </c>
      <c r="D26" s="27" t="n">
        <v>14344</v>
      </c>
      <c r="E26" s="22" t="s">
        <v>17</v>
      </c>
      <c r="F26" s="56" t="n">
        <v>3337442.11</v>
      </c>
      <c r="G26" s="24" t="n">
        <f aca="false">+F26/$F$29</f>
        <v>0.00220385975204265</v>
      </c>
    </row>
    <row r="27" customFormat="false" ht="12.75" hidden="false" customHeight="false" outlineLevel="0" collapsed="false">
      <c r="A27" s="22" t="n">
        <v>2465</v>
      </c>
      <c r="B27" s="20" t="s">
        <v>61</v>
      </c>
      <c r="C27" s="55" t="n">
        <v>36965</v>
      </c>
      <c r="D27" s="27" t="n">
        <v>14298</v>
      </c>
      <c r="E27" s="22" t="s">
        <v>17</v>
      </c>
      <c r="F27" s="28" t="n">
        <v>791864.03</v>
      </c>
      <c r="G27" s="29" t="n">
        <f aca="false">+F27/$F$29</f>
        <v>0.000522902632401702</v>
      </c>
    </row>
    <row r="28" customFormat="false" ht="12.75" hidden="false" customHeight="false" outlineLevel="0" collapsed="false">
      <c r="A28" s="30"/>
      <c r="B28" s="31"/>
      <c r="C28" s="32"/>
      <c r="D28" s="30"/>
      <c r="E28" s="33"/>
      <c r="F28" s="34"/>
      <c r="G28" s="35"/>
    </row>
    <row r="29" customFormat="false" ht="13.5" hidden="false" customHeight="false" outlineLevel="0" collapsed="false">
      <c r="B29" s="15" t="s">
        <v>18</v>
      </c>
      <c r="F29" s="17" t="n">
        <f aca="false">SUM(F20:F28)</f>
        <v>1514362294.11</v>
      </c>
      <c r="G29" s="18" t="n">
        <f aca="false">+F29/F29</f>
        <v>1</v>
      </c>
    </row>
    <row r="30" customFormat="false" ht="13.5" hidden="false" customHeight="false" outlineLevel="0" collapsed="false"/>
    <row r="32" customFormat="false" ht="12.75" hidden="false" customHeight="false" outlineLevel="0" collapsed="false">
      <c r="B32" s="57" t="s">
        <v>62</v>
      </c>
    </row>
    <row r="36" customFormat="false" ht="15.75" hidden="false" customHeight="false" outlineLevel="0" collapsed="false">
      <c r="B36" s="5" t="str">
        <f aca="false">+B1</f>
        <v>Certification for Market Settlement August 24, 2001</v>
      </c>
    </row>
    <row r="37" customFormat="false" ht="15.75" hidden="false" customHeight="false" outlineLevel="0" collapsed="false">
      <c r="B37" s="5"/>
    </row>
    <row r="38" customFormat="false" ht="15.75" hidden="false" customHeight="false" outlineLevel="0" collapsed="false">
      <c r="B38" s="5" t="s">
        <v>63</v>
      </c>
    </row>
    <row r="39" customFormat="false" ht="15.75" hidden="false" customHeight="false" outlineLevel="0" collapsed="false">
      <c r="B39" s="5"/>
    </row>
    <row r="40" customFormat="false" ht="15.75" hidden="false" customHeight="false" outlineLevel="0" collapsed="false">
      <c r="B40" s="5" t="s">
        <v>20</v>
      </c>
    </row>
    <row r="41" customFormat="false" ht="15.75" hidden="false" customHeight="false" outlineLevel="0" collapsed="false">
      <c r="B41" s="5"/>
    </row>
    <row r="42" customFormat="false" ht="12.75" hidden="false" customHeight="false" outlineLevel="0" collapsed="false">
      <c r="B42" s="35" t="s">
        <v>21</v>
      </c>
      <c r="C42" s="36"/>
      <c r="D42" s="37"/>
      <c r="E42" s="37"/>
      <c r="F42" s="38" t="n">
        <v>1503186210.21</v>
      </c>
      <c r="G42" s="58" t="n">
        <f aca="false">+F42/$F$44</f>
        <v>0.953796071500997</v>
      </c>
      <c r="I42" s="59"/>
    </row>
    <row r="43" customFormat="false" ht="12.75" hidden="false" customHeight="false" outlineLevel="0" collapsed="false">
      <c r="B43" s="35" t="s">
        <v>22</v>
      </c>
      <c r="C43" s="36"/>
      <c r="D43" s="37"/>
      <c r="E43" s="37"/>
      <c r="F43" s="40" t="n">
        <v>72817565.78</v>
      </c>
      <c r="G43" s="58" t="n">
        <f aca="false">+F43/$F$44</f>
        <v>0.0462039284990026</v>
      </c>
    </row>
    <row r="44" customFormat="false" ht="12.75" hidden="false" customHeight="false" outlineLevel="0" collapsed="false">
      <c r="B44" s="41" t="s">
        <v>23</v>
      </c>
      <c r="C44" s="36"/>
      <c r="D44" s="37"/>
      <c r="E44" s="37"/>
      <c r="F44" s="42" t="n">
        <f aca="false">SUM(F42:F43)</f>
        <v>1576003775.99</v>
      </c>
      <c r="G44" s="60" t="n">
        <f aca="false">+F44/$F$44</f>
        <v>1</v>
      </c>
    </row>
    <row r="45" customFormat="false" ht="15.75" hidden="false" customHeight="false" outlineLevel="0" collapsed="false">
      <c r="B45" s="5"/>
    </row>
    <row r="46" customFormat="false" ht="12.75" hidden="false" customHeight="false" outlineLevel="0" collapsed="false">
      <c r="B46" s="35" t="s">
        <v>27</v>
      </c>
      <c r="C46" s="36"/>
      <c r="D46" s="37"/>
      <c r="E46" s="37"/>
      <c r="F46" s="34" t="n">
        <f aca="false">46371366.56-352934.19</f>
        <v>46018432.37</v>
      </c>
    </row>
    <row r="47" customFormat="false" ht="12.75" hidden="false" customHeight="false" outlineLevel="0" collapsed="false">
      <c r="B47" s="35" t="s">
        <v>64</v>
      </c>
      <c r="C47" s="36"/>
      <c r="D47" s="37"/>
      <c r="E47" s="37"/>
      <c r="F47" s="34" t="n">
        <v>1095680.05</v>
      </c>
    </row>
    <row r="48" customFormat="false" ht="12.75" hidden="false" customHeight="false" outlineLevel="0" collapsed="false">
      <c r="A48" s="36"/>
      <c r="B48" s="35" t="s">
        <v>65</v>
      </c>
      <c r="C48" s="36"/>
      <c r="D48" s="37"/>
      <c r="E48" s="37"/>
      <c r="F48" s="34" t="n">
        <v>4668657.91</v>
      </c>
      <c r="G48" s="35"/>
      <c r="H48" s="35"/>
    </row>
    <row r="49" customFormat="false" ht="12.75" hidden="false" customHeight="false" outlineLevel="0" collapsed="false">
      <c r="B49" s="35" t="s">
        <v>66</v>
      </c>
      <c r="C49" s="36"/>
      <c r="D49" s="37"/>
      <c r="E49" s="37"/>
      <c r="F49" s="40" t="n">
        <f aca="false">31.56-0.54</f>
        <v>31.02</v>
      </c>
    </row>
    <row r="50" customFormat="false" ht="12.75" hidden="false" customHeight="false" outlineLevel="0" collapsed="false">
      <c r="B50" s="41" t="s">
        <v>28</v>
      </c>
      <c r="C50" s="36"/>
      <c r="D50" s="37"/>
      <c r="E50" s="37"/>
      <c r="F50" s="42" t="n">
        <f aca="false">SUM(F46:F49)</f>
        <v>51782801.35</v>
      </c>
      <c r="G50" s="60" t="n">
        <f aca="false">+F50/$F$44</f>
        <v>0.0328570287323529</v>
      </c>
    </row>
    <row r="51" customFormat="false" ht="15.75" hidden="false" customHeight="false" outlineLevel="0" collapsed="false">
      <c r="B51" s="5"/>
    </row>
    <row r="52" customFormat="false" ht="12.75" hidden="false" customHeight="false" outlineLevel="0" collapsed="false">
      <c r="A52" s="36"/>
      <c r="B52" s="35" t="s">
        <v>67</v>
      </c>
      <c r="C52" s="36"/>
      <c r="D52" s="37"/>
      <c r="E52" s="37"/>
      <c r="F52" s="34" t="n">
        <f aca="false">2463.45+9045.05</f>
        <v>11508.5</v>
      </c>
      <c r="G52" s="35"/>
      <c r="H52" s="35"/>
    </row>
    <row r="53" customFormat="false" ht="12.75" hidden="false" customHeight="false" outlineLevel="0" collapsed="false">
      <c r="A53" s="36"/>
      <c r="B53" s="35" t="s">
        <v>68</v>
      </c>
      <c r="C53" s="36"/>
      <c r="D53" s="37"/>
      <c r="E53" s="37"/>
      <c r="F53" s="34" t="n">
        <v>147750</v>
      </c>
      <c r="G53" s="35"/>
      <c r="H53" s="35"/>
    </row>
    <row r="54" customFormat="false" ht="12.75" hidden="false" customHeight="false" outlineLevel="0" collapsed="false">
      <c r="A54" s="36"/>
      <c r="B54" s="35" t="s">
        <v>69</v>
      </c>
      <c r="C54" s="36"/>
      <c r="D54" s="37"/>
      <c r="E54" s="37"/>
      <c r="F54" s="34" t="n">
        <f aca="false">6905278.69+1077709.33</f>
        <v>7982988.02</v>
      </c>
      <c r="G54" s="35"/>
      <c r="H54" s="35"/>
    </row>
    <row r="55" customFormat="false" ht="12.75" hidden="false" customHeight="false" outlineLevel="0" collapsed="false">
      <c r="A55" s="36"/>
      <c r="B55" s="35" t="s">
        <v>70</v>
      </c>
      <c r="C55" s="36"/>
      <c r="D55" s="37"/>
      <c r="E55" s="37"/>
      <c r="F55" s="34" t="n">
        <f aca="false">792.51+51555.14</f>
        <v>52347.65</v>
      </c>
      <c r="G55" s="35"/>
      <c r="H55" s="35"/>
    </row>
    <row r="56" customFormat="false" ht="12.75" hidden="false" customHeight="false" outlineLevel="0" collapsed="false">
      <c r="A56" s="36"/>
      <c r="B56" s="35" t="s">
        <v>71</v>
      </c>
      <c r="C56" s="36"/>
      <c r="D56" s="37"/>
      <c r="E56" s="37"/>
      <c r="F56" s="34" t="n">
        <f aca="false">21483.12+118120.46+21.04</f>
        <v>139624.62</v>
      </c>
      <c r="G56" s="35"/>
      <c r="H56" s="35"/>
    </row>
    <row r="57" customFormat="false" ht="12.75" hidden="false" customHeight="false" outlineLevel="0" collapsed="false">
      <c r="A57" s="36"/>
      <c r="B57" s="35" t="s">
        <v>72</v>
      </c>
      <c r="C57" s="36"/>
      <c r="D57" s="37"/>
      <c r="E57" s="37"/>
      <c r="F57" s="34" t="n">
        <f aca="false">1476860.84+1284.97+6534.54-5100.63</f>
        <v>1479579.72</v>
      </c>
      <c r="G57" s="35"/>
      <c r="H57" s="35"/>
    </row>
    <row r="58" customFormat="false" ht="12.75" hidden="false" customHeight="false" outlineLevel="0" collapsed="false">
      <c r="A58" s="36"/>
      <c r="B58" s="35" t="s">
        <v>73</v>
      </c>
      <c r="C58" s="36"/>
      <c r="D58" s="37"/>
      <c r="E58" s="37"/>
      <c r="F58" s="34" t="n">
        <f aca="false">1202.39+5100.63</f>
        <v>6303.02</v>
      </c>
      <c r="G58" s="35"/>
      <c r="H58" s="35"/>
    </row>
    <row r="59" customFormat="false" ht="12.75" hidden="false" customHeight="false" outlineLevel="0" collapsed="false">
      <c r="A59" s="36"/>
      <c r="B59" s="35" t="s">
        <v>74</v>
      </c>
      <c r="C59" s="36"/>
      <c r="D59" s="37"/>
      <c r="E59" s="37"/>
      <c r="F59" s="34" t="n">
        <v>24782.38</v>
      </c>
      <c r="G59" s="35"/>
      <c r="H59" s="35"/>
    </row>
    <row r="60" customFormat="false" ht="12.75" hidden="false" customHeight="false" outlineLevel="0" collapsed="false">
      <c r="A60" s="36"/>
      <c r="B60" s="35" t="s">
        <v>75</v>
      </c>
      <c r="C60" s="36"/>
      <c r="D60" s="37"/>
      <c r="E60" s="37"/>
      <c r="F60" s="40" t="n">
        <v>13796.62</v>
      </c>
      <c r="G60" s="35"/>
      <c r="H60" s="35"/>
    </row>
    <row r="61" customFormat="false" ht="12.75" hidden="false" customHeight="false" outlineLevel="0" collapsed="false">
      <c r="B61" s="15" t="s">
        <v>31</v>
      </c>
      <c r="F61" s="44" t="n">
        <f aca="false">SUM(F52:F60)</f>
        <v>9858680.53</v>
      </c>
      <c r="G61" s="60" t="n">
        <f aca="false">+F61/$F$44</f>
        <v>0.00625549296276721</v>
      </c>
    </row>
    <row r="62" customFormat="false" ht="15.75" hidden="false" customHeight="false" outlineLevel="0" collapsed="false">
      <c r="B62" s="5"/>
    </row>
    <row r="63" customFormat="false" ht="16.5" hidden="false" customHeight="false" outlineLevel="0" collapsed="false">
      <c r="B63" s="45" t="s">
        <v>32</v>
      </c>
      <c r="C63" s="46"/>
      <c r="D63" s="47"/>
      <c r="E63" s="47"/>
      <c r="F63" s="48" t="n">
        <f aca="false">+F44-F50-F61</f>
        <v>1514362294.11</v>
      </c>
      <c r="G63" s="61" t="n">
        <f aca="false">+F63/$F$44</f>
        <v>0.96088747830488</v>
      </c>
      <c r="H63" s="54" t="n">
        <f aca="false">+F29-F63</f>
        <v>0</v>
      </c>
    </row>
    <row r="64" customFormat="false" ht="15.75" hidden="false" customHeight="false" outlineLevel="0" collapsed="false">
      <c r="B64" s="50"/>
      <c r="C64" s="36"/>
      <c r="D64" s="37"/>
      <c r="E64" s="37"/>
      <c r="F64" s="51"/>
    </row>
    <row r="65" customFormat="false" ht="15.75" hidden="false" customHeight="false" outlineLevel="0" collapsed="false">
      <c r="B65" s="50" t="s">
        <v>33</v>
      </c>
      <c r="C65" s="36"/>
      <c r="D65" s="37"/>
      <c r="E65" s="37"/>
      <c r="F65" s="35"/>
    </row>
    <row r="66" customFormat="false" ht="15.75" hidden="false" customHeight="false" outlineLevel="0" collapsed="false">
      <c r="B66" s="50"/>
      <c r="C66" s="36"/>
      <c r="D66" s="37"/>
      <c r="E66" s="37"/>
      <c r="F66" s="35"/>
    </row>
    <row r="67" customFormat="false" ht="12.75" hidden="false" customHeight="false" outlineLevel="0" collapsed="false">
      <c r="A67" s="36"/>
      <c r="B67" s="35" t="s">
        <v>21</v>
      </c>
      <c r="C67" s="36"/>
      <c r="D67" s="37"/>
      <c r="E67" s="37"/>
      <c r="F67" s="38" t="n">
        <f aca="false">1490781469.67</f>
        <v>1490781469.67</v>
      </c>
      <c r="G67" s="58" t="n">
        <f aca="false">+F67/$F$69</f>
        <v>0.948126119186994</v>
      </c>
      <c r="H67" s="35"/>
    </row>
    <row r="68" customFormat="false" ht="12.75" hidden="false" customHeight="false" outlineLevel="0" collapsed="false">
      <c r="B68" s="35" t="s">
        <v>22</v>
      </c>
      <c r="C68" s="36"/>
      <c r="D68" s="37"/>
      <c r="E68" s="37"/>
      <c r="F68" s="40" t="n">
        <v>81563642.97</v>
      </c>
      <c r="G68" s="58" t="n">
        <f aca="false">+F68/$F$69</f>
        <v>0.0518738808130061</v>
      </c>
    </row>
    <row r="69" customFormat="false" ht="12.75" hidden="false" customHeight="false" outlineLevel="0" collapsed="false">
      <c r="B69" s="41" t="s">
        <v>23</v>
      </c>
      <c r="C69" s="36"/>
      <c r="D69" s="37"/>
      <c r="E69" s="37"/>
      <c r="F69" s="42" t="n">
        <f aca="false">SUM(F67:F68)</f>
        <v>1572345112.64</v>
      </c>
      <c r="G69" s="60" t="n">
        <f aca="false">+F69/$F$69</f>
        <v>1</v>
      </c>
    </row>
    <row r="70" customFormat="false" ht="15.75" hidden="false" customHeight="false" outlineLevel="0" collapsed="false">
      <c r="B70" s="5"/>
    </row>
    <row r="71" customFormat="false" ht="12.75" hidden="false" customHeight="false" outlineLevel="0" collapsed="false">
      <c r="B71" s="35" t="s">
        <v>37</v>
      </c>
      <c r="C71" s="36"/>
      <c r="D71" s="37"/>
      <c r="E71" s="37"/>
      <c r="F71" s="34" t="n">
        <v>45426874.33</v>
      </c>
    </row>
    <row r="72" customFormat="false" ht="12.75" hidden="false" customHeight="false" outlineLevel="0" collapsed="false">
      <c r="A72" s="36"/>
      <c r="B72" s="35" t="s">
        <v>76</v>
      </c>
      <c r="C72" s="36"/>
      <c r="D72" s="37"/>
      <c r="E72" s="37"/>
      <c r="F72" s="34" t="n">
        <v>1095680.05</v>
      </c>
      <c r="G72" s="35"/>
      <c r="H72" s="35"/>
    </row>
    <row r="73" customFormat="false" ht="12.75" hidden="false" customHeight="false" outlineLevel="0" collapsed="false">
      <c r="A73" s="36"/>
      <c r="B73" s="35" t="s">
        <v>77</v>
      </c>
      <c r="C73" s="36"/>
      <c r="D73" s="37"/>
      <c r="E73" s="37"/>
      <c r="F73" s="34" t="n">
        <v>4660365.5</v>
      </c>
      <c r="G73" s="35"/>
      <c r="H73" s="35"/>
    </row>
    <row r="74" customFormat="false" ht="12.75" hidden="false" customHeight="false" outlineLevel="0" collapsed="false">
      <c r="A74" s="36"/>
      <c r="B74" s="35" t="s">
        <v>78</v>
      </c>
      <c r="C74" s="36"/>
      <c r="D74" s="37"/>
      <c r="E74" s="37"/>
      <c r="F74" s="34" t="n">
        <v>8292.41</v>
      </c>
      <c r="G74" s="35"/>
      <c r="H74" s="35"/>
    </row>
    <row r="75" customFormat="false" ht="12.75" hidden="false" customHeight="false" outlineLevel="0" collapsed="false">
      <c r="B75" s="35" t="s">
        <v>79</v>
      </c>
      <c r="C75" s="36"/>
      <c r="D75" s="37"/>
      <c r="E75" s="37"/>
      <c r="F75" s="40" t="n">
        <v>1243.61</v>
      </c>
    </row>
    <row r="76" customFormat="false" ht="12.75" hidden="false" customHeight="false" outlineLevel="0" collapsed="false">
      <c r="B76" s="41" t="s">
        <v>39</v>
      </c>
      <c r="C76" s="36"/>
      <c r="D76" s="37"/>
      <c r="E76" s="37"/>
      <c r="F76" s="42" t="n">
        <f aca="false">SUM(F71:F75)</f>
        <v>51192455.9</v>
      </c>
      <c r="G76" s="60" t="n">
        <f aca="false">+F76/$F$69</f>
        <v>0.0325580278072966</v>
      </c>
    </row>
    <row r="77" customFormat="false" ht="15.75" hidden="false" customHeight="false" outlineLevel="0" collapsed="false">
      <c r="B77" s="5"/>
    </row>
    <row r="78" customFormat="false" ht="12.75" hidden="false" customHeight="false" outlineLevel="0" collapsed="false">
      <c r="B78" s="35" t="s">
        <v>80</v>
      </c>
      <c r="C78" s="36"/>
      <c r="D78" s="37"/>
      <c r="E78" s="37"/>
      <c r="F78" s="52" t="n">
        <f aca="false">554063.09+1911.84+35583.11</f>
        <v>591558.04</v>
      </c>
      <c r="H78" s="62" t="n">
        <f aca="false">591558.04-F78</f>
        <v>0</v>
      </c>
    </row>
    <row r="79" customFormat="false" ht="12.75" hidden="false" customHeight="false" outlineLevel="0" collapsed="false">
      <c r="B79" s="35" t="s">
        <v>81</v>
      </c>
      <c r="C79" s="36"/>
      <c r="D79" s="37"/>
      <c r="E79" s="37"/>
      <c r="F79" s="52" t="n">
        <f aca="false">6905278.69+1113292.44-35583.11</f>
        <v>7982988.02</v>
      </c>
    </row>
    <row r="80" customFormat="false" ht="12.75" hidden="false" customHeight="false" outlineLevel="0" collapsed="false">
      <c r="A80" s="36"/>
      <c r="B80" s="35" t="s">
        <v>82</v>
      </c>
      <c r="C80" s="36"/>
      <c r="D80" s="37"/>
      <c r="E80" s="37"/>
      <c r="F80" s="52" t="n">
        <f aca="false">28270373.25+147750</f>
        <v>28418123.25</v>
      </c>
      <c r="G80" s="35"/>
      <c r="H80" s="35"/>
    </row>
    <row r="81" customFormat="false" ht="12.75" hidden="false" customHeight="false" outlineLevel="0" collapsed="false">
      <c r="A81" s="36"/>
      <c r="B81" s="35" t="s">
        <v>83</v>
      </c>
      <c r="C81" s="36"/>
      <c r="D81" s="37"/>
      <c r="E81" s="37"/>
      <c r="F81" s="52" t="n">
        <f aca="false">4703426.9+3872000+13.44+217315.41</f>
        <v>8792755.75</v>
      </c>
      <c r="G81" s="35"/>
      <c r="H81" s="35"/>
    </row>
    <row r="82" customFormat="false" ht="12.75" hidden="false" customHeight="false" outlineLevel="0" collapsed="false">
      <c r="A82" s="36"/>
      <c r="B82" s="53" t="s">
        <v>84</v>
      </c>
      <c r="C82" s="36"/>
      <c r="D82" s="37"/>
      <c r="E82" s="37"/>
      <c r="F82" s="52" t="n">
        <v>33196.74</v>
      </c>
      <c r="G82" s="35"/>
      <c r="H82" s="35"/>
    </row>
    <row r="83" customFormat="false" ht="12.75" hidden="false" customHeight="false" outlineLevel="0" collapsed="false">
      <c r="A83" s="36"/>
      <c r="B83" s="53" t="s">
        <v>85</v>
      </c>
      <c r="C83" s="36"/>
      <c r="D83" s="37"/>
      <c r="E83" s="37"/>
      <c r="F83" s="52" t="n">
        <v>2962776.9</v>
      </c>
      <c r="G83" s="35"/>
      <c r="H83" s="35"/>
    </row>
    <row r="84" customFormat="false" ht="12.75" hidden="false" customHeight="false" outlineLevel="0" collapsed="false">
      <c r="A84" s="36"/>
      <c r="B84" s="53" t="s">
        <v>86</v>
      </c>
      <c r="C84" s="36"/>
      <c r="D84" s="37"/>
      <c r="E84" s="37"/>
      <c r="F84" s="63" t="n">
        <v>1291405.14</v>
      </c>
      <c r="G84" s="35"/>
      <c r="H84" s="35"/>
    </row>
    <row r="85" customFormat="false" ht="12.75" hidden="false" customHeight="false" outlineLevel="0" collapsed="false">
      <c r="B85" s="15" t="s">
        <v>31</v>
      </c>
      <c r="C85" s="36"/>
      <c r="D85" s="37"/>
      <c r="E85" s="37"/>
      <c r="F85" s="44" t="n">
        <f aca="false">SUM(F78:F84)</f>
        <v>50072803.84</v>
      </c>
      <c r="G85" s="60" t="n">
        <f aca="false">+F85/$F$69</f>
        <v>0.0318459372802239</v>
      </c>
    </row>
    <row r="86" customFormat="false" ht="15.75" hidden="false" customHeight="false" outlineLevel="0" collapsed="false">
      <c r="B86" s="5"/>
    </row>
    <row r="87" customFormat="false" ht="16.5" hidden="false" customHeight="false" outlineLevel="0" collapsed="false">
      <c r="B87" s="45" t="s">
        <v>53</v>
      </c>
      <c r="C87" s="46"/>
      <c r="D87" s="47"/>
      <c r="E87" s="47"/>
      <c r="F87" s="48" t="n">
        <f aca="false">+F69-F76-F85</f>
        <v>1471079852.9</v>
      </c>
      <c r="G87" s="61" t="n">
        <f aca="false">+F87/$F$69</f>
        <v>0.93559603491248</v>
      </c>
      <c r="H87" s="54" t="n">
        <f aca="false">+F10-F87</f>
        <v>0</v>
      </c>
    </row>
    <row r="88" customFormat="false" ht="15.75" hidden="false" customHeight="false" outlineLevel="0" collapsed="false">
      <c r="B88" s="5"/>
    </row>
  </sheetData>
  <printOptions headings="false" gridLines="false" gridLinesSet="true" horizontalCentered="false" verticalCentered="false"/>
  <pageMargins left="0.5" right="0.25" top="0.984027777777778" bottom="0.5" header="0.511811023622047" footer="0"/>
  <pageSetup paperSize="1" scale="88" fitToWidth="1" fitToHeight="1" pageOrder="downThenOver" orientation="portrait" blackAndWhite="false" draft="false" cellComments="none" horizontalDpi="300" verticalDpi="300" copies="1"/>
  <headerFooter differentFirst="false" differentOddEven="false">
    <oddHeader/>
    <oddFooter>&amp;LCertification August 24, 2001&amp;CPage &amp;P of &amp;N&amp;RTrade Month December 2000</oddFooter>
  </headerFooter>
  <rowBreaks count="1" manualBreakCount="1">
    <brk id="35" man="true" max="16383" min="0"/>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9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6" activeCellId="0" sqref="B16"/>
    </sheetView>
  </sheetViews>
  <sheetFormatPr defaultColWidth="9.0546875" defaultRowHeight="12.75" customHeight="true" zeroHeight="false" outlineLevelRow="0" outlineLevelCol="0"/>
  <cols>
    <col collapsed="false" customWidth="true" hidden="false" outlineLevel="0" max="1" min="1" style="1" width="4.99"/>
    <col collapsed="false" customWidth="true" hidden="false" outlineLevel="0" max="2" min="2" style="0" width="49.99"/>
    <col collapsed="false" customWidth="true" hidden="false" outlineLevel="0" max="3" min="3" style="1" width="8.14"/>
    <col collapsed="false" customWidth="true" hidden="false" outlineLevel="0" max="4" min="4" style="2" width="5.99"/>
    <col collapsed="false" customWidth="true" hidden="false" outlineLevel="0" max="5" min="5" style="2" width="4.99"/>
    <col collapsed="false" customWidth="true" hidden="false" outlineLevel="0" max="6" min="6" style="0" width="17.42"/>
    <col collapsed="false" customWidth="true" hidden="false" outlineLevel="0" max="7" min="7" style="0" width="9.28"/>
    <col collapsed="false" customWidth="true" hidden="false" outlineLevel="0" max="9" min="9" style="0" width="13.99"/>
  </cols>
  <sheetData>
    <row r="1" customFormat="false" ht="15.75" hidden="false" customHeight="false" outlineLevel="0" collapsed="false">
      <c r="B1" s="3" t="s">
        <v>0</v>
      </c>
    </row>
    <row r="2" customFormat="false" ht="15.75" hidden="false" customHeight="false" outlineLevel="0" collapsed="false">
      <c r="B2" s="5"/>
    </row>
    <row r="3" customFormat="false" ht="15.75" hidden="false" customHeight="false" outlineLevel="0" collapsed="false">
      <c r="B3" s="5" t="s">
        <v>87</v>
      </c>
    </row>
    <row r="4" customFormat="false" ht="15.75" hidden="false" customHeight="false" outlineLevel="0" collapsed="false">
      <c r="B4" s="5"/>
    </row>
    <row r="5" customFormat="false" ht="15.75" hidden="false" customHeight="false" outlineLevel="0" collapsed="false">
      <c r="B5" s="5"/>
    </row>
    <row r="6" customFormat="false" ht="15.75" hidden="false" customHeight="false" outlineLevel="0" collapsed="false">
      <c r="B6" s="5"/>
    </row>
    <row r="7" customFormat="false" ht="16.5" hidden="false" customHeight="false" outlineLevel="0" collapsed="false">
      <c r="A7" s="5" t="s">
        <v>55</v>
      </c>
    </row>
    <row r="8" customFormat="false" ht="35.25" hidden="false" customHeight="false" outlineLevel="0" collapsed="false">
      <c r="A8" s="6" t="s">
        <v>3</v>
      </c>
      <c r="B8" s="6" t="s">
        <v>4</v>
      </c>
      <c r="C8" s="6" t="s">
        <v>5</v>
      </c>
      <c r="D8" s="7"/>
      <c r="E8" s="8"/>
      <c r="F8" s="9" t="s">
        <v>6</v>
      </c>
      <c r="G8" s="10" t="s">
        <v>7</v>
      </c>
      <c r="H8" s="11"/>
      <c r="I8" s="11"/>
    </row>
    <row r="9" customFormat="false" ht="12" hidden="false" customHeight="false" outlineLevel="0" collapsed="false">
      <c r="A9" s="12"/>
      <c r="B9" s="12"/>
      <c r="C9" s="12"/>
      <c r="D9" s="12"/>
      <c r="E9" s="12"/>
      <c r="F9" s="13"/>
      <c r="G9" s="12"/>
      <c r="H9" s="12"/>
      <c r="I9" s="12"/>
    </row>
    <row r="10" customFormat="false" ht="13.5" hidden="false" customHeight="false" outlineLevel="0" collapsed="false">
      <c r="A10" s="14"/>
      <c r="B10" s="15" t="s">
        <v>88</v>
      </c>
      <c r="C10" s="14"/>
      <c r="D10" s="16"/>
      <c r="E10" s="16"/>
      <c r="F10" s="17" t="n">
        <v>824310305.36</v>
      </c>
      <c r="G10" s="18" t="n">
        <f aca="false">+F10/F$10</f>
        <v>1</v>
      </c>
      <c r="H10" s="15"/>
      <c r="I10" s="15"/>
    </row>
    <row r="11" customFormat="false" ht="16.5" hidden="false" customHeight="false" outlineLevel="0" collapsed="false">
      <c r="B11" s="5"/>
    </row>
    <row r="12" customFormat="false" ht="15.75" hidden="false" customHeight="false" outlineLevel="0" collapsed="false">
      <c r="B12" s="5"/>
    </row>
    <row r="13" customFormat="false" ht="15.75" hidden="false" customHeight="false" outlineLevel="0" collapsed="false">
      <c r="B13" s="5"/>
    </row>
    <row r="14" customFormat="false" ht="15.75" hidden="false" customHeight="false" outlineLevel="0" collapsed="false">
      <c r="B14" s="5"/>
    </row>
    <row r="15" customFormat="false" ht="15.75" hidden="false" customHeight="false" outlineLevel="0" collapsed="false">
      <c r="B15" s="5"/>
    </row>
    <row r="16" customFormat="false" ht="15.75" hidden="false" customHeight="false" outlineLevel="0" collapsed="false">
      <c r="A16" s="5" t="s">
        <v>9</v>
      </c>
    </row>
    <row r="17" customFormat="false" ht="16.5" hidden="false" customHeight="false" outlineLevel="0" collapsed="false">
      <c r="A17" s="5" t="s">
        <v>89</v>
      </c>
    </row>
    <row r="18" customFormat="false" ht="35.25" hidden="false" customHeight="false" outlineLevel="0" collapsed="false">
      <c r="A18" s="6" t="s">
        <v>3</v>
      </c>
      <c r="B18" s="6" t="s">
        <v>4</v>
      </c>
      <c r="C18" s="6" t="s">
        <v>11</v>
      </c>
      <c r="D18" s="6" t="s">
        <v>12</v>
      </c>
      <c r="E18" s="6" t="s">
        <v>13</v>
      </c>
      <c r="F18" s="10" t="s">
        <v>14</v>
      </c>
      <c r="G18" s="10" t="s">
        <v>15</v>
      </c>
      <c r="H18" s="11"/>
      <c r="I18" s="11"/>
    </row>
    <row r="19" customFormat="false" ht="13.5" hidden="false" customHeight="false" outlineLevel="0" collapsed="false"/>
    <row r="20" customFormat="false" ht="12.75" hidden="false" customHeight="false" outlineLevel="0" collapsed="false">
      <c r="A20" s="22" t="n">
        <v>1924</v>
      </c>
      <c r="B20" s="20" t="s">
        <v>90</v>
      </c>
      <c r="C20" s="55" t="n">
        <v>36977</v>
      </c>
      <c r="D20" s="27" t="n">
        <v>14426</v>
      </c>
      <c r="E20" s="22" t="s">
        <v>91</v>
      </c>
      <c r="F20" s="23" t="n">
        <v>2271.96</v>
      </c>
      <c r="G20" s="24" t="n">
        <f aca="false">+F20/$F$37</f>
        <v>2.82033538158142E-006</v>
      </c>
    </row>
    <row r="21" customFormat="false" ht="12.75" hidden="false" customHeight="false" outlineLevel="0" collapsed="false">
      <c r="A21" s="22" t="n">
        <v>2606</v>
      </c>
      <c r="B21" s="20" t="s">
        <v>92</v>
      </c>
      <c r="C21" s="55" t="n">
        <v>36977</v>
      </c>
      <c r="D21" s="27" t="n">
        <v>14415</v>
      </c>
      <c r="E21" s="22" t="s">
        <v>91</v>
      </c>
      <c r="F21" s="56" t="n">
        <v>145848.15</v>
      </c>
      <c r="G21" s="24" t="n">
        <f aca="false">+F21/$F$37</f>
        <v>0.000181051029852283</v>
      </c>
    </row>
    <row r="22" customFormat="false" ht="12.75" hidden="false" customHeight="false" outlineLevel="0" collapsed="false">
      <c r="A22" s="22" t="n">
        <v>1544</v>
      </c>
      <c r="B22" s="20" t="s">
        <v>93</v>
      </c>
      <c r="C22" s="55" t="n">
        <v>36977</v>
      </c>
      <c r="D22" s="27" t="n">
        <v>14431</v>
      </c>
      <c r="E22" s="22" t="s">
        <v>91</v>
      </c>
      <c r="F22" s="56" t="n">
        <v>80164.4</v>
      </c>
      <c r="G22" s="24" t="n">
        <f aca="false">+F22/$F$37</f>
        <v>9.95134129400365E-005</v>
      </c>
    </row>
    <row r="23" customFormat="false" ht="12.75" hidden="false" customHeight="false" outlineLevel="0" collapsed="false">
      <c r="A23" s="22" t="n">
        <v>2528</v>
      </c>
      <c r="B23" s="20" t="s">
        <v>94</v>
      </c>
      <c r="C23" s="55" t="n">
        <v>36977</v>
      </c>
      <c r="D23" s="27" t="n">
        <v>14418</v>
      </c>
      <c r="E23" s="22" t="s">
        <v>91</v>
      </c>
      <c r="F23" s="56" t="n">
        <v>159458.66</v>
      </c>
      <c r="G23" s="24" t="n">
        <f aca="false">+F23/$F$37</f>
        <v>0.00019794666310039</v>
      </c>
      <c r="I23" s="54" t="n">
        <f aca="false">SUM(F20:F25)-3066490.71</f>
        <v>0</v>
      </c>
    </row>
    <row r="24" customFormat="false" ht="12.75" hidden="false" customHeight="false" outlineLevel="0" collapsed="false">
      <c r="A24" s="22" t="n">
        <v>1010</v>
      </c>
      <c r="B24" s="20" t="s">
        <v>60</v>
      </c>
      <c r="C24" s="55" t="n">
        <v>36977</v>
      </c>
      <c r="D24" s="27" t="n">
        <v>14459</v>
      </c>
      <c r="E24" s="22" t="s">
        <v>91</v>
      </c>
      <c r="F24" s="56" t="n">
        <v>2678130.43</v>
      </c>
      <c r="G24" s="24" t="n">
        <f aca="false">+F24/$F$37</f>
        <v>0.00332454180893099</v>
      </c>
    </row>
    <row r="25" customFormat="false" ht="12.75" hidden="false" customHeight="false" outlineLevel="0" collapsed="false">
      <c r="A25" s="22" t="n">
        <v>2966</v>
      </c>
      <c r="B25" s="20" t="s">
        <v>95</v>
      </c>
      <c r="C25" s="55" t="n">
        <v>36994</v>
      </c>
      <c r="D25" s="27" t="n">
        <v>14602</v>
      </c>
      <c r="E25" s="22" t="s">
        <v>91</v>
      </c>
      <c r="F25" s="56" t="n">
        <v>617.11</v>
      </c>
      <c r="G25" s="24" t="n">
        <f aca="false">+F25/$F$37</f>
        <v>7.66059775404368E-007</v>
      </c>
    </row>
    <row r="26" customFormat="false" ht="12.75" hidden="false" customHeight="false" outlineLevel="0" collapsed="false">
      <c r="A26" s="22" t="n">
        <v>1924</v>
      </c>
      <c r="B26" s="20" t="s">
        <v>90</v>
      </c>
      <c r="C26" s="55" t="n">
        <v>36977</v>
      </c>
      <c r="D26" s="27" t="n">
        <v>14495</v>
      </c>
      <c r="E26" s="22" t="s">
        <v>17</v>
      </c>
      <c r="F26" s="56" t="n">
        <v>361251.6</v>
      </c>
      <c r="G26" s="24" t="n">
        <f aca="false">+F26/$F$37</f>
        <v>0.000448445689683312</v>
      </c>
    </row>
    <row r="27" customFormat="false" ht="12.75" hidden="false" customHeight="false" outlineLevel="0" collapsed="false">
      <c r="A27" s="22" t="n">
        <v>2606</v>
      </c>
      <c r="B27" s="20" t="s">
        <v>96</v>
      </c>
      <c r="C27" s="55" t="n">
        <v>36977</v>
      </c>
      <c r="D27" s="27" t="n">
        <v>14483</v>
      </c>
      <c r="E27" s="22" t="s">
        <v>17</v>
      </c>
      <c r="F27" s="56" t="n">
        <v>2008731.95</v>
      </c>
      <c r="G27" s="24" t="n">
        <f aca="false">+F27/$F$37</f>
        <v>0.00249357285810403</v>
      </c>
    </row>
    <row r="28" customFormat="false" ht="12.75" hidden="false" customHeight="false" outlineLevel="0" collapsed="false">
      <c r="A28" s="22" t="n">
        <v>1243</v>
      </c>
      <c r="B28" s="20" t="s">
        <v>16</v>
      </c>
      <c r="C28" s="55" t="n">
        <v>36977</v>
      </c>
      <c r="D28" s="27" t="n">
        <v>14510</v>
      </c>
      <c r="E28" s="22" t="s">
        <v>17</v>
      </c>
      <c r="F28" s="56" t="n">
        <v>415999776.3</v>
      </c>
      <c r="G28" s="24" t="n">
        <f aca="false">+F28/$F$37</f>
        <v>0.516408250069915</v>
      </c>
    </row>
    <row r="29" customFormat="false" ht="12.75" hidden="false" customHeight="false" outlineLevel="0" collapsed="false">
      <c r="A29" s="22" t="n">
        <v>1243</v>
      </c>
      <c r="B29" s="20" t="s">
        <v>16</v>
      </c>
      <c r="C29" s="55" t="n">
        <v>36994</v>
      </c>
      <c r="D29" s="27" t="n">
        <v>14709</v>
      </c>
      <c r="E29" s="22" t="s">
        <v>17</v>
      </c>
      <c r="F29" s="56" t="n">
        <v>14624579.52</v>
      </c>
      <c r="G29" s="24" t="n">
        <f aca="false">+F29/$F$37</f>
        <v>0.0181544653343399</v>
      </c>
    </row>
    <row r="30" customFormat="false" ht="12.75" hidden="false" customHeight="false" outlineLevel="0" collapsed="false">
      <c r="A30" s="22" t="n">
        <v>2769</v>
      </c>
      <c r="B30" s="20" t="s">
        <v>97</v>
      </c>
      <c r="C30" s="55" t="n">
        <v>36977</v>
      </c>
      <c r="D30" s="27" t="n">
        <v>14475</v>
      </c>
      <c r="E30" s="22" t="s">
        <v>17</v>
      </c>
      <c r="F30" s="56" t="n">
        <f aca="false">206727081.73-2136592.33</f>
        <v>204590489.4</v>
      </c>
      <c r="G30" s="24" t="n">
        <f aca="false">+F30/$F$37</f>
        <v>0.25397181111898</v>
      </c>
    </row>
    <row r="31" customFormat="false" ht="12.75" hidden="false" customHeight="false" outlineLevel="0" collapsed="false">
      <c r="A31" s="22" t="n">
        <v>2769</v>
      </c>
      <c r="B31" s="20" t="s">
        <v>16</v>
      </c>
      <c r="C31" s="55" t="n">
        <v>36977</v>
      </c>
      <c r="D31" s="27" t="n">
        <v>14475</v>
      </c>
      <c r="E31" s="22" t="s">
        <v>17</v>
      </c>
      <c r="F31" s="56" t="n">
        <v>2136592.33</v>
      </c>
      <c r="G31" s="24" t="n">
        <f aca="false">+F31/$F$37</f>
        <v>0.00265229447011148</v>
      </c>
    </row>
    <row r="32" customFormat="false" ht="12.75" hidden="false" customHeight="false" outlineLevel="0" collapsed="false">
      <c r="A32" s="22" t="n">
        <v>1544</v>
      </c>
      <c r="B32" s="20" t="s">
        <v>93</v>
      </c>
      <c r="C32" s="55" t="n">
        <v>36977</v>
      </c>
      <c r="D32" s="27" t="n">
        <v>14500</v>
      </c>
      <c r="E32" s="22" t="s">
        <v>17</v>
      </c>
      <c r="F32" s="56" t="n">
        <v>1844911.74</v>
      </c>
      <c r="G32" s="24" t="n">
        <f aca="false">+F32/$F$37</f>
        <v>0.00229021191227704</v>
      </c>
      <c r="I32" s="54" t="n">
        <f aca="false">SUM(F26:F35)-802497278.35</f>
        <v>0</v>
      </c>
    </row>
    <row r="33" customFormat="false" ht="12.75" hidden="false" customHeight="false" outlineLevel="0" collapsed="false">
      <c r="A33" s="22" t="n">
        <v>1011</v>
      </c>
      <c r="B33" s="20" t="s">
        <v>98</v>
      </c>
      <c r="C33" s="55" t="n">
        <v>36977</v>
      </c>
      <c r="D33" s="27" t="n">
        <v>14531</v>
      </c>
      <c r="E33" s="22" t="s">
        <v>17</v>
      </c>
      <c r="F33" s="56" t="n">
        <v>3798392.4</v>
      </c>
      <c r="G33" s="24" t="n">
        <f aca="false">+F33/$F$37</f>
        <v>0.00471519766142448</v>
      </c>
    </row>
    <row r="34" customFormat="false" ht="12.75" hidden="false" customHeight="false" outlineLevel="0" collapsed="false">
      <c r="A34" s="22" t="n">
        <v>1010</v>
      </c>
      <c r="B34" s="20" t="s">
        <v>60</v>
      </c>
      <c r="C34" s="55" t="n">
        <v>36977</v>
      </c>
      <c r="D34" s="27" t="n">
        <v>14532</v>
      </c>
      <c r="E34" s="22" t="s">
        <v>17</v>
      </c>
      <c r="F34" s="56" t="n">
        <v>155833733.33</v>
      </c>
      <c r="G34" s="24" t="n">
        <f aca="false">+F34/$F$37</f>
        <v>0.193446800011674</v>
      </c>
    </row>
    <row r="35" customFormat="false" ht="12.75" hidden="false" customHeight="false" outlineLevel="0" collapsed="false">
      <c r="A35" s="22" t="n">
        <v>2465</v>
      </c>
      <c r="B35" s="20" t="s">
        <v>61</v>
      </c>
      <c r="C35" s="55" t="n">
        <v>36977</v>
      </c>
      <c r="D35" s="27" t="n">
        <v>14489</v>
      </c>
      <c r="E35" s="22" t="s">
        <v>17</v>
      </c>
      <c r="F35" s="28" t="n">
        <v>1298819.78</v>
      </c>
      <c r="G35" s="24" t="n">
        <f aca="false">+F35/$F$37</f>
        <v>0.00161231156350983</v>
      </c>
    </row>
    <row r="36" customFormat="false" ht="12.75" hidden="false" customHeight="false" outlineLevel="0" collapsed="false">
      <c r="A36" s="30"/>
      <c r="B36" s="31"/>
      <c r="C36" s="32"/>
      <c r="D36" s="30"/>
      <c r="E36" s="33"/>
      <c r="F36" s="34"/>
      <c r="G36" s="35"/>
    </row>
    <row r="37" customFormat="false" ht="13.5" hidden="false" customHeight="false" outlineLevel="0" collapsed="false">
      <c r="B37" s="15" t="s">
        <v>18</v>
      </c>
      <c r="F37" s="17" t="n">
        <f aca="false">SUM(F20:F36)</f>
        <v>805563769.06</v>
      </c>
      <c r="G37" s="18" t="n">
        <f aca="false">+F37/F37</f>
        <v>1</v>
      </c>
    </row>
    <row r="38" customFormat="false" ht="13.5" hidden="false" customHeight="false" outlineLevel="0" collapsed="false"/>
    <row r="41" customFormat="false" ht="12.75" hidden="false" customHeight="false" outlineLevel="0" collapsed="false">
      <c r="B41" s="57" t="s">
        <v>62</v>
      </c>
    </row>
    <row r="47" customFormat="false" ht="15.75" hidden="false" customHeight="false" outlineLevel="0" collapsed="false">
      <c r="B47" s="5" t="str">
        <f aca="false">+B1</f>
        <v>Certification for Market Settlement August 24, 2001</v>
      </c>
    </row>
    <row r="48" customFormat="false" ht="15.75" hidden="false" customHeight="false" outlineLevel="0" collapsed="false">
      <c r="B48" s="5"/>
    </row>
    <row r="49" customFormat="false" ht="15.75" hidden="false" customHeight="false" outlineLevel="0" collapsed="false">
      <c r="B49" s="5" t="s">
        <v>99</v>
      </c>
    </row>
    <row r="50" customFormat="false" ht="15.75" hidden="false" customHeight="false" outlineLevel="0" collapsed="false">
      <c r="B50" s="5"/>
    </row>
    <row r="51" customFormat="false" ht="15.75" hidden="false" customHeight="false" outlineLevel="0" collapsed="false">
      <c r="B51" s="5" t="s">
        <v>20</v>
      </c>
    </row>
    <row r="52" customFormat="false" ht="15.75" hidden="false" customHeight="false" outlineLevel="0" collapsed="false">
      <c r="B52" s="5"/>
    </row>
    <row r="53" customFormat="false" ht="12.75" hidden="false" customHeight="false" outlineLevel="0" collapsed="false">
      <c r="B53" s="35" t="s">
        <v>21</v>
      </c>
      <c r="C53" s="36"/>
      <c r="D53" s="37"/>
      <c r="E53" s="37"/>
      <c r="F53" s="38" t="n">
        <v>852880070.61</v>
      </c>
      <c r="G53" s="58" t="n">
        <f aca="false">+F53/F55</f>
        <v>0.94701907326549</v>
      </c>
    </row>
    <row r="54" customFormat="false" ht="12.75" hidden="false" customHeight="false" outlineLevel="0" collapsed="false">
      <c r="B54" s="35" t="s">
        <v>22</v>
      </c>
      <c r="C54" s="36"/>
      <c r="D54" s="37"/>
      <c r="E54" s="37"/>
      <c r="F54" s="40" t="n">
        <v>47714325.73</v>
      </c>
      <c r="G54" s="58" t="n">
        <f aca="false">+F54/F55</f>
        <v>0.0529809267345102</v>
      </c>
    </row>
    <row r="55" customFormat="false" ht="12.75" hidden="false" customHeight="false" outlineLevel="0" collapsed="false">
      <c r="B55" s="41" t="s">
        <v>23</v>
      </c>
      <c r="C55" s="36"/>
      <c r="D55" s="37"/>
      <c r="E55" s="37"/>
      <c r="F55" s="40" t="n">
        <f aca="false">SUM(F53:F54)</f>
        <v>900594396.34</v>
      </c>
      <c r="G55" s="60" t="n">
        <f aca="false">+F55/F55</f>
        <v>1</v>
      </c>
    </row>
    <row r="56" customFormat="false" ht="15.75" hidden="false" customHeight="false" outlineLevel="0" collapsed="false">
      <c r="B56" s="5"/>
    </row>
    <row r="57" customFormat="false" ht="12.75" hidden="false" customHeight="false" outlineLevel="0" collapsed="false">
      <c r="B57" s="35" t="s">
        <v>100</v>
      </c>
      <c r="C57" s="36"/>
      <c r="D57" s="37"/>
      <c r="E57" s="37"/>
      <c r="F57" s="34" t="n">
        <v>12952984.79</v>
      </c>
    </row>
    <row r="58" customFormat="false" ht="12.75" hidden="false" customHeight="false" outlineLevel="0" collapsed="false">
      <c r="B58" s="35" t="s">
        <v>66</v>
      </c>
      <c r="C58" s="36"/>
      <c r="D58" s="37"/>
      <c r="E58" s="37"/>
      <c r="F58" s="40" t="n">
        <v>1948770.11</v>
      </c>
    </row>
    <row r="59" customFormat="false" ht="12.75" hidden="false" customHeight="false" outlineLevel="0" collapsed="false">
      <c r="B59" s="41" t="s">
        <v>28</v>
      </c>
      <c r="C59" s="36"/>
      <c r="D59" s="37"/>
      <c r="E59" s="37"/>
      <c r="F59" s="40" t="n">
        <f aca="false">SUM(F57:F58)</f>
        <v>14901754.9</v>
      </c>
      <c r="G59" s="60" t="n">
        <f aca="false">+F59/F55</f>
        <v>0.0165465774166045</v>
      </c>
    </row>
    <row r="60" customFormat="false" ht="15.75" hidden="false" customHeight="false" outlineLevel="0" collapsed="false">
      <c r="B60" s="5"/>
    </row>
    <row r="61" customFormat="false" ht="12.75" hidden="false" customHeight="false" outlineLevel="0" collapsed="false">
      <c r="A61" s="36"/>
      <c r="B61" s="35" t="s">
        <v>67</v>
      </c>
      <c r="C61" s="36"/>
      <c r="D61" s="37"/>
      <c r="E61" s="37"/>
      <c r="F61" s="34" t="n">
        <v>7683.69</v>
      </c>
      <c r="G61" s="35"/>
      <c r="H61" s="35"/>
      <c r="I61" s="35"/>
    </row>
    <row r="62" customFormat="false" ht="12.75" hidden="false" customHeight="false" outlineLevel="0" collapsed="false">
      <c r="A62" s="36"/>
      <c r="B62" s="35" t="s">
        <v>101</v>
      </c>
      <c r="C62" s="36"/>
      <c r="D62" s="37"/>
      <c r="E62" s="37"/>
      <c r="F62" s="34" t="n">
        <f aca="false">5033877.99+13.44+217315.41</f>
        <v>5251206.84</v>
      </c>
      <c r="G62" s="35"/>
      <c r="H62" s="35"/>
      <c r="I62" s="35"/>
    </row>
    <row r="63" customFormat="false" ht="12.75" hidden="false" customHeight="false" outlineLevel="0" collapsed="false">
      <c r="A63" s="36"/>
      <c r="B63" s="35" t="s">
        <v>102</v>
      </c>
      <c r="C63" s="36"/>
      <c r="D63" s="37"/>
      <c r="E63" s="37"/>
      <c r="F63" s="34" t="n">
        <v>30344780.58</v>
      </c>
      <c r="G63" s="35"/>
      <c r="H63" s="35"/>
      <c r="I63" s="35"/>
    </row>
    <row r="64" customFormat="false" ht="12.75" hidden="false" customHeight="false" outlineLevel="0" collapsed="false">
      <c r="A64" s="36"/>
      <c r="B64" s="35" t="s">
        <v>71</v>
      </c>
      <c r="C64" s="36"/>
      <c r="D64" s="37"/>
      <c r="E64" s="37"/>
      <c r="F64" s="40" t="n">
        <f aca="false">46774875.92+816816.06</f>
        <v>47591691.98</v>
      </c>
      <c r="G64" s="35"/>
      <c r="H64" s="35"/>
      <c r="I64" s="52" t="n">
        <f aca="false">+F64-47591691.98</f>
        <v>0</v>
      </c>
    </row>
    <row r="65" customFormat="false" ht="12.75" hidden="false" customHeight="false" outlineLevel="0" collapsed="false">
      <c r="B65" s="15" t="s">
        <v>31</v>
      </c>
      <c r="F65" s="63" t="n">
        <f aca="false">SUM(F61:F64)</f>
        <v>83195363.09</v>
      </c>
      <c r="G65" s="60" t="n">
        <f aca="false">+F65/F55</f>
        <v>0.0923782819747763</v>
      </c>
    </row>
    <row r="66" customFormat="false" ht="12.75" hidden="false" customHeight="false" outlineLevel="0" collapsed="false">
      <c r="B66" s="15"/>
      <c r="F66" s="52"/>
      <c r="G66" s="60"/>
    </row>
    <row r="67" customFormat="false" ht="12.75" hidden="false" customHeight="false" outlineLevel="0" collapsed="false">
      <c r="A67" s="36"/>
      <c r="B67" s="35" t="s">
        <v>103</v>
      </c>
      <c r="C67" s="36"/>
      <c r="D67" s="37"/>
      <c r="E67" s="37"/>
      <c r="F67" s="40" t="n">
        <v>3066490.71</v>
      </c>
      <c r="G67" s="60" t="n">
        <f aca="false">+F67/F55</f>
        <v>0.00340496312486749</v>
      </c>
      <c r="H67" s="35"/>
      <c r="I67" s="35"/>
    </row>
    <row r="68" customFormat="false" ht="15.75" hidden="false" customHeight="false" outlineLevel="0" collapsed="false">
      <c r="B68" s="5"/>
    </row>
    <row r="69" customFormat="false" ht="16.5" hidden="false" customHeight="false" outlineLevel="0" collapsed="false">
      <c r="B69" s="45" t="s">
        <v>32</v>
      </c>
      <c r="C69" s="46"/>
      <c r="D69" s="47"/>
      <c r="E69" s="47"/>
      <c r="F69" s="48" t="n">
        <f aca="false">+F55-F59-F65+F67</f>
        <v>805563769.06</v>
      </c>
      <c r="G69" s="61" t="n">
        <f aca="false">+F69/F55</f>
        <v>0.894480103733487</v>
      </c>
      <c r="I69" s="54" t="n">
        <f aca="false">+F37-F69</f>
        <v>0</v>
      </c>
    </row>
    <row r="70" customFormat="false" ht="15.75" hidden="false" customHeight="false" outlineLevel="0" collapsed="false">
      <c r="B70" s="50"/>
      <c r="C70" s="36"/>
      <c r="D70" s="37"/>
      <c r="E70" s="37"/>
      <c r="F70" s="51"/>
    </row>
    <row r="71" customFormat="false" ht="15.75" hidden="false" customHeight="false" outlineLevel="0" collapsed="false">
      <c r="B71" s="50" t="s">
        <v>33</v>
      </c>
      <c r="C71" s="36"/>
      <c r="D71" s="37"/>
      <c r="E71" s="37"/>
      <c r="F71" s="35"/>
    </row>
    <row r="72" customFormat="false" ht="15.75" hidden="false" customHeight="false" outlineLevel="0" collapsed="false">
      <c r="B72" s="50"/>
      <c r="C72" s="36"/>
      <c r="D72" s="37"/>
      <c r="E72" s="37"/>
      <c r="F72" s="35"/>
    </row>
    <row r="73" customFormat="false" ht="12.75" hidden="false" customHeight="false" outlineLevel="0" collapsed="false">
      <c r="A73" s="36"/>
      <c r="B73" s="35" t="s">
        <v>21</v>
      </c>
      <c r="C73" s="36"/>
      <c r="D73" s="37"/>
      <c r="E73" s="37"/>
      <c r="F73" s="38" t="n">
        <v>835450696.8</v>
      </c>
      <c r="G73" s="64" t="n">
        <f aca="false">+F73/F75</f>
        <v>0.945662176333512</v>
      </c>
      <c r="H73" s="35"/>
      <c r="I73" s="35"/>
    </row>
    <row r="74" customFormat="false" ht="12.75" hidden="false" customHeight="false" outlineLevel="0" collapsed="false">
      <c r="B74" s="35" t="s">
        <v>22</v>
      </c>
      <c r="C74" s="36"/>
      <c r="D74" s="37"/>
      <c r="E74" s="37"/>
      <c r="F74" s="40" t="n">
        <v>48005063.31</v>
      </c>
      <c r="G74" s="64" t="n">
        <f aca="false">+F74/F75</f>
        <v>0.0543378236664877</v>
      </c>
    </row>
    <row r="75" customFormat="false" ht="12.75" hidden="false" customHeight="false" outlineLevel="0" collapsed="false">
      <c r="B75" s="41" t="s">
        <v>23</v>
      </c>
      <c r="C75" s="36"/>
      <c r="D75" s="37"/>
      <c r="E75" s="37"/>
      <c r="F75" s="40" t="n">
        <f aca="false">SUM(F73:F74)</f>
        <v>883455760.11</v>
      </c>
      <c r="G75" s="60" t="n">
        <f aca="false">+F75/F75</f>
        <v>1</v>
      </c>
    </row>
    <row r="76" customFormat="false" ht="15.75" hidden="false" customHeight="false" outlineLevel="0" collapsed="false">
      <c r="B76" s="5"/>
    </row>
    <row r="77" customFormat="false" ht="12.75" hidden="false" customHeight="false" outlineLevel="0" collapsed="false">
      <c r="B77" s="35" t="s">
        <v>104</v>
      </c>
      <c r="C77" s="36"/>
      <c r="D77" s="37"/>
      <c r="E77" s="37"/>
      <c r="F77" s="34" t="n">
        <v>5980329.05</v>
      </c>
    </row>
    <row r="78" customFormat="false" ht="12.75" hidden="false" customHeight="false" outlineLevel="0" collapsed="false">
      <c r="B78" s="35" t="s">
        <v>105</v>
      </c>
      <c r="C78" s="36"/>
      <c r="D78" s="37"/>
      <c r="E78" s="37"/>
      <c r="F78" s="40" t="n">
        <v>3500845.61</v>
      </c>
    </row>
    <row r="79" customFormat="false" ht="12.75" hidden="false" customHeight="false" outlineLevel="0" collapsed="false">
      <c r="B79" s="41" t="s">
        <v>39</v>
      </c>
      <c r="C79" s="36"/>
      <c r="D79" s="37"/>
      <c r="E79" s="37"/>
      <c r="F79" s="40" t="n">
        <f aca="false">SUM(F77:F78)</f>
        <v>9481174.66</v>
      </c>
      <c r="G79" s="60" t="n">
        <f aca="false">+F79/F75</f>
        <v>0.0107319178708162</v>
      </c>
    </row>
    <row r="80" customFormat="false" ht="15.75" hidden="false" customHeight="false" outlineLevel="0" collapsed="false">
      <c r="B80" s="5"/>
    </row>
    <row r="81" customFormat="false" ht="12.75" hidden="false" customHeight="false" outlineLevel="0" collapsed="false">
      <c r="B81" s="35" t="s">
        <v>106</v>
      </c>
      <c r="C81" s="36"/>
      <c r="D81" s="37"/>
      <c r="E81" s="37"/>
      <c r="F81" s="52" t="n">
        <f aca="false">122896.33-4775.87+21.04+21483.12</f>
        <v>139624.62</v>
      </c>
      <c r="I81" s="62" t="n">
        <f aca="false">139624.62-F81</f>
        <v>0</v>
      </c>
    </row>
    <row r="82" customFormat="false" ht="12.75" hidden="false" customHeight="false" outlineLevel="0" collapsed="false">
      <c r="B82" s="35" t="s">
        <v>70</v>
      </c>
      <c r="C82" s="36"/>
      <c r="D82" s="37"/>
      <c r="E82" s="37"/>
      <c r="F82" s="52" t="n">
        <f aca="false">2355642.34+4780.7</f>
        <v>2360423.04</v>
      </c>
    </row>
    <row r="83" customFormat="false" ht="12.75" hidden="false" customHeight="false" outlineLevel="0" collapsed="false">
      <c r="B83" s="35" t="s">
        <v>107</v>
      </c>
      <c r="C83" s="36"/>
      <c r="D83" s="37"/>
      <c r="E83" s="37"/>
      <c r="F83" s="52" t="n">
        <f aca="false">46774875.92+838299.18-21483.12</f>
        <v>47591691.98</v>
      </c>
      <c r="I83" s="62" t="n">
        <f aca="false">47591691.98-F83</f>
        <v>0</v>
      </c>
    </row>
    <row r="84" customFormat="false" ht="12.75" hidden="false" customHeight="false" outlineLevel="0" collapsed="false">
      <c r="B84" s="35" t="s">
        <v>108</v>
      </c>
      <c r="C84" s="36"/>
      <c r="D84" s="37"/>
      <c r="E84" s="37"/>
      <c r="F84" s="52" t="n">
        <f aca="false">-5855172.13+4097000</f>
        <v>-1758172.13</v>
      </c>
    </row>
    <row r="85" customFormat="false" ht="12.75" hidden="false" customHeight="false" outlineLevel="0" collapsed="false">
      <c r="B85" s="35" t="s">
        <v>109</v>
      </c>
      <c r="C85" s="36"/>
      <c r="D85" s="37"/>
      <c r="E85" s="37"/>
      <c r="F85" s="52" t="n">
        <f aca="false">4388030.55-4097000</f>
        <v>291030.55</v>
      </c>
    </row>
    <row r="86" customFormat="false" ht="12.75" hidden="false" customHeight="false" outlineLevel="0" collapsed="false">
      <c r="B86" s="53" t="s">
        <v>84</v>
      </c>
      <c r="C86" s="36"/>
      <c r="D86" s="37"/>
      <c r="E86" s="37"/>
      <c r="F86" s="52" t="n">
        <v>127265.99</v>
      </c>
    </row>
    <row r="87" customFormat="false" ht="12.75" hidden="false" customHeight="false" outlineLevel="0" collapsed="false">
      <c r="B87" s="53" t="s">
        <v>85</v>
      </c>
      <c r="F87" s="62" t="n">
        <f aca="false">882262.79+6706.48</f>
        <v>888969.27</v>
      </c>
    </row>
    <row r="88" customFormat="false" ht="12.75" hidden="false" customHeight="false" outlineLevel="0" collapsed="false">
      <c r="B88" s="53" t="s">
        <v>110</v>
      </c>
      <c r="C88" s="36"/>
      <c r="D88" s="37"/>
      <c r="E88" s="37"/>
      <c r="F88" s="63" t="n">
        <v>23446.77</v>
      </c>
    </row>
    <row r="89" customFormat="false" ht="12.75" hidden="false" customHeight="false" outlineLevel="0" collapsed="false">
      <c r="B89" s="15" t="s">
        <v>31</v>
      </c>
      <c r="C89" s="36"/>
      <c r="D89" s="37"/>
      <c r="E89" s="37"/>
      <c r="F89" s="63" t="n">
        <f aca="false">SUM(F81:F88)</f>
        <v>49664280.09</v>
      </c>
      <c r="G89" s="60" t="n">
        <f aca="false">+F89/F75</f>
        <v>0.0562159219877816</v>
      </c>
    </row>
    <row r="90" customFormat="false" ht="15.75" hidden="false" customHeight="false" outlineLevel="0" collapsed="false">
      <c r="B90" s="5"/>
    </row>
    <row r="91" customFormat="false" ht="16.5" hidden="false" customHeight="false" outlineLevel="0" collapsed="false">
      <c r="B91" s="45" t="s">
        <v>53</v>
      </c>
      <c r="C91" s="46"/>
      <c r="D91" s="47"/>
      <c r="E91" s="47"/>
      <c r="F91" s="48" t="n">
        <f aca="false">+F75-F79-F89</f>
        <v>824310305.36</v>
      </c>
      <c r="G91" s="61" t="n">
        <f aca="false">+F91/F75</f>
        <v>0.933052160141402</v>
      </c>
      <c r="I91" s="54" t="n">
        <f aca="false">+F91-F10</f>
        <v>0</v>
      </c>
    </row>
    <row r="92" customFormat="false" ht="15.75" hidden="false" customHeight="false" outlineLevel="0" collapsed="false">
      <c r="B92" s="50"/>
      <c r="C92" s="36"/>
      <c r="D92" s="37"/>
      <c r="E92" s="37"/>
      <c r="F92" s="51"/>
      <c r="G92" s="65"/>
    </row>
    <row r="93" customFormat="false" ht="15.75" hidden="false" customHeight="false" outlineLevel="0" collapsed="false">
      <c r="B93" s="50" t="s">
        <v>111</v>
      </c>
      <c r="C93" s="36"/>
      <c r="D93" s="37"/>
      <c r="E93" s="37"/>
      <c r="G93" s="65"/>
    </row>
    <row r="94" customFormat="false" ht="15.75" hidden="false" customHeight="false" outlineLevel="0" collapsed="false">
      <c r="B94" s="50"/>
      <c r="C94" s="36"/>
      <c r="D94" s="37"/>
      <c r="E94" s="37"/>
      <c r="G94" s="65"/>
    </row>
    <row r="95" customFormat="false" ht="12.75" hidden="false" customHeight="false" outlineLevel="0" collapsed="false">
      <c r="B95" s="66" t="s">
        <v>112</v>
      </c>
      <c r="C95" s="36"/>
      <c r="D95" s="37"/>
      <c r="E95" s="37"/>
      <c r="F95" s="38" t="n">
        <f aca="false">+'Cert Nov-00'!F45-'Cert Nov-00'!F76</f>
        <v>9348394.55999994</v>
      </c>
      <c r="G95" s="65"/>
    </row>
    <row r="96" customFormat="false" ht="12.75" hidden="false" customHeight="false" outlineLevel="0" collapsed="false">
      <c r="B96" s="66" t="s">
        <v>113</v>
      </c>
      <c r="C96" s="36"/>
      <c r="D96" s="37"/>
      <c r="E96" s="37"/>
      <c r="F96" s="40" t="n">
        <f aca="false">+F97-F95</f>
        <v>9398141.73999989</v>
      </c>
      <c r="G96" s="65"/>
    </row>
    <row r="97" customFormat="false" ht="16.5" hidden="false" customHeight="false" outlineLevel="0" collapsed="false">
      <c r="B97" s="50" t="s">
        <v>114</v>
      </c>
      <c r="F97" s="67" t="n">
        <f aca="false">+F91-F69</f>
        <v>18746536.2999998</v>
      </c>
    </row>
    <row r="98" customFormat="false" ht="13.5" hidden="false" customHeight="false" outlineLevel="0" collapsed="false"/>
    <row r="99" customFormat="false" ht="12.75" hidden="false" customHeight="false" outlineLevel="0" collapsed="false">
      <c r="F99" s="2"/>
    </row>
  </sheetData>
  <printOptions headings="false" gridLines="false" gridLinesSet="true" horizontalCentered="false" verticalCentered="false"/>
  <pageMargins left="0.5" right="0.25" top="0.5" bottom="0.5" header="0.511811023622047" footer="0"/>
  <pageSetup paperSize="1" scale="96" fitToWidth="1" fitToHeight="1" pageOrder="downThenOver" orientation="portrait" blackAndWhite="false" draft="false" cellComments="none" horizontalDpi="300" verticalDpi="300" copies="1"/>
  <headerFooter differentFirst="false" differentOddEven="false">
    <oddHeader/>
    <oddFooter>&amp;LCertification August 24, 2001&amp;CPage &amp;P of &amp;N&amp;RTrade Month January 2001</oddFooter>
  </headerFooter>
  <rowBreaks count="1" manualBreakCount="1">
    <brk id="46"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6" activeCellId="0" sqref="B16"/>
    </sheetView>
  </sheetViews>
  <sheetFormatPr defaultColWidth="9.0546875" defaultRowHeight="12.75" customHeight="true" zeroHeight="false" outlineLevelRow="0" outlineLevelCol="0"/>
  <cols>
    <col collapsed="false" customWidth="true" hidden="false" outlineLevel="0" max="1" min="1" style="1" width="6.28"/>
    <col collapsed="false" customWidth="true" hidden="false" outlineLevel="0" max="2" min="2" style="0" width="49.99"/>
    <col collapsed="false" customWidth="true" hidden="false" outlineLevel="0" max="3" min="3" style="1" width="8.41"/>
    <col collapsed="false" customWidth="true" hidden="false" outlineLevel="0" max="4" min="4" style="2" width="5.99"/>
    <col collapsed="false" customWidth="true" hidden="false" outlineLevel="0" max="5" min="5" style="2" width="4.99"/>
    <col collapsed="false" customWidth="true" hidden="false" outlineLevel="0" max="6" min="6" style="0" width="17.42"/>
    <col collapsed="false" customWidth="true" hidden="false" outlineLevel="0" max="7" min="7" style="0" width="9.28"/>
    <col collapsed="false" customWidth="true" hidden="false" outlineLevel="0" max="9" min="9" style="0" width="13.28"/>
  </cols>
  <sheetData>
    <row r="1" customFormat="false" ht="15.75" hidden="false" customHeight="false" outlineLevel="0" collapsed="false">
      <c r="B1" s="3" t="s">
        <v>0</v>
      </c>
    </row>
    <row r="2" customFormat="false" ht="15.75" hidden="false" customHeight="false" outlineLevel="0" collapsed="false">
      <c r="B2" s="5"/>
    </row>
    <row r="3" customFormat="false" ht="15.75" hidden="false" customHeight="false" outlineLevel="0" collapsed="false">
      <c r="B3" s="5" t="s">
        <v>115</v>
      </c>
    </row>
    <row r="4" customFormat="false" ht="15.75" hidden="false" customHeight="false" outlineLevel="0" collapsed="false">
      <c r="B4" s="5"/>
    </row>
    <row r="5" customFormat="false" ht="15.75" hidden="false" customHeight="false" outlineLevel="0" collapsed="false">
      <c r="B5" s="5"/>
    </row>
    <row r="6" customFormat="false" ht="15.75" hidden="false" customHeight="false" outlineLevel="0" collapsed="false">
      <c r="B6" s="5"/>
    </row>
    <row r="7" customFormat="false" ht="16.5" hidden="false" customHeight="false" outlineLevel="0" collapsed="false">
      <c r="A7" s="5" t="s">
        <v>55</v>
      </c>
    </row>
    <row r="8" customFormat="false" ht="35.25" hidden="false" customHeight="false" outlineLevel="0" collapsed="false">
      <c r="A8" s="6" t="s">
        <v>3</v>
      </c>
      <c r="B8" s="6" t="s">
        <v>4</v>
      </c>
      <c r="C8" s="6" t="s">
        <v>5</v>
      </c>
      <c r="D8" s="7"/>
      <c r="E8" s="8"/>
      <c r="F8" s="9" t="s">
        <v>6</v>
      </c>
      <c r="G8" s="10" t="s">
        <v>7</v>
      </c>
      <c r="H8" s="11"/>
      <c r="I8" s="11"/>
    </row>
    <row r="9" customFormat="false" ht="12" hidden="false" customHeight="false" outlineLevel="0" collapsed="false">
      <c r="A9" s="12"/>
      <c r="B9" s="12"/>
      <c r="C9" s="12"/>
      <c r="D9" s="12"/>
      <c r="E9" s="12"/>
      <c r="F9" s="13"/>
      <c r="G9" s="12"/>
      <c r="H9" s="12"/>
      <c r="I9" s="12"/>
    </row>
    <row r="10" customFormat="false" ht="13.5" hidden="false" customHeight="false" outlineLevel="0" collapsed="false">
      <c r="A10" s="14"/>
      <c r="B10" s="15" t="s">
        <v>116</v>
      </c>
      <c r="C10" s="14"/>
      <c r="D10" s="16"/>
      <c r="E10" s="16"/>
      <c r="F10" s="17" t="n">
        <v>978964496.18</v>
      </c>
      <c r="G10" s="18" t="n">
        <f aca="false">+F10/F$10</f>
        <v>1</v>
      </c>
      <c r="H10" s="15"/>
      <c r="I10" s="15"/>
    </row>
    <row r="11" customFormat="false" ht="13.5" hidden="false" customHeight="false" outlineLevel="0" collapsed="false">
      <c r="A11" s="14"/>
      <c r="B11" s="15"/>
      <c r="C11" s="14"/>
      <c r="D11" s="16"/>
      <c r="E11" s="16"/>
      <c r="F11" s="68"/>
      <c r="G11" s="43"/>
      <c r="H11" s="15"/>
      <c r="I11" s="15"/>
    </row>
    <row r="12" customFormat="false" ht="12.75" hidden="false" customHeight="false" outlineLevel="0" collapsed="false">
      <c r="A12" s="14"/>
      <c r="B12" s="15"/>
      <c r="C12" s="14"/>
      <c r="D12" s="16"/>
      <c r="E12" s="16"/>
      <c r="F12" s="68"/>
      <c r="G12" s="43"/>
      <c r="H12" s="15"/>
      <c r="I12" s="15"/>
    </row>
    <row r="13" customFormat="false" ht="12.75" hidden="false" customHeight="false" outlineLevel="0" collapsed="false">
      <c r="A13" s="14"/>
      <c r="B13" s="14"/>
      <c r="C13" s="15"/>
      <c r="D13" s="16"/>
      <c r="E13" s="16"/>
      <c r="F13" s="68"/>
      <c r="G13" s="43"/>
      <c r="H13" s="15"/>
      <c r="I13" s="15"/>
    </row>
    <row r="14" customFormat="false" ht="15.75" hidden="false" customHeight="false" outlineLevel="0" collapsed="false">
      <c r="B14" s="5"/>
    </row>
    <row r="15" customFormat="false" ht="15.75" hidden="false" customHeight="false" outlineLevel="0" collapsed="false">
      <c r="B15" s="5"/>
    </row>
    <row r="16" customFormat="false" ht="15.75" hidden="false" customHeight="false" outlineLevel="0" collapsed="false">
      <c r="A16" s="5" t="s">
        <v>9</v>
      </c>
    </row>
    <row r="17" customFormat="false" ht="16.5" hidden="false" customHeight="false" outlineLevel="0" collapsed="false">
      <c r="A17" s="5" t="s">
        <v>117</v>
      </c>
    </row>
    <row r="18" customFormat="false" ht="35.25" hidden="false" customHeight="false" outlineLevel="0" collapsed="false">
      <c r="A18" s="6" t="s">
        <v>3</v>
      </c>
      <c r="B18" s="6" t="s">
        <v>4</v>
      </c>
      <c r="C18" s="6" t="s">
        <v>11</v>
      </c>
      <c r="D18" s="6" t="s">
        <v>12</v>
      </c>
      <c r="E18" s="6" t="s">
        <v>13</v>
      </c>
      <c r="F18" s="10" t="s">
        <v>14</v>
      </c>
      <c r="G18" s="10" t="s">
        <v>15</v>
      </c>
      <c r="H18" s="11"/>
      <c r="I18" s="11"/>
    </row>
    <row r="19" customFormat="false" ht="13.5" hidden="false" customHeight="false" outlineLevel="0" collapsed="false"/>
    <row r="20" customFormat="false" ht="12.75" hidden="false" customHeight="false" outlineLevel="0" collapsed="false">
      <c r="A20" s="22" t="n">
        <v>1924</v>
      </c>
      <c r="B20" s="20" t="s">
        <v>90</v>
      </c>
      <c r="C20" s="55" t="n">
        <v>37005</v>
      </c>
      <c r="D20" s="27" t="n">
        <v>14803</v>
      </c>
      <c r="E20" s="22" t="s">
        <v>91</v>
      </c>
      <c r="F20" s="23" t="n">
        <v>9619.33</v>
      </c>
      <c r="G20" s="24" t="n">
        <f aca="false">+F20/$F$71</f>
        <v>9.62468331758148E-006</v>
      </c>
    </row>
    <row r="21" customFormat="false" ht="12.75" hidden="false" customHeight="false" outlineLevel="0" collapsed="false">
      <c r="A21" s="22" t="n">
        <v>1007</v>
      </c>
      <c r="B21" s="20" t="s">
        <v>118</v>
      </c>
      <c r="C21" s="55" t="n">
        <v>37005</v>
      </c>
      <c r="D21" s="27" t="n">
        <v>14832</v>
      </c>
      <c r="E21" s="22" t="s">
        <v>91</v>
      </c>
      <c r="F21" s="56" t="n">
        <v>20569.83</v>
      </c>
      <c r="G21" s="24" t="n">
        <f aca="false">+F21/$F$71</f>
        <v>2.05812774534699E-005</v>
      </c>
    </row>
    <row r="22" customFormat="false" ht="12.75" hidden="false" customHeight="false" outlineLevel="0" collapsed="false">
      <c r="A22" s="22" t="n">
        <v>2606</v>
      </c>
      <c r="B22" s="20" t="s">
        <v>96</v>
      </c>
      <c r="C22" s="55" t="n">
        <v>37005</v>
      </c>
      <c r="D22" s="27" t="n">
        <v>14792</v>
      </c>
      <c r="E22" s="22" t="s">
        <v>91</v>
      </c>
      <c r="F22" s="56" t="n">
        <v>275048.66</v>
      </c>
      <c r="G22" s="24" t="n">
        <f aca="false">+F22/$F$71</f>
        <v>0.000275201729166703</v>
      </c>
    </row>
    <row r="23" customFormat="false" ht="12.75" hidden="false" customHeight="false" outlineLevel="0" collapsed="false">
      <c r="A23" s="22" t="n">
        <v>2606</v>
      </c>
      <c r="B23" s="20" t="s">
        <v>96</v>
      </c>
      <c r="C23" s="55" t="n">
        <v>37021</v>
      </c>
      <c r="D23" s="27" t="n">
        <v>14992</v>
      </c>
      <c r="E23" s="22" t="s">
        <v>91</v>
      </c>
      <c r="F23" s="56" t="n">
        <v>684.97</v>
      </c>
      <c r="G23" s="24" t="n">
        <f aca="false">+F23/$F$71</f>
        <v>6.85351197229307E-007</v>
      </c>
    </row>
    <row r="24" customFormat="false" ht="12.75" hidden="false" customHeight="false" outlineLevel="0" collapsed="false">
      <c r="A24" s="22" t="n">
        <v>1243</v>
      </c>
      <c r="B24" s="20" t="s">
        <v>16</v>
      </c>
      <c r="C24" s="55" t="n">
        <v>37005</v>
      </c>
      <c r="D24" s="27" t="n">
        <v>14812</v>
      </c>
      <c r="E24" s="22" t="s">
        <v>91</v>
      </c>
      <c r="F24" s="56" t="n">
        <v>1793.36</v>
      </c>
      <c r="G24" s="24" t="n">
        <f aca="false">+F24/$F$71</f>
        <v>1.79435803475064E-006</v>
      </c>
    </row>
    <row r="25" customFormat="false" ht="12.75" hidden="false" customHeight="false" outlineLevel="0" collapsed="false">
      <c r="A25" s="22" t="n">
        <v>2769</v>
      </c>
      <c r="B25" s="20" t="s">
        <v>97</v>
      </c>
      <c r="C25" s="55" t="n">
        <v>37005</v>
      </c>
      <c r="D25" s="27" t="n">
        <v>14788</v>
      </c>
      <c r="E25" s="22" t="s">
        <v>91</v>
      </c>
      <c r="F25" s="56" t="n">
        <v>3568650.18</v>
      </c>
      <c r="G25" s="24" t="n">
        <f aca="false">+F25/$F$71</f>
        <v>0.00357063619334508</v>
      </c>
    </row>
    <row r="26" customFormat="false" ht="12.75" hidden="false" customHeight="false" outlineLevel="0" collapsed="false">
      <c r="A26" s="22" t="n">
        <v>2769</v>
      </c>
      <c r="B26" s="20" t="s">
        <v>97</v>
      </c>
      <c r="C26" s="55" t="n">
        <v>37021</v>
      </c>
      <c r="D26" s="27" t="n">
        <v>14988</v>
      </c>
      <c r="E26" s="22" t="s">
        <v>91</v>
      </c>
      <c r="F26" s="56" t="n">
        <v>90679.93</v>
      </c>
      <c r="G26" s="24" t="n">
        <f aca="false">+F26/$F$71</f>
        <v>9.07303948934547E-005</v>
      </c>
    </row>
    <row r="27" customFormat="false" ht="12.75" hidden="false" customHeight="false" outlineLevel="0" collapsed="false">
      <c r="A27" s="22" t="n">
        <v>1544</v>
      </c>
      <c r="B27" s="20" t="s">
        <v>93</v>
      </c>
      <c r="C27" s="55" t="n">
        <v>37005</v>
      </c>
      <c r="D27" s="27" t="n">
        <v>14807</v>
      </c>
      <c r="E27" s="22" t="s">
        <v>91</v>
      </c>
      <c r="F27" s="56" t="n">
        <v>105256.55</v>
      </c>
      <c r="G27" s="24" t="n">
        <f aca="false">+F27/$F$71</f>
        <v>0.000105315127025602</v>
      </c>
    </row>
    <row r="28" customFormat="false" ht="12.75" hidden="false" customHeight="false" outlineLevel="0" collapsed="false">
      <c r="A28" s="22" t="n">
        <v>1544</v>
      </c>
      <c r="B28" s="20" t="s">
        <v>93</v>
      </c>
      <c r="C28" s="55" t="n">
        <v>37021</v>
      </c>
      <c r="D28" s="27" t="n">
        <v>15007</v>
      </c>
      <c r="E28" s="22" t="s">
        <v>91</v>
      </c>
      <c r="F28" s="56" t="n">
        <v>207.76</v>
      </c>
      <c r="G28" s="24" t="n">
        <f aca="false">+F28/$F$71</f>
        <v>2.07875621905136E-007</v>
      </c>
      <c r="I28" s="54" t="n">
        <f aca="false">SUM(F20:F33)-14303508.27</f>
        <v>0</v>
      </c>
    </row>
    <row r="29" customFormat="false" ht="12.75" hidden="false" customHeight="false" outlineLevel="0" collapsed="false">
      <c r="A29" s="22" t="n">
        <v>3106</v>
      </c>
      <c r="B29" s="20" t="s">
        <v>58</v>
      </c>
      <c r="C29" s="55" t="n">
        <v>37005</v>
      </c>
      <c r="D29" s="27" t="n">
        <v>14781</v>
      </c>
      <c r="E29" s="22" t="s">
        <v>91</v>
      </c>
      <c r="F29" s="56" t="n">
        <v>4291209.47</v>
      </c>
      <c r="G29" s="24" t="n">
        <f aca="false">+F29/$F$71</f>
        <v>0.00429359759964121</v>
      </c>
    </row>
    <row r="30" customFormat="false" ht="12.75" hidden="false" customHeight="false" outlineLevel="0" collapsed="false">
      <c r="A30" s="22" t="n">
        <v>1011</v>
      </c>
      <c r="B30" s="20" t="s">
        <v>58</v>
      </c>
      <c r="C30" s="55" t="n">
        <v>37005</v>
      </c>
      <c r="D30" s="27" t="n">
        <v>14829</v>
      </c>
      <c r="E30" s="22" t="s">
        <v>91</v>
      </c>
      <c r="F30" s="56" t="n">
        <v>639755.47</v>
      </c>
      <c r="G30" s="24" t="n">
        <f aca="false">+F30/$F$71</f>
        <v>0.000640111504589249</v>
      </c>
    </row>
    <row r="31" customFormat="false" ht="12.75" hidden="false" customHeight="false" outlineLevel="0" collapsed="false">
      <c r="A31" s="22" t="n">
        <v>2528</v>
      </c>
      <c r="B31" s="20" t="s">
        <v>94</v>
      </c>
      <c r="C31" s="55" t="n">
        <v>37005</v>
      </c>
      <c r="D31" s="27" t="n">
        <v>14795</v>
      </c>
      <c r="E31" s="22" t="s">
        <v>91</v>
      </c>
      <c r="F31" s="56" t="n">
        <v>157012.97</v>
      </c>
      <c r="G31" s="24" t="n">
        <f aca="false">+F31/$F$71</f>
        <v>0.000157100350336554</v>
      </c>
    </row>
    <row r="32" customFormat="false" ht="12.75" hidden="false" customHeight="false" outlineLevel="0" collapsed="false">
      <c r="A32" s="22" t="n">
        <v>1024</v>
      </c>
      <c r="B32" s="20" t="s">
        <v>119</v>
      </c>
      <c r="C32" s="55" t="n">
        <v>37005</v>
      </c>
      <c r="D32" s="27" t="n">
        <v>14821</v>
      </c>
      <c r="E32" s="22" t="s">
        <v>91</v>
      </c>
      <c r="F32" s="56" t="n">
        <v>885.39</v>
      </c>
      <c r="G32" s="24" t="n">
        <f aca="false">+F32/$F$71</f>
        <v>8.85882734302021E-007</v>
      </c>
    </row>
    <row r="33" customFormat="false" ht="12.75" hidden="false" customHeight="false" outlineLevel="0" collapsed="false">
      <c r="A33" s="22" t="n">
        <v>1010</v>
      </c>
      <c r="B33" s="20" t="s">
        <v>60</v>
      </c>
      <c r="C33" s="55" t="n">
        <v>37005</v>
      </c>
      <c r="D33" s="27" t="n">
        <v>14830</v>
      </c>
      <c r="E33" s="22" t="s">
        <v>91</v>
      </c>
      <c r="F33" s="56" t="n">
        <v>5142134.4</v>
      </c>
      <c r="G33" s="24" t="n">
        <f aca="false">+F33/$F$71</f>
        <v>0.00514499608355695</v>
      </c>
    </row>
    <row r="34" customFormat="false" ht="12.75" hidden="false" customHeight="false" outlineLevel="0" collapsed="false">
      <c r="A34" s="22" t="n">
        <v>1924</v>
      </c>
      <c r="B34" s="20" t="s">
        <v>90</v>
      </c>
      <c r="C34" s="55" t="n">
        <v>37005</v>
      </c>
      <c r="D34" s="27" t="n">
        <v>14870</v>
      </c>
      <c r="E34" s="22" t="s">
        <v>17</v>
      </c>
      <c r="F34" s="56" t="n">
        <v>508508.33</v>
      </c>
      <c r="G34" s="24" t="n">
        <f aca="false">+F34/$F$71</f>
        <v>0.000508791323366827</v>
      </c>
    </row>
    <row r="35" customFormat="false" ht="12.75" hidden="false" customHeight="false" outlineLevel="0" collapsed="false">
      <c r="A35" s="22" t="n">
        <v>1924</v>
      </c>
      <c r="B35" s="20" t="s">
        <v>90</v>
      </c>
      <c r="C35" s="55" t="n">
        <v>37021</v>
      </c>
      <c r="D35" s="27" t="n">
        <v>15070</v>
      </c>
      <c r="E35" s="22" t="s">
        <v>17</v>
      </c>
      <c r="F35" s="56" t="n">
        <v>45068.84</v>
      </c>
      <c r="G35" s="24" t="n">
        <f aca="false">+F35/$F$71</f>
        <v>4.50939215611429E-005</v>
      </c>
    </row>
    <row r="36" customFormat="false" ht="12.75" hidden="false" customHeight="false" outlineLevel="0" collapsed="false">
      <c r="A36" s="22" t="n">
        <v>1007</v>
      </c>
      <c r="B36" s="20" t="s">
        <v>118</v>
      </c>
      <c r="C36" s="55" t="n">
        <v>37005</v>
      </c>
      <c r="D36" s="27" t="n">
        <v>14908</v>
      </c>
      <c r="E36" s="22" t="s">
        <v>17</v>
      </c>
      <c r="F36" s="56" t="n">
        <v>1024112.25</v>
      </c>
      <c r="G36" s="24" t="n">
        <f aca="false">+F36/$F$71</f>
        <v>0.00102468218554783</v>
      </c>
    </row>
    <row r="37" customFormat="false" ht="12.75" hidden="false" customHeight="false" outlineLevel="0" collapsed="false">
      <c r="A37" s="22" t="n">
        <v>2606</v>
      </c>
      <c r="B37" s="20" t="s">
        <v>96</v>
      </c>
      <c r="C37" s="55" t="n">
        <v>37005</v>
      </c>
      <c r="D37" s="27" t="n">
        <v>14857</v>
      </c>
      <c r="E37" s="22" t="s">
        <v>17</v>
      </c>
      <c r="F37" s="56" t="n">
        <v>6897234.62</v>
      </c>
      <c r="G37" s="24" t="n">
        <f aca="false">+F37/$F$71</f>
        <v>0.0069010730461019</v>
      </c>
    </row>
    <row r="38" customFormat="false" ht="12.75" hidden="false" customHeight="false" outlineLevel="0" collapsed="false">
      <c r="A38" s="22" t="n">
        <v>2606</v>
      </c>
      <c r="B38" s="20" t="s">
        <v>96</v>
      </c>
      <c r="C38" s="55" t="n">
        <v>37021</v>
      </c>
      <c r="D38" s="27" t="n">
        <v>15057</v>
      </c>
      <c r="E38" s="22" t="s">
        <v>17</v>
      </c>
      <c r="F38" s="56" t="n">
        <v>1350389.95</v>
      </c>
      <c r="G38" s="24" t="n">
        <f aca="false">+F38/$F$71</f>
        <v>0.00135114146452972</v>
      </c>
    </row>
    <row r="39" customFormat="false" ht="12.75" hidden="false" customHeight="false" outlineLevel="0" collapsed="false">
      <c r="A39" s="22" t="n">
        <v>1243</v>
      </c>
      <c r="B39" s="20" t="s">
        <v>16</v>
      </c>
      <c r="C39" s="55" t="n">
        <v>37005</v>
      </c>
      <c r="D39" s="27" t="n">
        <v>14884</v>
      </c>
      <c r="E39" s="22" t="s">
        <v>17</v>
      </c>
      <c r="F39" s="56" t="n">
        <v>9016270.52</v>
      </c>
      <c r="G39" s="24" t="n">
        <f aca="false">+F39/$F$71</f>
        <v>0.0090212882249227</v>
      </c>
    </row>
    <row r="40" customFormat="false" ht="12.75" hidden="false" customHeight="false" outlineLevel="0" collapsed="false">
      <c r="A40" s="22" t="n">
        <v>2769</v>
      </c>
      <c r="B40" s="20" t="s">
        <v>97</v>
      </c>
      <c r="C40" s="55" t="n">
        <v>37005</v>
      </c>
      <c r="D40" s="27" t="n">
        <v>14850</v>
      </c>
      <c r="E40" s="22" t="s">
        <v>17</v>
      </c>
      <c r="F40" s="56" t="n">
        <v>298219558.92</v>
      </c>
      <c r="G40" s="24" t="n">
        <f aca="false">+F40/$F$71</f>
        <v>0.298385523078409</v>
      </c>
    </row>
    <row r="41" customFormat="false" ht="12.75" hidden="false" customHeight="false" outlineLevel="0" collapsed="false">
      <c r="A41" s="22" t="n">
        <v>2769</v>
      </c>
      <c r="B41" s="20" t="s">
        <v>97</v>
      </c>
      <c r="C41" s="55" t="n">
        <v>37021</v>
      </c>
      <c r="D41" s="27" t="n">
        <v>15050</v>
      </c>
      <c r="E41" s="22" t="s">
        <v>17</v>
      </c>
      <c r="F41" s="56" t="n">
        <v>22318778.21</v>
      </c>
      <c r="G41" s="24" t="n">
        <f aca="false">+F41/$F$71</f>
        <v>0.0223311989823187</v>
      </c>
    </row>
    <row r="42" customFormat="false" ht="12.75" hidden="false" customHeight="false" outlineLevel="0" collapsed="false">
      <c r="A42" s="22" t="n">
        <v>1584</v>
      </c>
      <c r="B42" s="20" t="s">
        <v>120</v>
      </c>
      <c r="C42" s="55" t="n">
        <v>37005</v>
      </c>
      <c r="D42" s="27" t="n">
        <v>14876</v>
      </c>
      <c r="E42" s="22" t="s">
        <v>17</v>
      </c>
      <c r="F42" s="56" t="n">
        <v>291092.85</v>
      </c>
      <c r="G42" s="24" t="n">
        <f aca="false">+F42/$F$71</f>
        <v>0.000291254848026032</v>
      </c>
    </row>
    <row r="43" customFormat="false" ht="12.75" hidden="false" customHeight="false" outlineLevel="0" collapsed="false">
      <c r="A43" s="22" t="n">
        <v>1684</v>
      </c>
      <c r="B43" s="20" t="s">
        <v>121</v>
      </c>
      <c r="C43" s="55" t="n">
        <v>37005</v>
      </c>
      <c r="D43" s="27" t="n">
        <v>14873</v>
      </c>
      <c r="E43" s="22" t="s">
        <v>17</v>
      </c>
      <c r="F43" s="56" t="n">
        <v>66990.38</v>
      </c>
      <c r="G43" s="24" t="n">
        <f aca="false">+F43/$F$71</f>
        <v>6.70276612637724E-005</v>
      </c>
    </row>
    <row r="46" customFormat="false" ht="15.75" hidden="false" customHeight="false" outlineLevel="0" collapsed="false">
      <c r="A46" s="69"/>
      <c r="B46" s="5" t="str">
        <f aca="false">+B1</f>
        <v>Certification for Market Settlement August 24, 2001</v>
      </c>
      <c r="C46" s="70"/>
      <c r="D46" s="36"/>
      <c r="E46" s="69"/>
      <c r="F46" s="34"/>
      <c r="G46" s="39"/>
    </row>
    <row r="47" customFormat="false" ht="15.75" hidden="false" customHeight="false" outlineLevel="0" collapsed="false">
      <c r="A47" s="69"/>
      <c r="B47" s="5"/>
      <c r="C47" s="70"/>
      <c r="D47" s="36"/>
      <c r="E47" s="69"/>
      <c r="F47" s="34"/>
      <c r="G47" s="39"/>
    </row>
    <row r="48" customFormat="false" ht="15.75" hidden="false" customHeight="false" outlineLevel="0" collapsed="false">
      <c r="A48" s="69"/>
      <c r="B48" s="5" t="s">
        <v>115</v>
      </c>
      <c r="C48" s="70"/>
      <c r="D48" s="36"/>
      <c r="E48" s="69"/>
      <c r="F48" s="34"/>
      <c r="G48" s="39"/>
    </row>
    <row r="49" customFormat="false" ht="12.75" hidden="false" customHeight="false" outlineLevel="0" collapsed="false">
      <c r="A49" s="69"/>
      <c r="B49" s="71"/>
      <c r="C49" s="70"/>
      <c r="D49" s="36"/>
      <c r="E49" s="69"/>
      <c r="F49" s="34"/>
      <c r="G49" s="39"/>
    </row>
    <row r="50" customFormat="false" ht="12.75" hidden="false" customHeight="false" outlineLevel="0" collapsed="false">
      <c r="A50" s="69"/>
      <c r="B50" s="71"/>
      <c r="C50" s="70"/>
      <c r="D50" s="36"/>
      <c r="E50" s="69"/>
      <c r="F50" s="34"/>
      <c r="G50" s="39"/>
    </row>
    <row r="51" customFormat="false" ht="12.75" hidden="false" customHeight="false" outlineLevel="0" collapsed="false">
      <c r="A51" s="69"/>
      <c r="B51" s="71"/>
      <c r="C51" s="70"/>
      <c r="D51" s="36"/>
      <c r="E51" s="69"/>
      <c r="F51" s="34"/>
      <c r="G51" s="39"/>
    </row>
    <row r="52" customFormat="false" ht="15.75" hidden="false" customHeight="false" outlineLevel="0" collapsed="false">
      <c r="A52" s="5" t="s">
        <v>122</v>
      </c>
    </row>
    <row r="53" customFormat="false" ht="16.5" hidden="false" customHeight="false" outlineLevel="0" collapsed="false">
      <c r="A53" s="5" t="s">
        <v>117</v>
      </c>
    </row>
    <row r="54" customFormat="false" ht="35.25" hidden="false" customHeight="false" outlineLevel="0" collapsed="false">
      <c r="A54" s="6" t="s">
        <v>3</v>
      </c>
      <c r="B54" s="6" t="s">
        <v>4</v>
      </c>
      <c r="C54" s="6" t="s">
        <v>11</v>
      </c>
      <c r="D54" s="6" t="s">
        <v>12</v>
      </c>
      <c r="E54" s="6" t="s">
        <v>13</v>
      </c>
      <c r="F54" s="10" t="s">
        <v>14</v>
      </c>
      <c r="G54" s="10" t="s">
        <v>15</v>
      </c>
      <c r="H54" s="11"/>
      <c r="I54" s="11"/>
    </row>
    <row r="55" customFormat="false" ht="13.5" hidden="false" customHeight="false" outlineLevel="0" collapsed="false">
      <c r="A55" s="22"/>
      <c r="B55" s="20"/>
      <c r="C55" s="72"/>
      <c r="D55" s="27"/>
      <c r="E55" s="22"/>
      <c r="F55" s="56"/>
      <c r="G55" s="24"/>
    </row>
    <row r="56" customFormat="false" ht="12.75" hidden="false" customHeight="false" outlineLevel="0" collapsed="false">
      <c r="A56" s="22" t="n">
        <v>1103</v>
      </c>
      <c r="B56" s="20" t="s">
        <v>123</v>
      </c>
      <c r="C56" s="55" t="n">
        <v>37021</v>
      </c>
      <c r="D56" s="27" t="n">
        <v>15093</v>
      </c>
      <c r="E56" s="22" t="s">
        <v>17</v>
      </c>
      <c r="F56" s="56" t="n">
        <v>189667.55</v>
      </c>
      <c r="G56" s="24" t="n">
        <f aca="false">+F56/$F$71</f>
        <v>0.000189773103154955</v>
      </c>
    </row>
    <row r="57" customFormat="false" ht="12.75" hidden="false" customHeight="false" outlineLevel="0" collapsed="false">
      <c r="A57" s="22" t="n">
        <v>1544</v>
      </c>
      <c r="B57" s="20" t="s">
        <v>93</v>
      </c>
      <c r="C57" s="55" t="n">
        <v>37005</v>
      </c>
      <c r="D57" s="27" t="n">
        <v>14875</v>
      </c>
      <c r="E57" s="22" t="s">
        <v>17</v>
      </c>
      <c r="F57" s="56" t="n">
        <v>1784223.49</v>
      </c>
      <c r="G57" s="24" t="n">
        <f aca="false">+F57/$F$71</f>
        <v>0.00178521644013045</v>
      </c>
      <c r="I57" s="54" t="n">
        <f aca="false">SUM(F34:F69)-985140284.59</f>
        <v>0</v>
      </c>
    </row>
    <row r="58" customFormat="false" ht="12.75" hidden="false" customHeight="false" outlineLevel="0" collapsed="false">
      <c r="A58" s="22" t="n">
        <v>1544</v>
      </c>
      <c r="B58" s="20" t="s">
        <v>93</v>
      </c>
      <c r="C58" s="55" t="n">
        <v>37021</v>
      </c>
      <c r="D58" s="27" t="n">
        <v>15075</v>
      </c>
      <c r="E58" s="22" t="s">
        <v>17</v>
      </c>
      <c r="F58" s="56" t="n">
        <v>357475.41</v>
      </c>
      <c r="G58" s="24" t="n">
        <f aca="false">+F58/$F$71</f>
        <v>0.000357674351027836</v>
      </c>
    </row>
    <row r="59" customFormat="false" ht="12.75" hidden="false" customHeight="false" outlineLevel="0" collapsed="false">
      <c r="A59" s="22" t="n">
        <v>3106</v>
      </c>
      <c r="B59" s="20" t="s">
        <v>58</v>
      </c>
      <c r="C59" s="55" t="n">
        <v>37005</v>
      </c>
      <c r="D59" s="27" t="n">
        <v>14839</v>
      </c>
      <c r="E59" s="22" t="s">
        <v>17</v>
      </c>
      <c r="F59" s="56" t="n">
        <v>156420353.66</v>
      </c>
      <c r="G59" s="24" t="n">
        <f aca="false">+F59/$F$71</f>
        <v>0.156507404195676</v>
      </c>
    </row>
    <row r="60" customFormat="false" ht="12.75" hidden="false" customHeight="false" outlineLevel="0" collapsed="false">
      <c r="A60" s="22" t="n">
        <v>3106</v>
      </c>
      <c r="B60" s="20" t="s">
        <v>58</v>
      </c>
      <c r="C60" s="55" t="n">
        <v>37021</v>
      </c>
      <c r="D60" s="27" t="n">
        <v>15039</v>
      </c>
      <c r="E60" s="22" t="s">
        <v>17</v>
      </c>
      <c r="F60" s="56" t="n">
        <v>10964758.17</v>
      </c>
      <c r="G60" s="24" t="n">
        <f aca="false">+F60/$F$71</f>
        <v>0.0109708602407979</v>
      </c>
    </row>
    <row r="61" customFormat="false" ht="12.75" hidden="false" customHeight="false" outlineLevel="0" collapsed="false">
      <c r="A61" s="22" t="n">
        <v>1011</v>
      </c>
      <c r="B61" s="20" t="s">
        <v>58</v>
      </c>
      <c r="C61" s="55" t="n">
        <v>37005</v>
      </c>
      <c r="D61" s="27" t="n">
        <v>14905</v>
      </c>
      <c r="E61" s="22" t="s">
        <v>17</v>
      </c>
      <c r="F61" s="56" t="n">
        <v>16247132.24</v>
      </c>
      <c r="G61" s="24" t="n">
        <f aca="false">+F61/$F$71</f>
        <v>0.0162561740400702</v>
      </c>
    </row>
    <row r="62" customFormat="false" ht="12.75" hidden="false" customHeight="false" outlineLevel="0" collapsed="false">
      <c r="A62" s="22" t="n">
        <v>1011</v>
      </c>
      <c r="B62" s="20" t="s">
        <v>58</v>
      </c>
      <c r="C62" s="55" t="n">
        <v>37021</v>
      </c>
      <c r="D62" s="27" t="n">
        <v>15105</v>
      </c>
      <c r="E62" s="22" t="s">
        <v>17</v>
      </c>
      <c r="F62" s="56" t="n">
        <v>2153805.64</v>
      </c>
      <c r="G62" s="24" t="n">
        <f aca="false">+F62/$F$71</f>
        <v>0.00215500426876102</v>
      </c>
    </row>
    <row r="63" customFormat="false" ht="12.75" hidden="false" customHeight="false" outlineLevel="0" collapsed="false">
      <c r="A63" s="22" t="n">
        <v>2528</v>
      </c>
      <c r="B63" s="20" t="s">
        <v>94</v>
      </c>
      <c r="C63" s="55" t="n">
        <v>37005</v>
      </c>
      <c r="D63" s="27" t="n">
        <v>14861</v>
      </c>
      <c r="E63" s="22" t="s">
        <v>17</v>
      </c>
      <c r="F63" s="56" t="n">
        <v>1223.99</v>
      </c>
      <c r="G63" s="24" t="n">
        <f aca="false">+F63/$F$71</f>
        <v>1.22467117084938E-006</v>
      </c>
    </row>
    <row r="64" customFormat="false" ht="12.75" hidden="false" customHeight="false" outlineLevel="0" collapsed="false">
      <c r="A64" s="22" t="n">
        <v>1008</v>
      </c>
      <c r="B64" s="20" t="s">
        <v>124</v>
      </c>
      <c r="C64" s="55" t="n">
        <v>37005</v>
      </c>
      <c r="D64" s="27" t="n">
        <v>14907</v>
      </c>
      <c r="E64" s="22" t="s">
        <v>17</v>
      </c>
      <c r="F64" s="56" t="n">
        <v>38142.15</v>
      </c>
      <c r="G64" s="24" t="n">
        <f aca="false">+F64/$F$71</f>
        <v>3.81633767426308E-005</v>
      </c>
    </row>
    <row r="65" customFormat="false" ht="12.75" hidden="false" customHeight="false" outlineLevel="0" collapsed="false">
      <c r="A65" s="22" t="n">
        <v>1008</v>
      </c>
      <c r="B65" s="20" t="s">
        <v>124</v>
      </c>
      <c r="C65" s="55" t="n">
        <v>37021</v>
      </c>
      <c r="D65" s="27" t="n">
        <v>15107</v>
      </c>
      <c r="E65" s="22" t="s">
        <v>17</v>
      </c>
      <c r="F65" s="56" t="n">
        <v>8419.49</v>
      </c>
      <c r="G65" s="24" t="n">
        <f aca="false">+F65/$F$71</f>
        <v>8.42417558660988E-006</v>
      </c>
    </row>
    <row r="66" customFormat="false" ht="12.75" hidden="false" customHeight="false" outlineLevel="0" collapsed="false">
      <c r="A66" s="22" t="n">
        <v>1024</v>
      </c>
      <c r="B66" s="20" t="s">
        <v>119</v>
      </c>
      <c r="C66" s="55" t="n">
        <v>37005</v>
      </c>
      <c r="D66" s="27" t="n">
        <v>14896</v>
      </c>
      <c r="E66" s="22" t="s">
        <v>17</v>
      </c>
      <c r="F66" s="56" t="n">
        <v>203919.45</v>
      </c>
      <c r="G66" s="24" t="n">
        <f aca="false">+F66/$F$71</f>
        <v>0.000204032934575006</v>
      </c>
    </row>
    <row r="67" customFormat="false" ht="12.75" hidden="false" customHeight="false" outlineLevel="0" collapsed="false">
      <c r="A67" s="22" t="n">
        <v>1024</v>
      </c>
      <c r="B67" s="20" t="s">
        <v>119</v>
      </c>
      <c r="C67" s="55" t="n">
        <v>37021</v>
      </c>
      <c r="D67" s="27" t="n">
        <v>15096</v>
      </c>
      <c r="E67" s="22" t="s">
        <v>17</v>
      </c>
      <c r="F67" s="56" t="n">
        <v>18881.31</v>
      </c>
      <c r="G67" s="24" t="n">
        <f aca="false">+F67/$F$71</f>
        <v>1.88918177639279E-005</v>
      </c>
    </row>
    <row r="68" customFormat="false" ht="12.75" hidden="false" customHeight="false" outlineLevel="0" collapsed="false">
      <c r="A68" s="22" t="n">
        <v>1010</v>
      </c>
      <c r="B68" s="20" t="s">
        <v>60</v>
      </c>
      <c r="C68" s="55" t="n">
        <v>37005</v>
      </c>
      <c r="D68" s="27" t="n">
        <v>14906</v>
      </c>
      <c r="E68" s="22" t="s">
        <v>17</v>
      </c>
      <c r="F68" s="56" t="n">
        <v>420279224.4</v>
      </c>
      <c r="G68" s="24" t="n">
        <f aca="false">+F68/$F$71</f>
        <v>0.420513116798027</v>
      </c>
    </row>
    <row r="69" customFormat="false" ht="12.75" hidden="false" customHeight="false" outlineLevel="0" collapsed="false">
      <c r="A69" s="22" t="n">
        <v>1010</v>
      </c>
      <c r="B69" s="20" t="s">
        <v>60</v>
      </c>
      <c r="C69" s="55" t="n">
        <v>37021</v>
      </c>
      <c r="D69" s="27" t="n">
        <v>15106</v>
      </c>
      <c r="E69" s="22" t="s">
        <v>17</v>
      </c>
      <c r="F69" s="28" t="n">
        <v>36735052.77</v>
      </c>
      <c r="G69" s="29" t="n">
        <f aca="false">+F69/$F$71</f>
        <v>0.0367554964395539</v>
      </c>
    </row>
    <row r="70" customFormat="false" ht="12.75" hidden="false" customHeight="false" outlineLevel="0" collapsed="false">
      <c r="A70" s="30"/>
      <c r="B70" s="31"/>
      <c r="C70" s="32"/>
      <c r="D70" s="30"/>
      <c r="E70" s="33"/>
      <c r="F70" s="34"/>
      <c r="G70" s="35"/>
    </row>
    <row r="71" customFormat="false" ht="13.5" hidden="false" customHeight="false" outlineLevel="0" collapsed="false">
      <c r="B71" s="15" t="s">
        <v>18</v>
      </c>
      <c r="F71" s="17" t="n">
        <f aca="false">SUM(F20:F70)</f>
        <v>999443792.86</v>
      </c>
      <c r="G71" s="18" t="n">
        <f aca="false">+F71/F71</f>
        <v>1</v>
      </c>
    </row>
    <row r="72" customFormat="false" ht="13.5" hidden="false" customHeight="false" outlineLevel="0" collapsed="false"/>
    <row r="75" customFormat="false" ht="12.75" hidden="false" customHeight="false" outlineLevel="0" collapsed="false">
      <c r="B75" s="57" t="s">
        <v>62</v>
      </c>
    </row>
    <row r="77" customFormat="false" ht="15.75" hidden="false" customHeight="false" outlineLevel="0" collapsed="false">
      <c r="B77" s="5" t="str">
        <f aca="false">+B1</f>
        <v>Certification for Market Settlement August 24, 2001</v>
      </c>
    </row>
    <row r="78" customFormat="false" ht="15.75" hidden="false" customHeight="false" outlineLevel="0" collapsed="false">
      <c r="B78" s="5"/>
    </row>
    <row r="79" customFormat="false" ht="15.75" hidden="false" customHeight="false" outlineLevel="0" collapsed="false">
      <c r="B79" s="5" t="str">
        <f aca="false">+B48</f>
        <v>For the Trade Month of February 2001</v>
      </c>
    </row>
    <row r="80" customFormat="false" ht="15.75" hidden="false" customHeight="false" outlineLevel="0" collapsed="false">
      <c r="B80" s="5"/>
    </row>
    <row r="81" customFormat="false" ht="15.75" hidden="false" customHeight="false" outlineLevel="0" collapsed="false">
      <c r="B81" s="5" t="s">
        <v>20</v>
      </c>
    </row>
    <row r="82" customFormat="false" ht="15.75" hidden="false" customHeight="false" outlineLevel="0" collapsed="false">
      <c r="B82" s="5"/>
    </row>
    <row r="83" customFormat="false" ht="12.75" hidden="false" customHeight="false" outlineLevel="0" collapsed="false">
      <c r="B83" s="35" t="s">
        <v>21</v>
      </c>
      <c r="C83" s="36"/>
      <c r="D83" s="37"/>
      <c r="E83" s="37"/>
      <c r="F83" s="38" t="n">
        <v>972588030.84</v>
      </c>
      <c r="G83" s="58" t="n">
        <f aca="false">+F83/F85</f>
        <v>0.922275987237755</v>
      </c>
    </row>
    <row r="84" customFormat="false" ht="12.75" hidden="false" customHeight="false" outlineLevel="0" collapsed="false">
      <c r="B84" s="35" t="s">
        <v>22</v>
      </c>
      <c r="C84" s="36"/>
      <c r="D84" s="37"/>
      <c r="E84" s="37"/>
      <c r="F84" s="40" t="n">
        <v>81964016.81</v>
      </c>
      <c r="G84" s="58" t="n">
        <f aca="false">+F84/F85</f>
        <v>0.0777240127622448</v>
      </c>
    </row>
    <row r="85" customFormat="false" ht="12.75" hidden="false" customHeight="false" outlineLevel="0" collapsed="false">
      <c r="B85" s="41" t="s">
        <v>23</v>
      </c>
      <c r="C85" s="36"/>
      <c r="D85" s="37"/>
      <c r="E85" s="37"/>
      <c r="F85" s="40" t="n">
        <f aca="false">SUM(F83:F84)</f>
        <v>1054552047.65</v>
      </c>
      <c r="G85" s="60" t="n">
        <f aca="false">+F85/F85</f>
        <v>1</v>
      </c>
    </row>
    <row r="86" customFormat="false" ht="15.75" hidden="false" customHeight="false" outlineLevel="0" collapsed="false">
      <c r="B86" s="5"/>
    </row>
    <row r="87" customFormat="false" ht="12.75" hidden="false" customHeight="false" outlineLevel="0" collapsed="false">
      <c r="B87" s="35" t="s">
        <v>125</v>
      </c>
      <c r="C87" s="36"/>
      <c r="D87" s="37"/>
      <c r="E87" s="37"/>
      <c r="F87" s="34" t="n">
        <v>59861543.33</v>
      </c>
    </row>
    <row r="88" customFormat="false" ht="12.75" hidden="false" customHeight="false" outlineLevel="0" collapsed="false">
      <c r="B88" s="35" t="s">
        <v>126</v>
      </c>
      <c r="C88" s="36"/>
      <c r="D88" s="37"/>
      <c r="E88" s="37"/>
      <c r="F88" s="34" t="n">
        <v>1703105.49</v>
      </c>
    </row>
    <row r="89" customFormat="false" ht="12.75" hidden="false" customHeight="false" outlineLevel="0" collapsed="false">
      <c r="B89" s="35" t="s">
        <v>127</v>
      </c>
      <c r="C89" s="36"/>
      <c r="D89" s="37"/>
      <c r="E89" s="37"/>
      <c r="F89" s="34" t="n">
        <v>171667.35</v>
      </c>
    </row>
    <row r="90" customFormat="false" ht="12.75" hidden="false" customHeight="false" outlineLevel="0" collapsed="false">
      <c r="B90" s="35" t="s">
        <v>128</v>
      </c>
      <c r="C90" s="36"/>
      <c r="D90" s="37"/>
      <c r="E90" s="37"/>
      <c r="F90" s="34" t="n">
        <v>2754904.04</v>
      </c>
    </row>
    <row r="91" customFormat="false" ht="12.75" hidden="false" customHeight="false" outlineLevel="0" collapsed="false">
      <c r="B91" s="35" t="s">
        <v>129</v>
      </c>
      <c r="C91" s="36"/>
      <c r="D91" s="37"/>
      <c r="E91" s="37"/>
      <c r="F91" s="34" t="n">
        <v>459411.62</v>
      </c>
    </row>
    <row r="92" customFormat="false" ht="12.75" hidden="false" customHeight="false" outlineLevel="0" collapsed="false">
      <c r="B92" s="35" t="s">
        <v>130</v>
      </c>
      <c r="C92" s="36"/>
      <c r="D92" s="37"/>
      <c r="E92" s="37"/>
      <c r="F92" s="40" t="n">
        <v>24932.27</v>
      </c>
    </row>
    <row r="93" customFormat="false" ht="12.75" hidden="false" customHeight="false" outlineLevel="0" collapsed="false">
      <c r="B93" s="41" t="s">
        <v>28</v>
      </c>
      <c r="C93" s="36"/>
      <c r="D93" s="37"/>
      <c r="E93" s="37"/>
      <c r="F93" s="40" t="n">
        <f aca="false">SUM(F87:F92)</f>
        <v>64975564.1</v>
      </c>
      <c r="G93" s="60" t="n">
        <f aca="false">+F93/F85</f>
        <v>0.0616143738422336</v>
      </c>
    </row>
    <row r="94" customFormat="false" ht="15.75" hidden="false" customHeight="false" outlineLevel="0" collapsed="false">
      <c r="B94" s="5"/>
    </row>
    <row r="95" customFormat="false" ht="12.75" hidden="false" customHeight="false" outlineLevel="0" collapsed="false">
      <c r="A95" s="36"/>
      <c r="B95" s="35" t="s">
        <v>67</v>
      </c>
      <c r="C95" s="36"/>
      <c r="D95" s="37"/>
      <c r="E95" s="37"/>
      <c r="F95" s="34" t="n">
        <v>25515.38</v>
      </c>
      <c r="G95" s="35"/>
      <c r="H95" s="35"/>
      <c r="I95" s="35"/>
    </row>
    <row r="96" customFormat="false" ht="12.75" hidden="false" customHeight="false" outlineLevel="0" collapsed="false">
      <c r="A96" s="36"/>
      <c r="B96" s="35" t="s">
        <v>101</v>
      </c>
      <c r="C96" s="36"/>
      <c r="D96" s="37"/>
      <c r="E96" s="37"/>
      <c r="F96" s="34" t="n">
        <v>33196.74</v>
      </c>
      <c r="G96" s="35"/>
      <c r="H96" s="35"/>
      <c r="I96" s="35"/>
    </row>
    <row r="97" customFormat="false" ht="12.75" hidden="false" customHeight="false" outlineLevel="0" collapsed="false">
      <c r="A97" s="36"/>
      <c r="B97" s="35" t="s">
        <v>131</v>
      </c>
      <c r="C97" s="36"/>
      <c r="D97" s="37"/>
      <c r="E97" s="37"/>
      <c r="F97" s="34" t="n">
        <v>127265.99</v>
      </c>
      <c r="G97" s="35"/>
      <c r="H97" s="35"/>
      <c r="I97" s="35"/>
    </row>
    <row r="98" customFormat="false" ht="12.75" hidden="false" customHeight="false" outlineLevel="0" collapsed="false">
      <c r="A98" s="36"/>
      <c r="B98" s="35" t="s">
        <v>72</v>
      </c>
      <c r="C98" s="36"/>
      <c r="D98" s="37"/>
      <c r="E98" s="37"/>
      <c r="F98" s="34" t="n">
        <f aca="false">12423.05+4221121.69+5615.29</f>
        <v>4239160.03</v>
      </c>
      <c r="G98" s="35"/>
      <c r="H98" s="35"/>
      <c r="I98" s="35"/>
    </row>
    <row r="99" customFormat="false" ht="12.75" hidden="false" customHeight="false" outlineLevel="0" collapsed="false">
      <c r="A99" s="36"/>
      <c r="B99" s="35" t="s">
        <v>132</v>
      </c>
      <c r="C99" s="36"/>
      <c r="D99" s="37"/>
      <c r="E99" s="37"/>
      <c r="F99" s="34" t="n">
        <f aca="false">22.1-9.19</f>
        <v>12.91</v>
      </c>
      <c r="G99" s="35"/>
      <c r="H99" s="35"/>
      <c r="I99" s="35"/>
    </row>
    <row r="100" customFormat="false" ht="12.75" hidden="false" customHeight="false" outlineLevel="0" collapsed="false">
      <c r="A100" s="36"/>
      <c r="B100" s="35" t="s">
        <v>73</v>
      </c>
      <c r="C100" s="36"/>
      <c r="D100" s="37"/>
      <c r="E100" s="37"/>
      <c r="F100" s="34" t="n">
        <f aca="false">522.23</f>
        <v>522.23</v>
      </c>
      <c r="G100" s="35"/>
      <c r="H100" s="35"/>
      <c r="I100" s="35"/>
    </row>
    <row r="101" customFormat="false" ht="12.75" hidden="false" customHeight="false" outlineLevel="0" collapsed="false">
      <c r="A101" s="36"/>
      <c r="B101" s="35" t="s">
        <v>133</v>
      </c>
      <c r="C101" s="36"/>
      <c r="D101" s="37"/>
      <c r="E101" s="37"/>
      <c r="F101" s="40" t="n">
        <v>10525.68</v>
      </c>
      <c r="G101" s="35"/>
      <c r="H101" s="35"/>
      <c r="I101" s="35"/>
    </row>
    <row r="102" customFormat="false" ht="12.75" hidden="false" customHeight="false" outlineLevel="0" collapsed="false">
      <c r="B102" s="15" t="s">
        <v>31</v>
      </c>
      <c r="F102" s="63" t="n">
        <f aca="false">SUM(F95:F101)</f>
        <v>4436198.96</v>
      </c>
      <c r="G102" s="60" t="n">
        <f aca="false">+F102/F85</f>
        <v>0.00420671409238243</v>
      </c>
    </row>
    <row r="103" customFormat="false" ht="12.75" hidden="false" customHeight="false" outlineLevel="0" collapsed="false">
      <c r="B103" s="15"/>
      <c r="F103" s="52"/>
      <c r="G103" s="60"/>
    </row>
    <row r="104" customFormat="false" ht="12.75" hidden="false" customHeight="false" outlineLevel="0" collapsed="false">
      <c r="A104" s="36"/>
      <c r="B104" s="35" t="s">
        <v>134</v>
      </c>
      <c r="C104" s="36"/>
      <c r="D104" s="37"/>
      <c r="E104" s="37"/>
      <c r="F104" s="40" t="n">
        <v>14303508.27</v>
      </c>
      <c r="G104" s="60" t="n">
        <f aca="false">+F104/F85</f>
        <v>0.0135635868346891</v>
      </c>
      <c r="H104" s="35"/>
      <c r="I104" s="35"/>
    </row>
    <row r="105" customFormat="false" ht="15.75" hidden="false" customHeight="false" outlineLevel="0" collapsed="false">
      <c r="B105" s="5"/>
    </row>
    <row r="106" customFormat="false" ht="16.5" hidden="false" customHeight="false" outlineLevel="0" collapsed="false">
      <c r="B106" s="45" t="s">
        <v>32</v>
      </c>
      <c r="C106" s="46"/>
      <c r="D106" s="47"/>
      <c r="E106" s="47"/>
      <c r="F106" s="48" t="n">
        <f aca="false">+F85-F93-F102+F104</f>
        <v>999443792.86</v>
      </c>
      <c r="G106" s="61" t="n">
        <f aca="false">+F106/F85</f>
        <v>0.947742498900073</v>
      </c>
      <c r="I106" s="54" t="n">
        <f aca="false">+F71-F106</f>
        <v>0</v>
      </c>
    </row>
    <row r="107" customFormat="false" ht="15.75" hidden="false" customHeight="false" outlineLevel="0" collapsed="false">
      <c r="B107" s="50"/>
      <c r="C107" s="36"/>
      <c r="D107" s="37"/>
      <c r="E107" s="37"/>
      <c r="F107" s="51"/>
    </row>
    <row r="108" customFormat="false" ht="15.75" hidden="false" customHeight="false" outlineLevel="0" collapsed="false">
      <c r="B108" s="5"/>
    </row>
    <row r="109" customFormat="false" ht="15.75" hidden="false" customHeight="false" outlineLevel="0" collapsed="false">
      <c r="B109" s="50" t="s">
        <v>33</v>
      </c>
      <c r="C109" s="36"/>
      <c r="D109" s="37"/>
      <c r="E109" s="37"/>
      <c r="F109" s="35"/>
    </row>
    <row r="110" customFormat="false" ht="15.75" hidden="false" customHeight="false" outlineLevel="0" collapsed="false">
      <c r="B110" s="50"/>
      <c r="C110" s="36"/>
      <c r="D110" s="37"/>
      <c r="E110" s="37"/>
      <c r="F110" s="35"/>
    </row>
    <row r="111" customFormat="false" ht="12.75" hidden="false" customHeight="false" outlineLevel="0" collapsed="false">
      <c r="A111" s="36"/>
      <c r="B111" s="35" t="s">
        <v>21</v>
      </c>
      <c r="C111" s="36"/>
      <c r="D111" s="37"/>
      <c r="E111" s="37"/>
      <c r="F111" s="38" t="n">
        <v>952742085.5</v>
      </c>
      <c r="G111" s="64" t="n">
        <f aca="false">+F111/F113</f>
        <v>0.920783716757814</v>
      </c>
      <c r="H111" s="35"/>
      <c r="I111" s="35"/>
    </row>
    <row r="112" customFormat="false" ht="12.75" hidden="false" customHeight="false" outlineLevel="0" collapsed="false">
      <c r="B112" s="35" t="s">
        <v>22</v>
      </c>
      <c r="C112" s="36"/>
      <c r="D112" s="37"/>
      <c r="E112" s="37"/>
      <c r="F112" s="40" t="n">
        <v>81965705.44</v>
      </c>
      <c r="G112" s="64" t="n">
        <f aca="false">+F112/F113</f>
        <v>0.0792162832421864</v>
      </c>
    </row>
    <row r="113" customFormat="false" ht="12.75" hidden="false" customHeight="false" outlineLevel="0" collapsed="false">
      <c r="B113" s="41" t="s">
        <v>23</v>
      </c>
      <c r="C113" s="36"/>
      <c r="D113" s="37"/>
      <c r="E113" s="37"/>
      <c r="F113" s="40" t="n">
        <f aca="false">SUM(F111:F112)</f>
        <v>1034707790.94</v>
      </c>
      <c r="G113" s="60" t="n">
        <f aca="false">+F113/F113</f>
        <v>1</v>
      </c>
    </row>
    <row r="114" customFormat="false" ht="15.75" hidden="false" customHeight="false" outlineLevel="0" collapsed="false">
      <c r="B114" s="5"/>
    </row>
    <row r="115" customFormat="false" ht="12.75" hidden="false" customHeight="false" outlineLevel="0" collapsed="false">
      <c r="B115" s="35" t="s">
        <v>135</v>
      </c>
      <c r="C115" s="36"/>
      <c r="D115" s="37"/>
      <c r="E115" s="37"/>
      <c r="F115" s="34" t="n">
        <v>42468820.18</v>
      </c>
    </row>
    <row r="116" customFormat="false" ht="12.75" hidden="false" customHeight="false" outlineLevel="0" collapsed="false">
      <c r="B116" s="35" t="s">
        <v>136</v>
      </c>
      <c r="C116" s="36"/>
      <c r="D116" s="37"/>
      <c r="E116" s="37"/>
      <c r="F116" s="34" t="n">
        <v>3857696.65</v>
      </c>
    </row>
    <row r="117" customFormat="false" ht="12.75" hidden="false" customHeight="false" outlineLevel="0" collapsed="false">
      <c r="B117" s="35" t="s">
        <v>137</v>
      </c>
      <c r="C117" s="36"/>
      <c r="D117" s="37"/>
      <c r="E117" s="37"/>
      <c r="F117" s="34" t="n">
        <v>2755696.19</v>
      </c>
    </row>
    <row r="118" customFormat="false" ht="12.75" hidden="false" customHeight="false" outlineLevel="0" collapsed="false">
      <c r="B118" s="35" t="s">
        <v>138</v>
      </c>
      <c r="C118" s="36"/>
      <c r="D118" s="37"/>
      <c r="E118" s="37"/>
      <c r="F118" s="40" t="n">
        <v>24932.27</v>
      </c>
    </row>
    <row r="119" customFormat="false" ht="12.75" hidden="false" customHeight="false" outlineLevel="0" collapsed="false">
      <c r="B119" s="41" t="s">
        <v>39</v>
      </c>
      <c r="C119" s="36"/>
      <c r="D119" s="37"/>
      <c r="E119" s="37"/>
      <c r="F119" s="40" t="n">
        <f aca="false">SUM(F115:F118)</f>
        <v>49107145.29</v>
      </c>
      <c r="G119" s="60" t="n">
        <f aca="false">+F119/F113</f>
        <v>0.0474599164324332</v>
      </c>
    </row>
    <row r="120" customFormat="false" ht="15.75" hidden="false" customHeight="false" outlineLevel="0" collapsed="false">
      <c r="B120" s="5"/>
    </row>
    <row r="121" customFormat="false" ht="12.75" hidden="false" customHeight="false" outlineLevel="0" collapsed="false">
      <c r="B121" s="35" t="s">
        <v>106</v>
      </c>
      <c r="C121" s="36"/>
      <c r="D121" s="37"/>
      <c r="E121" s="37"/>
      <c r="F121" s="52" t="n">
        <f aca="false">1476860.84+1433.91+1284.97</f>
        <v>1479579.72</v>
      </c>
    </row>
    <row r="122" customFormat="false" ht="12.75" hidden="false" customHeight="false" outlineLevel="0" collapsed="false">
      <c r="B122" s="35" t="s">
        <v>70</v>
      </c>
      <c r="C122" s="36"/>
      <c r="D122" s="37"/>
      <c r="E122" s="37"/>
      <c r="F122" s="52" t="n">
        <f aca="false">17369.41+1655.43</f>
        <v>19024.84</v>
      </c>
    </row>
    <row r="123" customFormat="false" ht="12.75" hidden="false" customHeight="false" outlineLevel="0" collapsed="false">
      <c r="B123" s="35" t="s">
        <v>139</v>
      </c>
      <c r="C123" s="36"/>
      <c r="D123" s="37"/>
      <c r="E123" s="37"/>
      <c r="F123" s="52" t="n">
        <f aca="false">945185.16-85589.52+4188.11+1737.61</f>
        <v>865521.36</v>
      </c>
    </row>
    <row r="124" customFormat="false" ht="12.75" hidden="false" customHeight="false" outlineLevel="0" collapsed="false">
      <c r="B124" s="35" t="s">
        <v>84</v>
      </c>
      <c r="C124" s="36"/>
      <c r="D124" s="37"/>
      <c r="E124" s="37"/>
      <c r="F124" s="52" t="n">
        <f aca="false">4221121.69+12423.05</f>
        <v>4233544.74</v>
      </c>
    </row>
    <row r="125" customFormat="false" ht="12.75" hidden="false" customHeight="false" outlineLevel="0" collapsed="false">
      <c r="B125" s="35" t="s">
        <v>85</v>
      </c>
      <c r="C125" s="36"/>
      <c r="D125" s="37"/>
      <c r="E125" s="37"/>
      <c r="F125" s="52" t="n">
        <v>19892.77</v>
      </c>
    </row>
    <row r="126" customFormat="false" ht="12.75" hidden="false" customHeight="false" outlineLevel="0" collapsed="false">
      <c r="B126" s="35" t="s">
        <v>110</v>
      </c>
      <c r="C126" s="36"/>
      <c r="D126" s="37"/>
      <c r="E126" s="37"/>
      <c r="F126" s="63" t="n">
        <v>18586.04</v>
      </c>
    </row>
    <row r="127" customFormat="false" ht="12.75" hidden="false" customHeight="false" outlineLevel="0" collapsed="false">
      <c r="B127" s="15" t="s">
        <v>31</v>
      </c>
      <c r="C127" s="36"/>
      <c r="D127" s="37"/>
      <c r="E127" s="37"/>
      <c r="F127" s="63" t="n">
        <f aca="false">SUM(F121:F126)</f>
        <v>6636149.47</v>
      </c>
      <c r="G127" s="60" t="n">
        <f aca="false">+F127/F113</f>
        <v>0.00641354934031304</v>
      </c>
    </row>
    <row r="128" customFormat="false" ht="15.75" hidden="false" customHeight="false" outlineLevel="0" collapsed="false">
      <c r="B128" s="5"/>
    </row>
    <row r="129" customFormat="false" ht="16.5" hidden="false" customHeight="false" outlineLevel="0" collapsed="false">
      <c r="B129" s="45" t="s">
        <v>53</v>
      </c>
      <c r="C129" s="46"/>
      <c r="D129" s="47"/>
      <c r="E129" s="47"/>
      <c r="F129" s="48" t="n">
        <f aca="false">+F113-F119-F127</f>
        <v>978964496.18</v>
      </c>
      <c r="G129" s="61" t="n">
        <f aca="false">+F129/F113</f>
        <v>0.946126534227254</v>
      </c>
      <c r="I129" s="54" t="n">
        <f aca="false">+F129-F10</f>
        <v>0</v>
      </c>
    </row>
    <row r="130" customFormat="false" ht="15.75" hidden="false" customHeight="false" outlineLevel="0" collapsed="false">
      <c r="B130" s="50"/>
      <c r="C130" s="36"/>
      <c r="D130" s="37"/>
      <c r="E130" s="37"/>
      <c r="F130" s="51"/>
      <c r="G130" s="65"/>
    </row>
  </sheetData>
  <printOptions headings="false" gridLines="false" gridLinesSet="true" horizontalCentered="false" verticalCentered="false"/>
  <pageMargins left="0.5" right="0.25" top="0.5" bottom="0.5" header="0.511811023622047" footer="0"/>
  <pageSetup paperSize="1" scale="96" fitToWidth="1" fitToHeight="1" pageOrder="downThenOver" orientation="portrait" blackAndWhite="false" draft="false" cellComments="none" horizontalDpi="300" verticalDpi="300" copies="1"/>
  <headerFooter differentFirst="false" differentOddEven="false">
    <oddHeader/>
    <oddFooter>&amp;LCertification August 24, 2001&amp;CPage &amp;P of &amp;N&amp;RTrade Month February 2001</oddFooter>
  </headerFooter>
  <rowBreaks count="2" manualBreakCount="2">
    <brk id="45" man="true" max="16383" min="0"/>
    <brk id="76" man="true" max="16383" min="0"/>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7" activeCellId="0" sqref="B17"/>
    </sheetView>
  </sheetViews>
  <sheetFormatPr defaultColWidth="9.0546875" defaultRowHeight="12.75" customHeight="true" zeroHeight="false" outlineLevelRow="0" outlineLevelCol="0"/>
  <cols>
    <col collapsed="false" customWidth="true" hidden="false" outlineLevel="0" max="1" min="1" style="1" width="6.28"/>
    <col collapsed="false" customWidth="true" hidden="false" outlineLevel="0" max="2" min="2" style="0" width="49.99"/>
    <col collapsed="false" customWidth="true" hidden="false" outlineLevel="0" max="3" min="3" style="1" width="8.41"/>
    <col collapsed="false" customWidth="true" hidden="false" outlineLevel="0" max="4" min="4" style="2" width="5.99"/>
    <col collapsed="false" customWidth="true" hidden="false" outlineLevel="0" max="5" min="5" style="2" width="4.99"/>
    <col collapsed="false" customWidth="true" hidden="false" outlineLevel="0" max="6" min="6" style="0" width="17.42"/>
    <col collapsed="false" customWidth="true" hidden="false" outlineLevel="0" max="7" min="7" style="0" width="9.28"/>
    <col collapsed="false" customWidth="true" hidden="false" outlineLevel="0" max="8" min="8" style="0" width="11.13"/>
    <col collapsed="false" customWidth="true" hidden="false" outlineLevel="0" max="9" min="9" style="0" width="16.56"/>
  </cols>
  <sheetData>
    <row r="1" customFormat="false" ht="15.75" hidden="false" customHeight="false" outlineLevel="0" collapsed="false">
      <c r="B1" s="3" t="s">
        <v>0</v>
      </c>
    </row>
    <row r="2" customFormat="false" ht="15.75" hidden="false" customHeight="false" outlineLevel="0" collapsed="false">
      <c r="B2" s="5"/>
    </row>
    <row r="3" customFormat="false" ht="15.75" hidden="false" customHeight="false" outlineLevel="0" collapsed="false">
      <c r="B3" s="5" t="s">
        <v>140</v>
      </c>
    </row>
    <row r="4" customFormat="false" ht="15.75" hidden="false" customHeight="false" outlineLevel="0" collapsed="false">
      <c r="B4" s="5"/>
    </row>
    <row r="5" customFormat="false" ht="15.75" hidden="false" customHeight="false" outlineLevel="0" collapsed="false">
      <c r="B5" s="5"/>
    </row>
    <row r="6" customFormat="false" ht="15.75" hidden="false" customHeight="false" outlineLevel="0" collapsed="false">
      <c r="B6" s="5"/>
    </row>
    <row r="7" customFormat="false" ht="16.5" hidden="false" customHeight="false" outlineLevel="0" collapsed="false">
      <c r="A7" s="5" t="s">
        <v>55</v>
      </c>
    </row>
    <row r="8" customFormat="false" ht="35.25" hidden="false" customHeight="false" outlineLevel="0" collapsed="false">
      <c r="A8" s="6" t="s">
        <v>3</v>
      </c>
      <c r="B8" s="6" t="s">
        <v>4</v>
      </c>
      <c r="C8" s="6" t="s">
        <v>5</v>
      </c>
      <c r="D8" s="7"/>
      <c r="E8" s="8"/>
      <c r="F8" s="9" t="s">
        <v>6</v>
      </c>
      <c r="G8" s="10" t="s">
        <v>7</v>
      </c>
      <c r="H8" s="11"/>
      <c r="I8" s="11"/>
    </row>
    <row r="9" customFormat="false" ht="12" hidden="false" customHeight="false" outlineLevel="0" collapsed="false">
      <c r="A9" s="12"/>
      <c r="B9" s="12"/>
      <c r="C9" s="12"/>
      <c r="D9" s="12"/>
      <c r="E9" s="12"/>
      <c r="F9" s="13"/>
      <c r="G9" s="12"/>
      <c r="H9" s="12"/>
      <c r="I9" s="12"/>
    </row>
    <row r="10" customFormat="false" ht="13.5" hidden="false" customHeight="false" outlineLevel="0" collapsed="false">
      <c r="A10" s="14"/>
      <c r="B10" s="15" t="s">
        <v>116</v>
      </c>
      <c r="C10" s="73"/>
      <c r="D10" s="16"/>
      <c r="E10" s="16"/>
      <c r="F10" s="17" t="n">
        <v>849216710.91</v>
      </c>
      <c r="G10" s="18" t="n">
        <f aca="false">+F10/F$10</f>
        <v>1</v>
      </c>
      <c r="H10" s="15"/>
      <c r="I10" s="15"/>
    </row>
    <row r="11" customFormat="false" ht="13.5" hidden="false" customHeight="false" outlineLevel="0" collapsed="false">
      <c r="A11" s="14"/>
      <c r="B11" s="15"/>
      <c r="C11" s="73"/>
      <c r="D11" s="16"/>
      <c r="E11" s="16"/>
      <c r="F11" s="68"/>
      <c r="G11" s="43"/>
      <c r="H11" s="15"/>
      <c r="I11" s="15"/>
    </row>
    <row r="12" customFormat="false" ht="12.75" hidden="false" customHeight="false" outlineLevel="0" collapsed="false">
      <c r="A12" s="14"/>
      <c r="B12" s="15"/>
      <c r="C12" s="73"/>
      <c r="D12" s="16"/>
      <c r="E12" s="16"/>
      <c r="F12" s="68"/>
      <c r="G12" s="43"/>
      <c r="H12" s="15"/>
      <c r="I12" s="15"/>
    </row>
    <row r="13" customFormat="false" ht="12.75" hidden="false" customHeight="false" outlineLevel="0" collapsed="false">
      <c r="A13" s="14"/>
      <c r="B13" s="14"/>
      <c r="C13" s="74"/>
      <c r="D13" s="16"/>
      <c r="E13" s="16"/>
      <c r="F13" s="68"/>
      <c r="G13" s="43"/>
      <c r="H13" s="15"/>
      <c r="I13" s="15"/>
    </row>
    <row r="14" customFormat="false" ht="15.75" hidden="false" customHeight="false" outlineLevel="0" collapsed="false">
      <c r="B14" s="5"/>
      <c r="C14" s="75"/>
    </row>
    <row r="15" customFormat="false" ht="15.75" hidden="false" customHeight="false" outlineLevel="0" collapsed="false">
      <c r="B15" s="5"/>
      <c r="C15" s="75"/>
    </row>
    <row r="16" customFormat="false" ht="15.75" hidden="false" customHeight="false" outlineLevel="0" collapsed="false">
      <c r="A16" s="5" t="s">
        <v>9</v>
      </c>
      <c r="C16" s="75"/>
    </row>
    <row r="17" customFormat="false" ht="16.5" hidden="false" customHeight="false" outlineLevel="0" collapsed="false">
      <c r="A17" s="5" t="s">
        <v>141</v>
      </c>
      <c r="C17" s="75"/>
    </row>
    <row r="18" customFormat="false" ht="35.25" hidden="false" customHeight="false" outlineLevel="0" collapsed="false">
      <c r="A18" s="6" t="s">
        <v>3</v>
      </c>
      <c r="B18" s="6" t="s">
        <v>4</v>
      </c>
      <c r="C18" s="76" t="s">
        <v>11</v>
      </c>
      <c r="D18" s="6" t="s">
        <v>12</v>
      </c>
      <c r="E18" s="6" t="s">
        <v>13</v>
      </c>
      <c r="F18" s="10" t="s">
        <v>14</v>
      </c>
      <c r="G18" s="10" t="s">
        <v>15</v>
      </c>
      <c r="H18" s="11"/>
      <c r="I18" s="11"/>
    </row>
    <row r="19" customFormat="false" ht="13.5" hidden="false" customHeight="false" outlineLevel="0" collapsed="false">
      <c r="C19" s="75"/>
    </row>
    <row r="20" customFormat="false" ht="12.75" hidden="false" customHeight="false" outlineLevel="0" collapsed="false">
      <c r="A20" s="22" t="n">
        <v>1924</v>
      </c>
      <c r="B20" s="20" t="s">
        <v>142</v>
      </c>
      <c r="C20" s="55" t="n">
        <v>37035</v>
      </c>
      <c r="D20" s="27" t="n">
        <v>15176</v>
      </c>
      <c r="E20" s="22" t="s">
        <v>91</v>
      </c>
      <c r="F20" s="23" t="n">
        <v>1891.9</v>
      </c>
      <c r="G20" s="24" t="n">
        <f aca="false">+F20/$F$75</f>
        <v>2.27883673934449E-006</v>
      </c>
    </row>
    <row r="21" customFormat="false" ht="12.75" hidden="false" customHeight="false" outlineLevel="0" collapsed="false">
      <c r="A21" s="22" t="n">
        <v>1007</v>
      </c>
      <c r="B21" s="20" t="s">
        <v>118</v>
      </c>
      <c r="C21" s="55" t="n">
        <v>37035</v>
      </c>
      <c r="D21" s="27" t="n">
        <v>15204</v>
      </c>
      <c r="E21" s="22" t="s">
        <v>91</v>
      </c>
      <c r="F21" s="56" t="n">
        <v>5887.54</v>
      </c>
      <c r="G21" s="24" t="n">
        <f aca="false">+F21/$F$75</f>
        <v>7.09167633403469E-006</v>
      </c>
    </row>
    <row r="22" customFormat="false" ht="12.75" hidden="false" customHeight="false" outlineLevel="0" collapsed="false">
      <c r="A22" s="22" t="n">
        <v>1007</v>
      </c>
      <c r="B22" s="20" t="s">
        <v>118</v>
      </c>
      <c r="C22" s="55" t="n">
        <v>37054</v>
      </c>
      <c r="D22" s="27" t="n">
        <v>15404</v>
      </c>
      <c r="E22" s="22" t="s">
        <v>91</v>
      </c>
      <c r="F22" s="56" t="n">
        <v>8.3</v>
      </c>
      <c r="G22" s="24" t="n">
        <f aca="false">+F22/$F$75</f>
        <v>9.99753947701212E-009</v>
      </c>
    </row>
    <row r="23" customFormat="false" ht="12.75" hidden="false" customHeight="false" outlineLevel="0" collapsed="false">
      <c r="A23" s="22" t="n">
        <v>2606</v>
      </c>
      <c r="B23" s="20" t="s">
        <v>96</v>
      </c>
      <c r="C23" s="55" t="n">
        <v>37035</v>
      </c>
      <c r="D23" s="27" t="n">
        <v>15168</v>
      </c>
      <c r="E23" s="22" t="s">
        <v>91</v>
      </c>
      <c r="F23" s="56" t="n">
        <v>312789</v>
      </c>
      <c r="G23" s="24" t="n">
        <f aca="false">+F23/$F$75</f>
        <v>0.000376761491021102</v>
      </c>
    </row>
    <row r="24" customFormat="false" ht="12.75" hidden="false" customHeight="false" outlineLevel="0" collapsed="false">
      <c r="A24" s="22" t="n">
        <v>2606</v>
      </c>
      <c r="B24" s="20" t="s">
        <v>96</v>
      </c>
      <c r="C24" s="55" t="n">
        <v>37054</v>
      </c>
      <c r="D24" s="27" t="n">
        <v>15368</v>
      </c>
      <c r="E24" s="22" t="s">
        <v>91</v>
      </c>
      <c r="F24" s="56" t="n">
        <v>388.95</v>
      </c>
      <c r="G24" s="24" t="n">
        <f aca="false">+F24/$F$75</f>
        <v>4.68499154166731E-007</v>
      </c>
    </row>
    <row r="25" customFormat="false" ht="12.75" hidden="false" customHeight="false" outlineLevel="0" collapsed="false">
      <c r="A25" s="22" t="n">
        <v>1544</v>
      </c>
      <c r="B25" s="20" t="s">
        <v>93</v>
      </c>
      <c r="C25" s="55" t="n">
        <v>37035</v>
      </c>
      <c r="D25" s="27" t="n">
        <v>15180</v>
      </c>
      <c r="E25" s="22" t="s">
        <v>91</v>
      </c>
      <c r="F25" s="56" t="n">
        <v>185906.31</v>
      </c>
      <c r="G25" s="24" t="n">
        <f aca="false">+F25/$F$75</f>
        <v>0.000223928394367549</v>
      </c>
    </row>
    <row r="26" customFormat="false" ht="12.75" hidden="false" customHeight="false" outlineLevel="0" collapsed="false">
      <c r="A26" s="22" t="n">
        <v>1544</v>
      </c>
      <c r="B26" s="20" t="s">
        <v>93</v>
      </c>
      <c r="C26" s="55" t="n">
        <v>37054</v>
      </c>
      <c r="D26" s="27" t="n">
        <v>15380</v>
      </c>
      <c r="E26" s="22" t="s">
        <v>91</v>
      </c>
      <c r="F26" s="56" t="n">
        <v>84.7</v>
      </c>
      <c r="G26" s="24" t="n">
        <f aca="false">+F26/$F$75</f>
        <v>1.02023083578666E-007</v>
      </c>
    </row>
    <row r="27" customFormat="false" ht="12.75" hidden="false" customHeight="false" outlineLevel="0" collapsed="false">
      <c r="A27" s="22" t="n">
        <v>3106</v>
      </c>
      <c r="B27" s="20" t="s">
        <v>58</v>
      </c>
      <c r="C27" s="55" t="n">
        <v>37005</v>
      </c>
      <c r="D27" s="27" t="n">
        <v>15161</v>
      </c>
      <c r="E27" s="22" t="s">
        <v>91</v>
      </c>
      <c r="F27" s="56" t="n">
        <v>7053774.19</v>
      </c>
      <c r="G27" s="24" t="n">
        <f aca="false">+F27/$F$75</f>
        <v>0.00849643203933183</v>
      </c>
    </row>
    <row r="28" customFormat="false" ht="12.75" hidden="false" customHeight="false" outlineLevel="0" collapsed="false">
      <c r="A28" s="22" t="n">
        <v>3106</v>
      </c>
      <c r="B28" s="20" t="s">
        <v>58</v>
      </c>
      <c r="C28" s="55" t="n">
        <v>37054</v>
      </c>
      <c r="D28" s="27" t="n">
        <v>15361</v>
      </c>
      <c r="E28" s="22" t="s">
        <v>91</v>
      </c>
      <c r="F28" s="56" t="n">
        <v>23950.72</v>
      </c>
      <c r="G28" s="24" t="n">
        <f aca="false">+F28/$F$75</f>
        <v>2.8849189000345E-005</v>
      </c>
    </row>
    <row r="29" customFormat="false" ht="12.75" hidden="false" customHeight="false" outlineLevel="0" collapsed="false">
      <c r="A29" s="22" t="n">
        <v>1011</v>
      </c>
      <c r="B29" s="20" t="s">
        <v>58</v>
      </c>
      <c r="C29" s="55" t="n">
        <v>37035</v>
      </c>
      <c r="D29" s="27" t="n">
        <v>15201</v>
      </c>
      <c r="E29" s="22" t="s">
        <v>91</v>
      </c>
      <c r="F29" s="56" t="n">
        <v>732545.14</v>
      </c>
      <c r="G29" s="24" t="n">
        <f aca="false">+F29/$F$75</f>
        <v>0.000882367344077515</v>
      </c>
    </row>
    <row r="30" customFormat="false" ht="12.75" hidden="false" customHeight="false" outlineLevel="0" collapsed="false">
      <c r="A30" s="22" t="n">
        <v>1011</v>
      </c>
      <c r="B30" s="20" t="s">
        <v>58</v>
      </c>
      <c r="C30" s="55" t="n">
        <v>37054</v>
      </c>
      <c r="D30" s="27" t="n">
        <v>15401</v>
      </c>
      <c r="E30" s="22" t="s">
        <v>91</v>
      </c>
      <c r="F30" s="56" t="n">
        <v>3838.57</v>
      </c>
      <c r="G30" s="24" t="n">
        <f aca="false">+F30/$F$75</f>
        <v>4.62364519400897E-006</v>
      </c>
    </row>
    <row r="31" customFormat="false" ht="12.75" hidden="false" customHeight="false" outlineLevel="0" collapsed="false">
      <c r="A31" s="22" t="n">
        <v>2528</v>
      </c>
      <c r="B31" s="20" t="s">
        <v>94</v>
      </c>
      <c r="C31" s="55" t="n">
        <v>37035</v>
      </c>
      <c r="D31" s="27" t="n">
        <v>15170</v>
      </c>
      <c r="E31" s="22" t="s">
        <v>91</v>
      </c>
      <c r="F31" s="56" t="n">
        <v>199000.28</v>
      </c>
      <c r="G31" s="24" t="n">
        <f aca="false">+F31/$F$75</f>
        <v>0.000239700380148972</v>
      </c>
    </row>
    <row r="32" customFormat="false" ht="12.75" hidden="false" customHeight="false" outlineLevel="0" collapsed="false">
      <c r="A32" s="22" t="n">
        <v>1010</v>
      </c>
      <c r="B32" s="20" t="s">
        <v>60</v>
      </c>
      <c r="C32" s="55" t="n">
        <v>37035</v>
      </c>
      <c r="D32" s="27" t="n">
        <v>15202</v>
      </c>
      <c r="E32" s="22" t="s">
        <v>91</v>
      </c>
      <c r="F32" s="56" t="n">
        <v>3586669.37</v>
      </c>
      <c r="G32" s="24" t="n">
        <f aca="false">+F32/$F$75</f>
        <v>0.00432022513464641</v>
      </c>
    </row>
    <row r="33" customFormat="false" ht="12.75" hidden="false" customHeight="false" outlineLevel="0" collapsed="false">
      <c r="A33" s="22" t="n">
        <v>1010</v>
      </c>
      <c r="B33" s="20" t="s">
        <v>60</v>
      </c>
      <c r="C33" s="55" t="n">
        <v>37054</v>
      </c>
      <c r="D33" s="27" t="n">
        <v>15402</v>
      </c>
      <c r="E33" s="22" t="s">
        <v>91</v>
      </c>
      <c r="F33" s="56" t="n">
        <v>53768.11</v>
      </c>
      <c r="G33" s="24" t="n">
        <f aca="false">+F33/$F$75</f>
        <v>6.47649159432928E-005</v>
      </c>
      <c r="I33" s="54" t="n">
        <f aca="false">SUM(F20:F33)-12160503.08</f>
        <v>0</v>
      </c>
    </row>
    <row r="34" customFormat="false" ht="12.75" hidden="false" customHeight="false" outlineLevel="0" collapsed="false">
      <c r="A34" s="22" t="n">
        <v>1924</v>
      </c>
      <c r="B34" s="20" t="s">
        <v>90</v>
      </c>
      <c r="C34" s="55" t="n">
        <v>37035</v>
      </c>
      <c r="D34" s="27" t="n">
        <v>15241</v>
      </c>
      <c r="E34" s="22" t="s">
        <v>17</v>
      </c>
      <c r="F34" s="56" t="n">
        <v>159815.43</v>
      </c>
      <c r="G34" s="24" t="n">
        <f aca="false">+F34/$F$75</f>
        <v>0.000192501333790442</v>
      </c>
    </row>
    <row r="35" customFormat="false" ht="12.75" hidden="false" customHeight="false" outlineLevel="0" collapsed="false">
      <c r="A35" s="22" t="n">
        <v>1924</v>
      </c>
      <c r="B35" s="20" t="s">
        <v>90</v>
      </c>
      <c r="C35" s="55" t="n">
        <v>37054</v>
      </c>
      <c r="D35" s="27" t="n">
        <v>15442</v>
      </c>
      <c r="E35" s="22" t="s">
        <v>17</v>
      </c>
      <c r="F35" s="56" t="n">
        <v>24618.66</v>
      </c>
      <c r="G35" s="24" t="n">
        <f aca="false">+F35/$F$75</f>
        <v>2.96537379784505E-005</v>
      </c>
    </row>
    <row r="36" customFormat="false" ht="12.75" hidden="false" customHeight="false" outlineLevel="0" collapsed="false">
      <c r="A36" s="22" t="n">
        <v>1007</v>
      </c>
      <c r="B36" s="20" t="s">
        <v>118</v>
      </c>
      <c r="C36" s="55" t="n">
        <v>37035</v>
      </c>
      <c r="D36" s="27" t="n">
        <v>15276</v>
      </c>
      <c r="E36" s="22" t="s">
        <v>17</v>
      </c>
      <c r="F36" s="56" t="n">
        <v>10566.4</v>
      </c>
      <c r="G36" s="24" t="n">
        <f aca="false">+F36/$F$75</f>
        <v>1.27274700156507E-005</v>
      </c>
    </row>
    <row r="37" customFormat="false" ht="12.75" hidden="false" customHeight="false" outlineLevel="0" collapsed="false">
      <c r="A37" s="22" t="n">
        <v>1007</v>
      </c>
      <c r="B37" s="20" t="s">
        <v>118</v>
      </c>
      <c r="C37" s="55" t="n">
        <v>37054</v>
      </c>
      <c r="D37" s="27" t="n">
        <v>15477</v>
      </c>
      <c r="E37" s="22" t="s">
        <v>17</v>
      </c>
      <c r="F37" s="56" t="n">
        <v>35686.06</v>
      </c>
      <c r="G37" s="24" t="n">
        <f aca="false">+F37/$F$75</f>
        <v>4.29846739312076E-005</v>
      </c>
    </row>
    <row r="38" customFormat="false" ht="12.75" hidden="false" customHeight="false" outlineLevel="0" collapsed="false">
      <c r="A38" s="22" t="n">
        <v>2606</v>
      </c>
      <c r="B38" s="20" t="s">
        <v>96</v>
      </c>
      <c r="C38" s="55" t="n">
        <v>37035</v>
      </c>
      <c r="D38" s="27" t="n">
        <v>15228</v>
      </c>
      <c r="E38" s="22" t="s">
        <v>17</v>
      </c>
      <c r="F38" s="56" t="n">
        <v>3859521.81</v>
      </c>
      <c r="G38" s="24" t="n">
        <f aca="false">+F38/$F$75</f>
        <v>0.00464888212745353</v>
      </c>
    </row>
    <row r="39" customFormat="false" ht="12.75" hidden="false" customHeight="false" outlineLevel="0" collapsed="false">
      <c r="A39" s="22" t="n">
        <v>2606</v>
      </c>
      <c r="B39" s="20" t="s">
        <v>96</v>
      </c>
      <c r="C39" s="55" t="n">
        <v>37054</v>
      </c>
      <c r="D39" s="27" t="n">
        <v>15429</v>
      </c>
      <c r="E39" s="22" t="s">
        <v>17</v>
      </c>
      <c r="F39" s="56" t="n">
        <v>2887840.08</v>
      </c>
      <c r="G39" s="24" t="n">
        <f aca="false">+F39/$F$75</f>
        <v>0.00347846930157805</v>
      </c>
    </row>
    <row r="40" customFormat="false" ht="12.75" hidden="false" customHeight="false" outlineLevel="0" collapsed="false">
      <c r="A40" s="22" t="n">
        <v>1584</v>
      </c>
      <c r="B40" s="20" t="s">
        <v>120</v>
      </c>
      <c r="C40" s="55" t="n">
        <v>37054</v>
      </c>
      <c r="D40" s="27" t="n">
        <v>15447</v>
      </c>
      <c r="E40" s="22" t="s">
        <v>17</v>
      </c>
      <c r="F40" s="56" t="n">
        <v>206636.42</v>
      </c>
      <c r="G40" s="24" t="n">
        <f aca="false">+F40/$F$75</f>
        <v>0.000248898285101019</v>
      </c>
    </row>
    <row r="41" customFormat="false" ht="12.75" hidden="false" customHeight="false" outlineLevel="0" collapsed="false">
      <c r="A41" s="22" t="n">
        <v>1684</v>
      </c>
      <c r="B41" s="20" t="s">
        <v>121</v>
      </c>
      <c r="C41" s="55" t="n">
        <v>37054</v>
      </c>
      <c r="D41" s="27" t="n">
        <v>15444</v>
      </c>
      <c r="E41" s="22" t="s">
        <v>17</v>
      </c>
      <c r="F41" s="56" t="n">
        <v>228.65</v>
      </c>
      <c r="G41" s="24" t="n">
        <f aca="false">+F41/$F$75</f>
        <v>2.75414144749256E-007</v>
      </c>
    </row>
    <row r="42" customFormat="false" ht="12.75" hidden="false" customHeight="false" outlineLevel="0" collapsed="false">
      <c r="A42" s="22" t="n">
        <v>1504</v>
      </c>
      <c r="B42" s="20" t="s">
        <v>143</v>
      </c>
      <c r="C42" s="55" t="n">
        <v>37035</v>
      </c>
      <c r="D42" s="27" t="n">
        <v>15248</v>
      </c>
      <c r="E42" s="22" t="s">
        <v>17</v>
      </c>
      <c r="F42" s="56" t="n">
        <v>15853.26</v>
      </c>
      <c r="G42" s="24" t="n">
        <f aca="false">+F42/$F$75</f>
        <v>1.90956135770286E-005</v>
      </c>
    </row>
    <row r="43" customFormat="false" ht="12.75" hidden="false" customHeight="false" outlineLevel="0" collapsed="false">
      <c r="A43" s="22" t="n">
        <v>1504</v>
      </c>
      <c r="B43" s="20" t="s">
        <v>143</v>
      </c>
      <c r="C43" s="55" t="n">
        <v>37054</v>
      </c>
      <c r="D43" s="27" t="n">
        <v>15449</v>
      </c>
      <c r="E43" s="22" t="s">
        <v>17</v>
      </c>
      <c r="F43" s="56" t="n">
        <v>47046.31</v>
      </c>
      <c r="G43" s="24" t="n">
        <f aca="false">+F43/$F$75</f>
        <v>5.66683543943072E-005</v>
      </c>
    </row>
    <row r="44" customFormat="false" ht="12.75" hidden="false" customHeight="false" outlineLevel="0" collapsed="false">
      <c r="A44" s="22" t="n">
        <v>1103</v>
      </c>
      <c r="B44" s="20" t="s">
        <v>123</v>
      </c>
      <c r="C44" s="55" t="n">
        <v>37054</v>
      </c>
      <c r="D44" s="27" t="n">
        <v>15462</v>
      </c>
      <c r="E44" s="22" t="s">
        <v>17</v>
      </c>
      <c r="F44" s="56" t="n">
        <v>384728.44</v>
      </c>
      <c r="G44" s="24" t="n">
        <f aca="false">+F44/$F$75</f>
        <v>0.000463414188774613</v>
      </c>
    </row>
    <row r="45" customFormat="false" ht="12.75" hidden="false" customHeight="false" outlineLevel="0" collapsed="false">
      <c r="A45" s="77" t="n">
        <v>2405</v>
      </c>
      <c r="B45" s="78" t="s">
        <v>144</v>
      </c>
      <c r="C45" s="55" t="n">
        <v>37054</v>
      </c>
      <c r="D45" s="77" t="n">
        <v>15438</v>
      </c>
      <c r="E45" s="22" t="s">
        <v>17</v>
      </c>
      <c r="F45" s="56" t="n">
        <v>1742.73</v>
      </c>
      <c r="G45" s="24" t="n">
        <f aca="false">+F45/$F$75</f>
        <v>2.09915806900884E-006</v>
      </c>
    </row>
    <row r="46" customFormat="false" ht="12.75" hidden="false" customHeight="false" outlineLevel="0" collapsed="false">
      <c r="A46" s="77" t="n">
        <v>1017</v>
      </c>
      <c r="B46" s="78" t="s">
        <v>145</v>
      </c>
      <c r="C46" s="55" t="n">
        <v>37035</v>
      </c>
      <c r="D46" s="77" t="n">
        <v>15269</v>
      </c>
      <c r="E46" s="22" t="s">
        <v>17</v>
      </c>
      <c r="F46" s="56" t="n">
        <v>3396277.53</v>
      </c>
      <c r="G46" s="79" t="n">
        <f aca="false">+F46/$F$75</f>
        <v>0.00409089381699569</v>
      </c>
    </row>
    <row r="47" customFormat="false" ht="12.75" hidden="false" customHeight="false" outlineLevel="0" collapsed="false">
      <c r="A47" s="77" t="n">
        <v>1017</v>
      </c>
      <c r="B47" s="78" t="s">
        <v>145</v>
      </c>
      <c r="C47" s="55" t="n">
        <v>37054</v>
      </c>
      <c r="D47" s="77" t="n">
        <v>15470</v>
      </c>
      <c r="E47" s="22" t="s">
        <v>17</v>
      </c>
      <c r="F47" s="56" t="n">
        <v>1151755.45</v>
      </c>
      <c r="G47" s="79" t="n">
        <f aca="false">+F47/$F$75</f>
        <v>0.00138731573243842</v>
      </c>
    </row>
    <row r="48" customFormat="false" ht="12.75" hidden="false" customHeight="false" outlineLevel="0" collapsed="false">
      <c r="A48" s="77" t="n">
        <v>1000</v>
      </c>
      <c r="B48" s="78" t="s">
        <v>146</v>
      </c>
      <c r="C48" s="55" t="n">
        <v>37035</v>
      </c>
      <c r="D48" s="77" t="n">
        <v>15283</v>
      </c>
      <c r="E48" s="22" t="s">
        <v>17</v>
      </c>
      <c r="F48" s="56" t="n">
        <v>41.41</v>
      </c>
      <c r="G48" s="79" t="n">
        <f aca="false">+F48/$F$75</f>
        <v>4.98792903304906E-008</v>
      </c>
    </row>
    <row r="49" customFormat="false" ht="12.75" hidden="false" customHeight="false" outlineLevel="0" collapsed="false">
      <c r="C49" s="75"/>
    </row>
    <row r="50" customFormat="false" ht="12.75" hidden="false" customHeight="false" outlineLevel="0" collapsed="false">
      <c r="C50" s="75"/>
    </row>
    <row r="51" customFormat="false" ht="12.75" hidden="false" customHeight="false" outlineLevel="0" collapsed="false">
      <c r="C51" s="75"/>
    </row>
    <row r="52" customFormat="false" ht="15.75" hidden="false" customHeight="false" outlineLevel="0" collapsed="false">
      <c r="A52" s="69"/>
      <c r="B52" s="5" t="str">
        <f aca="false">+B1</f>
        <v>Certification for Market Settlement August 24, 2001</v>
      </c>
      <c r="C52" s="80"/>
      <c r="D52" s="36"/>
      <c r="E52" s="69"/>
      <c r="F52" s="34"/>
      <c r="G52" s="39"/>
    </row>
    <row r="53" customFormat="false" ht="15.75" hidden="false" customHeight="false" outlineLevel="0" collapsed="false">
      <c r="A53" s="69"/>
      <c r="B53" s="5"/>
      <c r="C53" s="80"/>
      <c r="D53" s="36"/>
      <c r="E53" s="69"/>
      <c r="F53" s="34"/>
      <c r="G53" s="39"/>
    </row>
    <row r="54" customFormat="false" ht="15.75" hidden="false" customHeight="false" outlineLevel="0" collapsed="false">
      <c r="A54" s="69"/>
      <c r="B54" s="5" t="str">
        <f aca="false">+B3</f>
        <v>For the Trade Month of March 2001</v>
      </c>
      <c r="C54" s="80"/>
      <c r="D54" s="36"/>
      <c r="E54" s="69"/>
      <c r="F54" s="34"/>
      <c r="G54" s="39"/>
    </row>
    <row r="55" customFormat="false" ht="12.75" hidden="false" customHeight="false" outlineLevel="0" collapsed="false">
      <c r="A55" s="69"/>
      <c r="B55" s="71"/>
      <c r="C55" s="80"/>
      <c r="D55" s="36"/>
      <c r="E55" s="69"/>
      <c r="F55" s="34"/>
      <c r="G55" s="39"/>
    </row>
    <row r="56" customFormat="false" ht="12.75" hidden="false" customHeight="false" outlineLevel="0" collapsed="false">
      <c r="A56" s="69"/>
      <c r="B56" s="71"/>
      <c r="C56" s="80"/>
      <c r="D56" s="36"/>
      <c r="E56" s="69"/>
      <c r="F56" s="34"/>
      <c r="G56" s="39"/>
    </row>
    <row r="57" customFormat="false" ht="12.75" hidden="false" customHeight="false" outlineLevel="0" collapsed="false">
      <c r="A57" s="69"/>
      <c r="B57" s="71"/>
      <c r="C57" s="80"/>
      <c r="D57" s="36"/>
      <c r="E57" s="69"/>
      <c r="F57" s="34"/>
      <c r="G57" s="39"/>
    </row>
    <row r="58" customFormat="false" ht="15.75" hidden="false" customHeight="false" outlineLevel="0" collapsed="false">
      <c r="A58" s="5" t="s">
        <v>122</v>
      </c>
      <c r="C58" s="75"/>
    </row>
    <row r="59" customFormat="false" ht="16.5" hidden="false" customHeight="false" outlineLevel="0" collapsed="false">
      <c r="A59" s="5" t="s">
        <v>141</v>
      </c>
      <c r="C59" s="75"/>
    </row>
    <row r="60" customFormat="false" ht="35.25" hidden="false" customHeight="false" outlineLevel="0" collapsed="false">
      <c r="A60" s="6" t="s">
        <v>3</v>
      </c>
      <c r="B60" s="6" t="s">
        <v>4</v>
      </c>
      <c r="C60" s="76" t="s">
        <v>11</v>
      </c>
      <c r="D60" s="6" t="s">
        <v>12</v>
      </c>
      <c r="E60" s="6" t="s">
        <v>13</v>
      </c>
      <c r="F60" s="10" t="s">
        <v>14</v>
      </c>
      <c r="G60" s="10" t="s">
        <v>15</v>
      </c>
      <c r="H60" s="11"/>
      <c r="I60" s="11"/>
    </row>
    <row r="61" customFormat="false" ht="13.5" hidden="false" customHeight="false" outlineLevel="0" collapsed="false">
      <c r="A61" s="22"/>
      <c r="B61" s="20"/>
      <c r="C61" s="55"/>
      <c r="D61" s="27"/>
      <c r="E61" s="22"/>
      <c r="F61" s="56"/>
      <c r="G61" s="24"/>
    </row>
    <row r="62" customFormat="false" ht="12.75" hidden="false" customHeight="false" outlineLevel="0" collapsed="false">
      <c r="A62" s="22" t="n">
        <v>1544</v>
      </c>
      <c r="B62" s="20" t="s">
        <v>93</v>
      </c>
      <c r="C62" s="55" t="n">
        <v>37035</v>
      </c>
      <c r="D62" s="77" t="n">
        <v>15245</v>
      </c>
      <c r="E62" s="22" t="s">
        <v>17</v>
      </c>
      <c r="F62" s="56" t="n">
        <v>9664579.1</v>
      </c>
      <c r="G62" s="24" t="n">
        <f aca="false">+F62/$F$75</f>
        <v>0.0116412061543321</v>
      </c>
    </row>
    <row r="63" customFormat="false" ht="12.75" hidden="false" customHeight="false" outlineLevel="0" collapsed="false">
      <c r="A63" s="22" t="n">
        <v>1544</v>
      </c>
      <c r="B63" s="20" t="s">
        <v>93</v>
      </c>
      <c r="C63" s="55" t="n">
        <v>37054</v>
      </c>
      <c r="D63" s="77" t="n">
        <v>15446</v>
      </c>
      <c r="E63" s="22" t="s">
        <v>17</v>
      </c>
      <c r="F63" s="56" t="n">
        <v>1378767.61</v>
      </c>
      <c r="G63" s="24" t="n">
        <f aca="false">+F63/$F$75</f>
        <v>0.00166075706151815</v>
      </c>
    </row>
    <row r="64" customFormat="false" ht="12.75" hidden="false" customHeight="false" outlineLevel="0" collapsed="false">
      <c r="A64" s="22" t="n">
        <v>1005</v>
      </c>
      <c r="B64" s="20" t="s">
        <v>147</v>
      </c>
      <c r="C64" s="55" t="n">
        <v>37035</v>
      </c>
      <c r="D64" s="77" t="n">
        <v>15278</v>
      </c>
      <c r="E64" s="22" t="s">
        <v>17</v>
      </c>
      <c r="F64" s="56" t="n">
        <v>21206.94</v>
      </c>
      <c r="G64" s="24" t="n">
        <f aca="false">+F64/$F$75</f>
        <v>2.55442433538105E-005</v>
      </c>
    </row>
    <row r="65" customFormat="false" ht="12.75" hidden="false" customHeight="false" outlineLevel="0" collapsed="false">
      <c r="A65" s="22" t="n">
        <v>3106</v>
      </c>
      <c r="B65" s="20" t="s">
        <v>58</v>
      </c>
      <c r="C65" s="55" t="n">
        <v>37035</v>
      </c>
      <c r="D65" s="77" t="n">
        <v>15212</v>
      </c>
      <c r="E65" s="22" t="s">
        <v>17</v>
      </c>
      <c r="F65" s="56" t="n">
        <v>250061586.25</v>
      </c>
      <c r="G65" s="24" t="n">
        <f aca="false">+F65/$F$75</f>
        <v>0.301204889182969</v>
      </c>
    </row>
    <row r="66" customFormat="false" ht="12.75" hidden="false" customHeight="false" outlineLevel="0" collapsed="false">
      <c r="A66" s="22" t="n">
        <v>3106</v>
      </c>
      <c r="B66" s="20" t="s">
        <v>58</v>
      </c>
      <c r="C66" s="55" t="n">
        <v>37054</v>
      </c>
      <c r="D66" s="77" t="n">
        <v>15413</v>
      </c>
      <c r="E66" s="22" t="s">
        <v>17</v>
      </c>
      <c r="F66" s="56" t="n">
        <v>26829644.83</v>
      </c>
      <c r="G66" s="24" t="n">
        <f aca="false">+F66/$F$75</f>
        <v>0.0323169196797758</v>
      </c>
    </row>
    <row r="67" customFormat="false" ht="12.75" hidden="false" customHeight="false" outlineLevel="0" collapsed="false">
      <c r="A67" s="22" t="n">
        <v>1011</v>
      </c>
      <c r="B67" s="20" t="s">
        <v>58</v>
      </c>
      <c r="C67" s="55" t="n">
        <v>37035</v>
      </c>
      <c r="D67" s="77" t="n">
        <v>15273</v>
      </c>
      <c r="E67" s="22" t="s">
        <v>17</v>
      </c>
      <c r="F67" s="56" t="n">
        <v>11636159.73</v>
      </c>
      <c r="G67" s="24" t="n">
        <f aca="false">+F67/$F$75</f>
        <v>0.0140160200315053</v>
      </c>
      <c r="I67" s="54" t="n">
        <f aca="false">SUM(F34:F73)-818043770.59</f>
        <v>0</v>
      </c>
    </row>
    <row r="68" customFormat="false" ht="12.75" hidden="false" customHeight="false" outlineLevel="0" collapsed="false">
      <c r="A68" s="22" t="n">
        <v>1011</v>
      </c>
      <c r="B68" s="20" t="s">
        <v>58</v>
      </c>
      <c r="C68" s="55" t="n">
        <v>37054</v>
      </c>
      <c r="D68" s="77" t="n">
        <v>15474</v>
      </c>
      <c r="E68" s="22" t="s">
        <v>17</v>
      </c>
      <c r="F68" s="56" t="n">
        <v>1220018.43</v>
      </c>
      <c r="G68" s="24" t="n">
        <f aca="false">+F68/$F$75</f>
        <v>0.00146954005019366</v>
      </c>
    </row>
    <row r="69" customFormat="false" ht="12.75" hidden="false" customHeight="false" outlineLevel="0" collapsed="false">
      <c r="A69" s="22" t="n">
        <v>1012</v>
      </c>
      <c r="B69" s="20" t="s">
        <v>148</v>
      </c>
      <c r="C69" s="55" t="n">
        <v>37035</v>
      </c>
      <c r="D69" s="77" t="n">
        <v>15272</v>
      </c>
      <c r="E69" s="22" t="s">
        <v>17</v>
      </c>
      <c r="F69" s="56" t="n">
        <v>251.74</v>
      </c>
      <c r="G69" s="24" t="n">
        <f aca="false">+F69/$F$75</f>
        <v>3.03226576860606E-007</v>
      </c>
    </row>
    <row r="70" customFormat="false" ht="12.75" hidden="false" customHeight="false" outlineLevel="0" collapsed="false">
      <c r="A70" s="22" t="n">
        <v>2528</v>
      </c>
      <c r="B70" s="20" t="s">
        <v>94</v>
      </c>
      <c r="C70" s="55" t="n">
        <v>37035</v>
      </c>
      <c r="D70" s="77" t="n">
        <v>15232</v>
      </c>
      <c r="E70" s="22" t="s">
        <v>17</v>
      </c>
      <c r="F70" s="56" t="n">
        <v>2359.04</v>
      </c>
      <c r="G70" s="24" t="n">
        <f aca="false">+F70/$F$75</f>
        <v>2.84151753347598E-006</v>
      </c>
    </row>
    <row r="71" customFormat="false" ht="12.75" hidden="false" customHeight="false" outlineLevel="0" collapsed="false">
      <c r="A71" s="22" t="n">
        <v>1010</v>
      </c>
      <c r="B71" s="20" t="s">
        <v>60</v>
      </c>
      <c r="C71" s="55" t="n">
        <v>37035</v>
      </c>
      <c r="D71" s="77" t="n">
        <v>15274</v>
      </c>
      <c r="E71" s="22" t="s">
        <v>17</v>
      </c>
      <c r="F71" s="56" t="n">
        <v>416053783.75</v>
      </c>
      <c r="G71" s="24" t="n">
        <f aca="false">+F71/$F$75</f>
        <v>0.501146280433842</v>
      </c>
    </row>
    <row r="72" customFormat="false" ht="12.75" hidden="false" customHeight="false" outlineLevel="0" collapsed="false">
      <c r="A72" s="22" t="n">
        <v>1010</v>
      </c>
      <c r="B72" s="20" t="s">
        <v>60</v>
      </c>
      <c r="C72" s="55" t="n">
        <v>37054</v>
      </c>
      <c r="D72" s="77" t="n">
        <v>15475</v>
      </c>
      <c r="E72" s="22" t="s">
        <v>17</v>
      </c>
      <c r="F72" s="56" t="n">
        <v>88939559.7</v>
      </c>
      <c r="G72" s="24" t="n">
        <f aca="false">+F72/$F$75</f>
        <v>0.107129730020341</v>
      </c>
      <c r="H72" s="35"/>
      <c r="I72" s="35"/>
    </row>
    <row r="73" customFormat="false" ht="12.75" hidden="false" customHeight="false" outlineLevel="0" collapsed="false">
      <c r="A73" s="22" t="n">
        <v>2465</v>
      </c>
      <c r="B73" s="20" t="s">
        <v>61</v>
      </c>
      <c r="C73" s="55" t="n">
        <v>37054</v>
      </c>
      <c r="D73" s="77" t="n">
        <v>15436</v>
      </c>
      <c r="E73" s="22" t="s">
        <v>17</v>
      </c>
      <c r="F73" s="28" t="n">
        <v>53494.83</v>
      </c>
      <c r="G73" s="29" t="n">
        <f aca="false">+F73/$F$75</f>
        <v>6.44357439447051E-005</v>
      </c>
    </row>
    <row r="74" customFormat="false" ht="12.75" hidden="false" customHeight="false" outlineLevel="0" collapsed="false">
      <c r="A74" s="30"/>
      <c r="B74" s="31"/>
      <c r="C74" s="32"/>
      <c r="D74" s="30"/>
      <c r="E74" s="33"/>
      <c r="F74" s="34"/>
      <c r="G74" s="35"/>
    </row>
    <row r="75" customFormat="false" ht="13.5" hidden="false" customHeight="false" outlineLevel="0" collapsed="false">
      <c r="B75" s="15" t="s">
        <v>18</v>
      </c>
      <c r="F75" s="17" t="n">
        <f aca="false">SUM(F20:F74)</f>
        <v>830204273.67</v>
      </c>
      <c r="G75" s="18" t="n">
        <f aca="false">+F75/F75</f>
        <v>1</v>
      </c>
    </row>
    <row r="76" customFormat="false" ht="13.5" hidden="false" customHeight="false" outlineLevel="0" collapsed="false"/>
    <row r="79" customFormat="false" ht="12.75" hidden="false" customHeight="false" outlineLevel="0" collapsed="false">
      <c r="B79" s="57" t="s">
        <v>62</v>
      </c>
    </row>
    <row r="81" customFormat="false" ht="15.75" hidden="false" customHeight="false" outlineLevel="0" collapsed="false">
      <c r="B81" s="5" t="str">
        <f aca="false">+B1</f>
        <v>Certification for Market Settlement August 24, 2001</v>
      </c>
    </row>
    <row r="82" customFormat="false" ht="15.75" hidden="false" customHeight="false" outlineLevel="0" collapsed="false">
      <c r="B82" s="5"/>
    </row>
    <row r="83" customFormat="false" ht="15.75" hidden="false" customHeight="false" outlineLevel="0" collapsed="false">
      <c r="B83" s="5" t="str">
        <f aca="false">+B54</f>
        <v>For the Trade Month of March 2001</v>
      </c>
    </row>
    <row r="84" customFormat="false" ht="15.75" hidden="false" customHeight="false" outlineLevel="0" collapsed="false">
      <c r="B84" s="5"/>
    </row>
    <row r="85" customFormat="false" ht="15.75" hidden="false" customHeight="false" outlineLevel="0" collapsed="false">
      <c r="B85" s="5"/>
    </row>
    <row r="86" customFormat="false" ht="15.75" hidden="false" customHeight="false" outlineLevel="0" collapsed="false">
      <c r="B86" s="5" t="s">
        <v>20</v>
      </c>
    </row>
    <row r="87" customFormat="false" ht="15.75" hidden="false" customHeight="false" outlineLevel="0" collapsed="false">
      <c r="B87" s="5"/>
    </row>
    <row r="88" customFormat="false" ht="12.75" hidden="false" customHeight="false" outlineLevel="0" collapsed="false">
      <c r="B88" s="35" t="s">
        <v>21</v>
      </c>
      <c r="C88" s="36"/>
      <c r="D88" s="37"/>
      <c r="E88" s="37"/>
      <c r="F88" s="38" t="n">
        <v>832494154.59</v>
      </c>
      <c r="G88" s="58" t="n">
        <f aca="false">+F88/F90</f>
        <v>0.853910625141615</v>
      </c>
    </row>
    <row r="89" customFormat="false" ht="12.75" hidden="false" customHeight="false" outlineLevel="0" collapsed="false">
      <c r="B89" s="35" t="s">
        <v>22</v>
      </c>
      <c r="C89" s="36"/>
      <c r="D89" s="37"/>
      <c r="E89" s="37"/>
      <c r="F89" s="40" t="n">
        <v>142425386.26</v>
      </c>
      <c r="G89" s="58" t="n">
        <f aca="false">+F89/F90</f>
        <v>0.146089374858385</v>
      </c>
    </row>
    <row r="90" customFormat="false" ht="12.75" hidden="false" customHeight="false" outlineLevel="0" collapsed="false">
      <c r="B90" s="41" t="s">
        <v>23</v>
      </c>
      <c r="C90" s="36"/>
      <c r="D90" s="37"/>
      <c r="E90" s="37"/>
      <c r="F90" s="40" t="n">
        <f aca="false">SUM(F88:F89)</f>
        <v>974919540.85</v>
      </c>
      <c r="G90" s="60" t="n">
        <f aca="false">+F90/F90</f>
        <v>1</v>
      </c>
    </row>
    <row r="91" customFormat="false" ht="15.75" hidden="false" customHeight="false" outlineLevel="0" collapsed="false">
      <c r="B91" s="5"/>
    </row>
    <row r="92" customFormat="false" ht="12.75" hidden="false" customHeight="false" outlineLevel="0" collapsed="false">
      <c r="B92" s="35" t="s">
        <v>127</v>
      </c>
      <c r="C92" s="36"/>
      <c r="D92" s="37"/>
      <c r="E92" s="37"/>
      <c r="F92" s="34" t="n">
        <v>25834711.77</v>
      </c>
    </row>
    <row r="93" customFormat="false" ht="12.75" hidden="false" customHeight="false" outlineLevel="0" collapsed="false">
      <c r="B93" s="35" t="s">
        <v>149</v>
      </c>
      <c r="C93" s="36"/>
      <c r="D93" s="37"/>
      <c r="E93" s="37"/>
      <c r="F93" s="34" t="n">
        <v>42129119.37</v>
      </c>
    </row>
    <row r="94" customFormat="false" ht="12.75" hidden="false" customHeight="false" outlineLevel="0" collapsed="false">
      <c r="B94" s="35" t="s">
        <v>129</v>
      </c>
      <c r="C94" s="36"/>
      <c r="D94" s="37"/>
      <c r="E94" s="37"/>
      <c r="F94" s="40" t="n">
        <f aca="false">43601.78+23970.6</f>
        <v>67572.38</v>
      </c>
    </row>
    <row r="95" customFormat="false" ht="12.75" hidden="false" customHeight="false" outlineLevel="0" collapsed="false">
      <c r="B95" s="41" t="s">
        <v>28</v>
      </c>
      <c r="C95" s="36"/>
      <c r="D95" s="37"/>
      <c r="E95" s="37"/>
      <c r="F95" s="40" t="n">
        <f aca="false">SUM(F92:F94)</f>
        <v>68031403.52</v>
      </c>
      <c r="G95" s="60" t="n">
        <f aca="false">+F95/F90</f>
        <v>0.069781557010013</v>
      </c>
    </row>
    <row r="96" customFormat="false" ht="15.75" hidden="false" customHeight="false" outlineLevel="0" collapsed="false">
      <c r="B96" s="5"/>
    </row>
    <row r="97" customFormat="false" ht="12.75" hidden="false" customHeight="false" outlineLevel="0" collapsed="false">
      <c r="A97" s="36"/>
      <c r="B97" s="35" t="s">
        <v>67</v>
      </c>
      <c r="C97" s="36"/>
      <c r="D97" s="37"/>
      <c r="E97" s="37"/>
      <c r="F97" s="34" t="n">
        <v>1328993.47</v>
      </c>
      <c r="G97" s="35"/>
      <c r="H97" s="35"/>
      <c r="I97" s="35"/>
    </row>
    <row r="98" customFormat="false" ht="12.75" hidden="false" customHeight="false" outlineLevel="0" collapsed="false">
      <c r="A98" s="36"/>
      <c r="B98" s="35" t="s">
        <v>101</v>
      </c>
      <c r="C98" s="36"/>
      <c r="D98" s="37"/>
      <c r="E98" s="37"/>
      <c r="F98" s="34" t="n">
        <v>2962776.9</v>
      </c>
      <c r="G98" s="35"/>
      <c r="H98" s="35"/>
      <c r="I98" s="35"/>
    </row>
    <row r="99" customFormat="false" ht="12.75" hidden="false" customHeight="false" outlineLevel="0" collapsed="false">
      <c r="A99" s="36"/>
      <c r="B99" s="35" t="s">
        <v>131</v>
      </c>
      <c r="C99" s="36"/>
      <c r="D99" s="37"/>
      <c r="E99" s="37"/>
      <c r="F99" s="34" t="n">
        <v>888969.27</v>
      </c>
      <c r="G99" s="35"/>
      <c r="H99" s="35"/>
      <c r="I99" s="35"/>
    </row>
    <row r="100" customFormat="false" ht="12.75" hidden="false" customHeight="false" outlineLevel="0" collapsed="false">
      <c r="A100" s="36"/>
      <c r="B100" s="35" t="s">
        <v>150</v>
      </c>
      <c r="C100" s="36"/>
      <c r="D100" s="37"/>
      <c r="E100" s="37"/>
      <c r="F100" s="34" t="n">
        <v>6.32</v>
      </c>
      <c r="G100" s="35"/>
      <c r="H100" s="35"/>
      <c r="I100" s="35"/>
    </row>
    <row r="101" customFormat="false" ht="12.75" hidden="false" customHeight="false" outlineLevel="0" collapsed="false">
      <c r="A101" s="36"/>
      <c r="B101" s="35" t="s">
        <v>151</v>
      </c>
      <c r="C101" s="36"/>
      <c r="D101" s="37"/>
      <c r="E101" s="37"/>
      <c r="F101" s="34" t="n">
        <v>10.33</v>
      </c>
      <c r="G101" s="35"/>
      <c r="H101" s="35"/>
      <c r="I101" s="35"/>
    </row>
    <row r="102" customFormat="false" ht="12.75" hidden="false" customHeight="false" outlineLevel="0" collapsed="false">
      <c r="A102" s="36"/>
      <c r="B102" s="35" t="s">
        <v>152</v>
      </c>
      <c r="C102" s="36"/>
      <c r="D102" s="37"/>
      <c r="E102" s="37"/>
      <c r="F102" s="34" t="n">
        <v>19892.77</v>
      </c>
      <c r="G102" s="35"/>
      <c r="H102" s="35"/>
      <c r="I102" s="35"/>
    </row>
    <row r="103" customFormat="false" ht="12.75" hidden="false" customHeight="false" outlineLevel="0" collapsed="false">
      <c r="A103" s="36"/>
      <c r="B103" s="35" t="s">
        <v>73</v>
      </c>
      <c r="C103" s="36"/>
      <c r="D103" s="37"/>
      <c r="E103" s="37"/>
      <c r="F103" s="34" t="n">
        <v>83643512.49</v>
      </c>
      <c r="G103" s="35"/>
      <c r="H103" s="35"/>
      <c r="I103" s="35"/>
    </row>
    <row r="104" customFormat="false" ht="12.75" hidden="false" customHeight="false" outlineLevel="0" collapsed="false">
      <c r="A104" s="36"/>
      <c r="B104" s="35" t="s">
        <v>74</v>
      </c>
      <c r="C104" s="36"/>
      <c r="D104" s="37"/>
      <c r="E104" s="37"/>
      <c r="F104" s="40" t="n">
        <v>205.19</v>
      </c>
      <c r="G104" s="35"/>
      <c r="H104" s="35"/>
      <c r="I104" s="35"/>
    </row>
    <row r="105" customFormat="false" ht="12.75" hidden="false" customHeight="false" outlineLevel="0" collapsed="false">
      <c r="B105" s="15" t="s">
        <v>31</v>
      </c>
      <c r="F105" s="63" t="n">
        <f aca="false">SUM(F97:F104)</f>
        <v>88844366.74</v>
      </c>
      <c r="G105" s="60" t="n">
        <f aca="false">+F105/F90</f>
        <v>0.091129947669876</v>
      </c>
    </row>
    <row r="106" customFormat="false" ht="12.75" hidden="false" customHeight="false" outlineLevel="0" collapsed="false">
      <c r="B106" s="15"/>
      <c r="F106" s="52"/>
      <c r="G106" s="60"/>
    </row>
    <row r="107" customFormat="false" ht="12.75" hidden="false" customHeight="false" outlineLevel="0" collapsed="false">
      <c r="A107" s="36"/>
      <c r="B107" s="35" t="s">
        <v>153</v>
      </c>
      <c r="C107" s="36"/>
      <c r="D107" s="37"/>
      <c r="E107" s="37"/>
      <c r="F107" s="40" t="n">
        <v>12160503.08</v>
      </c>
      <c r="G107" s="60" t="n">
        <f aca="false">+F107/F90</f>
        <v>0.0124733401788189</v>
      </c>
      <c r="H107" s="35"/>
      <c r="I107" s="35"/>
    </row>
    <row r="108" customFormat="false" ht="15.75" hidden="false" customHeight="false" outlineLevel="0" collapsed="false">
      <c r="B108" s="5"/>
    </row>
    <row r="109" customFormat="false" ht="16.5" hidden="false" customHeight="false" outlineLevel="0" collapsed="false">
      <c r="B109" s="45" t="s">
        <v>32</v>
      </c>
      <c r="C109" s="46"/>
      <c r="D109" s="47"/>
      <c r="E109" s="47"/>
      <c r="F109" s="48" t="n">
        <f aca="false">+F90-F95-F105+F107</f>
        <v>830204273.67</v>
      </c>
      <c r="G109" s="61" t="n">
        <f aca="false">+F109/F90</f>
        <v>0.85156183549893</v>
      </c>
      <c r="I109" s="54" t="n">
        <f aca="false">+F75-F109</f>
        <v>0</v>
      </c>
    </row>
    <row r="110" customFormat="false" ht="15.75" hidden="false" customHeight="false" outlineLevel="0" collapsed="false">
      <c r="B110" s="50"/>
      <c r="C110" s="36"/>
      <c r="D110" s="37"/>
      <c r="E110" s="37"/>
      <c r="F110" s="51"/>
    </row>
    <row r="111" customFormat="false" ht="15.75" hidden="false" customHeight="false" outlineLevel="0" collapsed="false">
      <c r="B111" s="5"/>
    </row>
    <row r="112" customFormat="false" ht="15.75" hidden="false" customHeight="false" outlineLevel="0" collapsed="false">
      <c r="B112" s="50" t="s">
        <v>33</v>
      </c>
      <c r="C112" s="36"/>
      <c r="D112" s="37"/>
      <c r="E112" s="37"/>
      <c r="F112" s="35"/>
    </row>
    <row r="113" customFormat="false" ht="15.75" hidden="false" customHeight="false" outlineLevel="0" collapsed="false">
      <c r="B113" s="50"/>
      <c r="C113" s="36"/>
      <c r="D113" s="37"/>
      <c r="E113" s="37"/>
      <c r="F113" s="35"/>
    </row>
    <row r="114" customFormat="false" ht="12.75" hidden="false" customHeight="false" outlineLevel="0" collapsed="false">
      <c r="A114" s="36"/>
      <c r="B114" s="35" t="s">
        <v>21</v>
      </c>
      <c r="C114" s="36"/>
      <c r="D114" s="37"/>
      <c r="E114" s="37"/>
      <c r="F114" s="38" t="n">
        <v>846325629.7</v>
      </c>
      <c r="G114" s="64" t="n">
        <f aca="false">+F114/F116</f>
        <v>0.855954252729211</v>
      </c>
      <c r="H114" s="35"/>
      <c r="I114" s="35"/>
    </row>
    <row r="115" customFormat="false" ht="12.75" hidden="false" customHeight="false" outlineLevel="0" collapsed="false">
      <c r="B115" s="35" t="s">
        <v>22</v>
      </c>
      <c r="C115" s="36"/>
      <c r="D115" s="37"/>
      <c r="E115" s="37"/>
      <c r="F115" s="40" t="n">
        <v>142425377.73</v>
      </c>
      <c r="G115" s="64" t="n">
        <f aca="false">+F115/F116</f>
        <v>0.144045747270789</v>
      </c>
    </row>
    <row r="116" customFormat="false" ht="12.75" hidden="false" customHeight="false" outlineLevel="0" collapsed="false">
      <c r="B116" s="41" t="s">
        <v>23</v>
      </c>
      <c r="C116" s="36"/>
      <c r="D116" s="37"/>
      <c r="E116" s="37"/>
      <c r="F116" s="40" t="n">
        <f aca="false">SUM(F114:F115)</f>
        <v>988751007.43</v>
      </c>
      <c r="G116" s="60" t="n">
        <f aca="false">+F116/F116</f>
        <v>1</v>
      </c>
    </row>
    <row r="117" customFormat="false" ht="15.75" hidden="false" customHeight="false" outlineLevel="0" collapsed="false">
      <c r="B117" s="5"/>
    </row>
    <row r="118" customFormat="false" ht="12.75" hidden="false" customHeight="false" outlineLevel="0" collapsed="false">
      <c r="B118" s="35" t="s">
        <v>154</v>
      </c>
      <c r="C118" s="36"/>
      <c r="D118" s="37"/>
      <c r="E118" s="37"/>
      <c r="F118" s="34" t="n">
        <v>12908276.5</v>
      </c>
    </row>
    <row r="119" customFormat="false" ht="12.75" hidden="false" customHeight="false" outlineLevel="0" collapsed="false">
      <c r="B119" s="35" t="s">
        <v>137</v>
      </c>
      <c r="C119" s="36"/>
      <c r="D119" s="37"/>
      <c r="E119" s="37"/>
      <c r="F119" s="40" t="n">
        <v>42048639.13</v>
      </c>
    </row>
    <row r="120" customFormat="false" ht="12.75" hidden="false" customHeight="false" outlineLevel="0" collapsed="false">
      <c r="B120" s="41" t="s">
        <v>39</v>
      </c>
      <c r="C120" s="36"/>
      <c r="D120" s="37"/>
      <c r="E120" s="37"/>
      <c r="F120" s="40" t="n">
        <f aca="false">SUM(F118:F119)</f>
        <v>54956915.63</v>
      </c>
      <c r="G120" s="60" t="n">
        <f aca="false">+F120/F116</f>
        <v>0.0555821589227465</v>
      </c>
    </row>
    <row r="121" customFormat="false" ht="15.75" hidden="false" customHeight="false" outlineLevel="0" collapsed="false">
      <c r="B121" s="5"/>
    </row>
    <row r="122" customFormat="false" ht="12.75" hidden="false" customHeight="false" outlineLevel="0" collapsed="false">
      <c r="B122" s="35" t="s">
        <v>106</v>
      </c>
      <c r="C122" s="36"/>
      <c r="D122" s="37"/>
      <c r="E122" s="37"/>
      <c r="F122" s="52" t="n">
        <v>6303.02</v>
      </c>
    </row>
    <row r="123" customFormat="false" ht="12.75" hidden="false" customHeight="false" outlineLevel="0" collapsed="false">
      <c r="B123" s="35" t="s">
        <v>70</v>
      </c>
      <c r="C123" s="36"/>
      <c r="D123" s="37"/>
      <c r="E123" s="37"/>
      <c r="F123" s="52" t="n">
        <v>7944.92</v>
      </c>
    </row>
    <row r="124" customFormat="false" ht="12.75" hidden="false" customHeight="false" outlineLevel="0" collapsed="false">
      <c r="B124" s="35" t="s">
        <v>139</v>
      </c>
      <c r="C124" s="36"/>
      <c r="D124" s="37"/>
      <c r="E124" s="37"/>
      <c r="F124" s="52" t="n">
        <v>66132.36</v>
      </c>
    </row>
    <row r="125" customFormat="false" ht="12.75" hidden="false" customHeight="false" outlineLevel="0" collapsed="false">
      <c r="B125" s="35" t="s">
        <v>84</v>
      </c>
      <c r="C125" s="36"/>
      <c r="D125" s="37"/>
      <c r="E125" s="37"/>
      <c r="F125" s="52" t="n">
        <v>5473.52</v>
      </c>
    </row>
    <row r="126" customFormat="false" ht="12.75" hidden="false" customHeight="false" outlineLevel="0" collapsed="false">
      <c r="B126" s="35" t="s">
        <v>151</v>
      </c>
      <c r="C126" s="36"/>
      <c r="D126" s="37"/>
      <c r="E126" s="37"/>
      <c r="F126" s="52" t="n">
        <v>646409.69</v>
      </c>
    </row>
    <row r="127" customFormat="false" ht="12.75" hidden="false" customHeight="false" outlineLevel="0" collapsed="false">
      <c r="B127" s="35" t="s">
        <v>85</v>
      </c>
      <c r="C127" s="36"/>
      <c r="D127" s="37"/>
      <c r="E127" s="37"/>
      <c r="F127" s="52" t="n">
        <v>83643512.49</v>
      </c>
    </row>
    <row r="128" customFormat="false" ht="12.75" hidden="false" customHeight="false" outlineLevel="0" collapsed="false">
      <c r="B128" s="35" t="s">
        <v>155</v>
      </c>
      <c r="C128" s="36"/>
      <c r="D128" s="37"/>
      <c r="E128" s="37"/>
      <c r="F128" s="52" t="n">
        <v>30294.94</v>
      </c>
    </row>
    <row r="129" customFormat="false" ht="12.75" hidden="false" customHeight="false" outlineLevel="0" collapsed="false">
      <c r="B129" s="35" t="s">
        <v>110</v>
      </c>
      <c r="C129" s="36"/>
      <c r="D129" s="37"/>
      <c r="E129" s="37"/>
      <c r="F129" s="63" t="n">
        <v>171309.95</v>
      </c>
    </row>
    <row r="130" customFormat="false" ht="12.75" hidden="false" customHeight="false" outlineLevel="0" collapsed="false">
      <c r="B130" s="15" t="s">
        <v>31</v>
      </c>
      <c r="C130" s="36"/>
      <c r="D130" s="37"/>
      <c r="E130" s="37"/>
      <c r="F130" s="63" t="n">
        <f aca="false">SUM(F122:F129)</f>
        <v>84577380.89</v>
      </c>
      <c r="G130" s="60" t="n">
        <f aca="false">+F130/F116</f>
        <v>0.0855396153879396</v>
      </c>
    </row>
    <row r="131" customFormat="false" ht="15.75" hidden="false" customHeight="false" outlineLevel="0" collapsed="false">
      <c r="B131" s="5"/>
    </row>
    <row r="132" customFormat="false" ht="16.5" hidden="false" customHeight="false" outlineLevel="0" collapsed="false">
      <c r="B132" s="45" t="s">
        <v>53</v>
      </c>
      <c r="C132" s="46"/>
      <c r="D132" s="47"/>
      <c r="E132" s="47"/>
      <c r="F132" s="48" t="n">
        <f aca="false">+F116-F120-F130</f>
        <v>849216710.91</v>
      </c>
      <c r="G132" s="61" t="n">
        <f aca="false">+F132/F116</f>
        <v>0.858878225689314</v>
      </c>
      <c r="I132" s="54" t="n">
        <f aca="false">+F132-F10</f>
        <v>0</v>
      </c>
    </row>
    <row r="133" customFormat="false" ht="15.75" hidden="false" customHeight="false" outlineLevel="0" collapsed="false">
      <c r="B133" s="5"/>
    </row>
    <row r="134" customFormat="false" ht="15.75" hidden="false" customHeight="false" outlineLevel="0" collapsed="false">
      <c r="B134" s="50" t="s">
        <v>111</v>
      </c>
      <c r="C134" s="36"/>
      <c r="D134" s="37"/>
      <c r="E134" s="37"/>
    </row>
    <row r="135" customFormat="false" ht="15.75" hidden="false" customHeight="false" outlineLevel="0" collapsed="false">
      <c r="B135" s="50"/>
      <c r="C135" s="36"/>
      <c r="D135" s="37"/>
      <c r="E135" s="37"/>
    </row>
    <row r="136" customFormat="false" ht="12.75" hidden="false" customHeight="false" outlineLevel="0" collapsed="false">
      <c r="B136" s="66" t="s">
        <v>113</v>
      </c>
      <c r="C136" s="36"/>
      <c r="D136" s="37"/>
      <c r="E136" s="37"/>
      <c r="F136" s="81" t="n">
        <f aca="false">+F137</f>
        <v>19012437.24</v>
      </c>
    </row>
    <row r="137" customFormat="false" ht="16.5" hidden="false" customHeight="false" outlineLevel="0" collapsed="false">
      <c r="B137" s="50" t="s">
        <v>114</v>
      </c>
      <c r="F137" s="67" t="n">
        <f aca="false">+F132-F109</f>
        <v>19012437.24</v>
      </c>
    </row>
    <row r="138" customFormat="false" ht="13.5" hidden="false" customHeight="false" outlineLevel="0" collapsed="false"/>
  </sheetData>
  <printOptions headings="false" gridLines="false" gridLinesSet="true" horizontalCentered="false" verticalCentered="false"/>
  <pageMargins left="0.5" right="0.25" top="0.5" bottom="0.5" header="0.511811023622047" footer="0"/>
  <pageSetup paperSize="1" scale="86" fitToWidth="1" fitToHeight="1" pageOrder="downThenOver" orientation="portrait" blackAndWhite="false" draft="false" cellComments="none" horizontalDpi="300" verticalDpi="300" copies="1"/>
  <headerFooter differentFirst="false" differentOddEven="false">
    <oddHeader/>
    <oddFooter>&amp;LCertification August 24, 2001&amp;CPage &amp;P of &amp;N&amp;RTrade Month March 2001</oddFooter>
  </headerFooter>
  <rowBreaks count="2" manualBreakCount="2">
    <brk id="51" man="true" max="16383" min="0"/>
    <brk id="80" man="true" max="16383" min="0"/>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7" activeCellId="0" sqref="A17"/>
    </sheetView>
  </sheetViews>
  <sheetFormatPr defaultColWidth="9.0546875" defaultRowHeight="12.75" customHeight="true" zeroHeight="false" outlineLevelRow="0" outlineLevelCol="0"/>
  <cols>
    <col collapsed="false" customWidth="true" hidden="false" outlineLevel="0" max="1" min="1" style="1" width="6.28"/>
    <col collapsed="false" customWidth="true" hidden="false" outlineLevel="0" max="2" min="2" style="0" width="49.99"/>
    <col collapsed="false" customWidth="true" hidden="false" outlineLevel="0" max="3" min="3" style="1" width="8.41"/>
    <col collapsed="false" customWidth="true" hidden="false" outlineLevel="0" max="4" min="4" style="2" width="5.99"/>
    <col collapsed="false" customWidth="true" hidden="false" outlineLevel="0" max="5" min="5" style="2" width="4.99"/>
    <col collapsed="false" customWidth="true" hidden="false" outlineLevel="0" max="6" min="6" style="0" width="17.42"/>
    <col collapsed="false" customWidth="true" hidden="false" outlineLevel="0" max="7" min="7" style="0" width="9.28"/>
    <col collapsed="false" customWidth="true" hidden="false" outlineLevel="0" max="8" min="8" style="0" width="11.13"/>
    <col collapsed="false" customWidth="true" hidden="false" outlineLevel="0" max="9" min="9" style="0" width="16.56"/>
  </cols>
  <sheetData>
    <row r="1" customFormat="false" ht="15.75" hidden="false" customHeight="false" outlineLevel="0" collapsed="false">
      <c r="B1" s="3" t="s">
        <v>0</v>
      </c>
    </row>
    <row r="2" customFormat="false" ht="15.75" hidden="false" customHeight="false" outlineLevel="0" collapsed="false">
      <c r="B2" s="5"/>
    </row>
    <row r="3" customFormat="false" ht="15.75" hidden="false" customHeight="false" outlineLevel="0" collapsed="false">
      <c r="B3" s="5" t="s">
        <v>156</v>
      </c>
    </row>
    <row r="4" customFormat="false" ht="15.75" hidden="false" customHeight="false" outlineLevel="0" collapsed="false">
      <c r="B4" s="5"/>
    </row>
    <row r="5" customFormat="false" ht="15.75" hidden="false" customHeight="false" outlineLevel="0" collapsed="false">
      <c r="B5" s="5"/>
    </row>
    <row r="6" customFormat="false" ht="15.75" hidden="false" customHeight="false" outlineLevel="0" collapsed="false">
      <c r="B6" s="5"/>
    </row>
    <row r="7" customFormat="false" ht="16.5" hidden="false" customHeight="false" outlineLevel="0" collapsed="false">
      <c r="A7" s="5" t="s">
        <v>55</v>
      </c>
    </row>
    <row r="8" customFormat="false" ht="35.25" hidden="false" customHeight="false" outlineLevel="0" collapsed="false">
      <c r="A8" s="6" t="s">
        <v>3</v>
      </c>
      <c r="B8" s="6" t="s">
        <v>4</v>
      </c>
      <c r="C8" s="6" t="s">
        <v>5</v>
      </c>
      <c r="D8" s="7"/>
      <c r="E8" s="8"/>
      <c r="F8" s="9" t="s">
        <v>6</v>
      </c>
      <c r="G8" s="10" t="s">
        <v>7</v>
      </c>
      <c r="H8" s="11"/>
      <c r="I8" s="11"/>
    </row>
    <row r="9" customFormat="false" ht="12" hidden="false" customHeight="false" outlineLevel="0" collapsed="false">
      <c r="A9" s="12"/>
      <c r="B9" s="12"/>
      <c r="C9" s="12"/>
      <c r="D9" s="12"/>
      <c r="E9" s="12"/>
      <c r="F9" s="13"/>
      <c r="G9" s="12"/>
      <c r="H9" s="12"/>
      <c r="I9" s="12"/>
    </row>
    <row r="10" customFormat="false" ht="13.5" hidden="false" customHeight="false" outlineLevel="0" collapsed="false">
      <c r="A10" s="14"/>
      <c r="B10" s="15" t="s">
        <v>116</v>
      </c>
      <c r="C10" s="73"/>
      <c r="D10" s="16"/>
      <c r="E10" s="16"/>
      <c r="F10" s="17" t="n">
        <v>709358606.52</v>
      </c>
      <c r="G10" s="18" t="n">
        <f aca="false">+F10/F$10</f>
        <v>1</v>
      </c>
      <c r="H10" s="15"/>
      <c r="I10" s="15"/>
    </row>
    <row r="11" customFormat="false" ht="13.5" hidden="false" customHeight="false" outlineLevel="0" collapsed="false">
      <c r="A11" s="14"/>
      <c r="B11" s="15"/>
      <c r="C11" s="73"/>
      <c r="D11" s="16"/>
      <c r="E11" s="16"/>
      <c r="F11" s="68"/>
      <c r="G11" s="43"/>
      <c r="H11" s="15"/>
      <c r="I11" s="15"/>
    </row>
    <row r="12" customFormat="false" ht="12.75" hidden="false" customHeight="false" outlineLevel="0" collapsed="false">
      <c r="A12" s="14"/>
      <c r="B12" s="15"/>
      <c r="C12" s="73"/>
      <c r="D12" s="16"/>
      <c r="E12" s="16"/>
      <c r="F12" s="68"/>
      <c r="G12" s="43"/>
      <c r="H12" s="15"/>
      <c r="I12" s="15"/>
    </row>
    <row r="13" customFormat="false" ht="12.75" hidden="false" customHeight="false" outlineLevel="0" collapsed="false">
      <c r="A13" s="14"/>
      <c r="B13" s="14"/>
      <c r="C13" s="74"/>
      <c r="D13" s="16"/>
      <c r="E13" s="16"/>
      <c r="F13" s="68"/>
      <c r="G13" s="43"/>
      <c r="H13" s="15"/>
      <c r="I13" s="15"/>
    </row>
    <row r="14" customFormat="false" ht="15.75" hidden="false" customHeight="false" outlineLevel="0" collapsed="false">
      <c r="B14" s="5"/>
      <c r="C14" s="75"/>
    </row>
    <row r="15" customFormat="false" ht="15.75" hidden="false" customHeight="false" outlineLevel="0" collapsed="false">
      <c r="B15" s="5"/>
      <c r="C15" s="75"/>
    </row>
    <row r="16" customFormat="false" ht="15.75" hidden="false" customHeight="false" outlineLevel="0" collapsed="false">
      <c r="A16" s="5" t="s">
        <v>9</v>
      </c>
      <c r="C16" s="75"/>
    </row>
    <row r="17" customFormat="false" ht="16.5" hidden="false" customHeight="false" outlineLevel="0" collapsed="false">
      <c r="A17" s="5" t="s">
        <v>157</v>
      </c>
      <c r="C17" s="75"/>
    </row>
    <row r="18" customFormat="false" ht="35.25" hidden="false" customHeight="false" outlineLevel="0" collapsed="false">
      <c r="A18" s="6" t="s">
        <v>3</v>
      </c>
      <c r="B18" s="6" t="s">
        <v>4</v>
      </c>
      <c r="C18" s="76" t="s">
        <v>11</v>
      </c>
      <c r="D18" s="6" t="s">
        <v>12</v>
      </c>
      <c r="E18" s="6" t="s">
        <v>13</v>
      </c>
      <c r="F18" s="10" t="s">
        <v>14</v>
      </c>
      <c r="G18" s="10" t="s">
        <v>15</v>
      </c>
      <c r="H18" s="11"/>
      <c r="I18" s="11"/>
    </row>
    <row r="19" customFormat="false" ht="13.5" hidden="false" customHeight="false" outlineLevel="0" collapsed="false">
      <c r="C19" s="75"/>
    </row>
    <row r="20" customFormat="false" ht="12.75" hidden="false" customHeight="false" outlineLevel="0" collapsed="false">
      <c r="A20" s="22" t="n">
        <v>1007</v>
      </c>
      <c r="B20" s="20" t="s">
        <v>118</v>
      </c>
      <c r="C20" s="55" t="n">
        <v>37071</v>
      </c>
      <c r="D20" s="27" t="n">
        <v>15591</v>
      </c>
      <c r="E20" s="22" t="s">
        <v>91</v>
      </c>
      <c r="F20" s="56" t="n">
        <v>20921.76</v>
      </c>
      <c r="G20" s="24" t="n">
        <f aca="false">+F20/$F$70</f>
        <v>2.91560337591432E-005</v>
      </c>
    </row>
    <row r="21" customFormat="false" ht="12.75" hidden="false" customHeight="false" outlineLevel="0" collapsed="false">
      <c r="A21" s="22" t="n">
        <v>1007</v>
      </c>
      <c r="B21" s="20" t="s">
        <v>118</v>
      </c>
      <c r="C21" s="55" t="n">
        <v>37084</v>
      </c>
      <c r="D21" s="27" t="n">
        <v>15731</v>
      </c>
      <c r="E21" s="22" t="s">
        <v>91</v>
      </c>
      <c r="F21" s="56" t="n">
        <v>16.17</v>
      </c>
      <c r="G21" s="24" t="n">
        <f aca="false">+F21/$F$70</f>
        <v>2.25341016188574E-008</v>
      </c>
    </row>
    <row r="22" customFormat="false" ht="12.75" hidden="false" customHeight="false" outlineLevel="0" collapsed="false">
      <c r="A22" s="22" t="n">
        <v>2606</v>
      </c>
      <c r="B22" s="20" t="s">
        <v>96</v>
      </c>
      <c r="C22" s="55" t="n">
        <v>37071</v>
      </c>
      <c r="D22" s="27" t="n">
        <v>15553</v>
      </c>
      <c r="E22" s="22" t="s">
        <v>91</v>
      </c>
      <c r="F22" s="56" t="n">
        <v>220578.62</v>
      </c>
      <c r="G22" s="24" t="n">
        <f aca="false">+F22/$F$70</f>
        <v>0.0003073927667302</v>
      </c>
    </row>
    <row r="23" customFormat="false" ht="12.75" hidden="false" customHeight="false" outlineLevel="0" collapsed="false">
      <c r="A23" s="22" t="n">
        <v>2746</v>
      </c>
      <c r="B23" s="20" t="s">
        <v>158</v>
      </c>
      <c r="C23" s="55" t="n">
        <v>37071</v>
      </c>
      <c r="D23" s="27" t="n">
        <v>15551</v>
      </c>
      <c r="E23" s="22" t="s">
        <v>91</v>
      </c>
      <c r="F23" s="56" t="n">
        <v>221.84</v>
      </c>
      <c r="G23" s="24" t="n">
        <f aca="false">+F23/$F$70</f>
        <v>3.09150593885425E-007</v>
      </c>
    </row>
    <row r="24" customFormat="false" ht="12.75" hidden="false" customHeight="false" outlineLevel="0" collapsed="false">
      <c r="A24" s="22" t="n">
        <v>1544</v>
      </c>
      <c r="B24" s="20" t="s">
        <v>93</v>
      </c>
      <c r="C24" s="55" t="n">
        <v>37071</v>
      </c>
      <c r="D24" s="27" t="n">
        <v>15567</v>
      </c>
      <c r="E24" s="22" t="s">
        <v>91</v>
      </c>
      <c r="F24" s="56" t="n">
        <v>140656.33</v>
      </c>
      <c r="G24" s="24" t="n">
        <f aca="false">+F24/$F$70</f>
        <v>0.000196015091747405</v>
      </c>
    </row>
    <row r="25" customFormat="false" ht="12.75" hidden="false" customHeight="false" outlineLevel="0" collapsed="false">
      <c r="A25" s="22" t="n">
        <v>3106</v>
      </c>
      <c r="B25" s="20" t="s">
        <v>58</v>
      </c>
      <c r="C25" s="55" t="n">
        <v>37071</v>
      </c>
      <c r="D25" s="27" t="n">
        <v>15545</v>
      </c>
      <c r="E25" s="22" t="s">
        <v>91</v>
      </c>
      <c r="F25" s="56" t="n">
        <v>1288148.84</v>
      </c>
      <c r="G25" s="24" t="n">
        <f aca="false">+F25/$F$70</f>
        <v>0.0017951315312785</v>
      </c>
    </row>
    <row r="26" customFormat="false" ht="12.75" hidden="false" customHeight="false" outlineLevel="0" collapsed="false">
      <c r="A26" s="22" t="n">
        <v>3186</v>
      </c>
      <c r="B26" s="20" t="s">
        <v>159</v>
      </c>
      <c r="C26" s="55" t="n">
        <v>37071</v>
      </c>
      <c r="D26" s="27" t="n">
        <v>15543</v>
      </c>
      <c r="E26" s="22" t="s">
        <v>91</v>
      </c>
      <c r="F26" s="56" t="n">
        <v>90</v>
      </c>
      <c r="G26" s="24" t="n">
        <f aca="false">+F26/$F$70</f>
        <v>1.25421715874902E-007</v>
      </c>
    </row>
    <row r="27" customFormat="false" ht="12.75" hidden="false" customHeight="false" outlineLevel="0" collapsed="false">
      <c r="A27" s="22" t="n">
        <v>1011</v>
      </c>
      <c r="B27" s="20" t="s">
        <v>58</v>
      </c>
      <c r="C27" s="55" t="n">
        <v>37071</v>
      </c>
      <c r="D27" s="27" t="n">
        <v>15588</v>
      </c>
      <c r="E27" s="22" t="s">
        <v>91</v>
      </c>
      <c r="F27" s="56" t="n">
        <v>171090.87</v>
      </c>
      <c r="G27" s="24" t="n">
        <f aca="false">+F27/$F$70</f>
        <v>0.000238427894288109</v>
      </c>
    </row>
    <row r="28" customFormat="false" ht="12.75" hidden="false" customHeight="false" outlineLevel="0" collapsed="false">
      <c r="A28" s="22" t="n">
        <v>1012</v>
      </c>
      <c r="B28" s="20" t="s">
        <v>148</v>
      </c>
      <c r="C28" s="55" t="n">
        <v>37071</v>
      </c>
      <c r="D28" s="27" t="n">
        <v>15587</v>
      </c>
      <c r="E28" s="22" t="s">
        <v>91</v>
      </c>
      <c r="F28" s="56" t="n">
        <v>22.43</v>
      </c>
      <c r="G28" s="24" t="n">
        <f aca="false">+F28/$F$70</f>
        <v>3.12578787452673E-008</v>
      </c>
      <c r="I28" s="62" t="n">
        <f aca="false">SUM(F20:F30)-5118340.29</f>
        <v>0</v>
      </c>
    </row>
    <row r="29" customFormat="false" ht="12.75" hidden="false" customHeight="false" outlineLevel="0" collapsed="false">
      <c r="A29" s="22" t="n">
        <v>2528</v>
      </c>
      <c r="B29" s="20" t="s">
        <v>94</v>
      </c>
      <c r="C29" s="55" t="n">
        <v>37071</v>
      </c>
      <c r="D29" s="27" t="n">
        <v>15556</v>
      </c>
      <c r="E29" s="22" t="s">
        <v>91</v>
      </c>
      <c r="F29" s="56" t="n">
        <v>157189.18</v>
      </c>
      <c r="G29" s="24" t="n">
        <f aca="false">+F29/$F$70</f>
        <v>0.000219054851917432</v>
      </c>
    </row>
    <row r="30" customFormat="false" ht="12.75" hidden="false" customHeight="false" outlineLevel="0" collapsed="false">
      <c r="A30" s="22" t="n">
        <v>1010</v>
      </c>
      <c r="B30" s="20" t="s">
        <v>60</v>
      </c>
      <c r="C30" s="55" t="n">
        <v>37071</v>
      </c>
      <c r="D30" s="27" t="n">
        <v>15589</v>
      </c>
      <c r="E30" s="22" t="s">
        <v>91</v>
      </c>
      <c r="F30" s="56" t="n">
        <v>3119404.25</v>
      </c>
      <c r="G30" s="24" t="n">
        <f aca="false">+F30/$F$70</f>
        <v>0.00434712259491624</v>
      </c>
    </row>
    <row r="31" customFormat="false" ht="12.75" hidden="false" customHeight="false" outlineLevel="0" collapsed="false">
      <c r="A31" s="22" t="n">
        <v>2606</v>
      </c>
      <c r="B31" s="20" t="s">
        <v>96</v>
      </c>
      <c r="C31" s="55" t="n">
        <v>37071</v>
      </c>
      <c r="D31" s="27" t="n">
        <v>15617</v>
      </c>
      <c r="E31" s="22" t="s">
        <v>17</v>
      </c>
      <c r="F31" s="56" t="n">
        <v>3410801.81</v>
      </c>
      <c r="G31" s="24" t="n">
        <f aca="false">+F31/$F$70</f>
        <v>0.00475320683910469</v>
      </c>
    </row>
    <row r="32" customFormat="false" ht="12.75" hidden="false" customHeight="false" outlineLevel="0" collapsed="false">
      <c r="A32" s="22" t="n">
        <v>2606</v>
      </c>
      <c r="B32" s="20" t="s">
        <v>96</v>
      </c>
      <c r="C32" s="55" t="n">
        <v>37084</v>
      </c>
      <c r="D32" s="27" t="n">
        <v>15758</v>
      </c>
      <c r="E32" s="22" t="s">
        <v>17</v>
      </c>
      <c r="F32" s="56" t="n">
        <v>361608.15</v>
      </c>
      <c r="G32" s="24" t="n">
        <f aca="false">+F32/$F$70</f>
        <v>0.0005039279405261</v>
      </c>
    </row>
    <row r="33" customFormat="false" ht="12.75" hidden="false" customHeight="false" outlineLevel="0" collapsed="false">
      <c r="A33" s="22" t="n">
        <v>1685</v>
      </c>
      <c r="B33" s="20" t="s">
        <v>160</v>
      </c>
      <c r="C33" s="55" t="n">
        <v>37071</v>
      </c>
      <c r="D33" s="27" t="n">
        <v>15629</v>
      </c>
      <c r="E33" s="22" t="s">
        <v>17</v>
      </c>
      <c r="F33" s="56" t="n">
        <v>10577</v>
      </c>
      <c r="G33" s="24" t="n">
        <f aca="false">+F33/$F$70</f>
        <v>1.47398387645427E-005</v>
      </c>
    </row>
    <row r="34" customFormat="false" ht="12.75" hidden="false" customHeight="false" outlineLevel="0" collapsed="false">
      <c r="A34" s="22" t="n">
        <v>1504</v>
      </c>
      <c r="B34" s="20" t="s">
        <v>143</v>
      </c>
      <c r="C34" s="55" t="n">
        <v>37071</v>
      </c>
      <c r="D34" s="27" t="n">
        <v>15635</v>
      </c>
      <c r="E34" s="22" t="s">
        <v>17</v>
      </c>
      <c r="F34" s="56" t="n">
        <v>166136.63</v>
      </c>
      <c r="G34" s="24" t="n">
        <f aca="false">+F34/$F$70</f>
        <v>0.000231523791158597</v>
      </c>
    </row>
    <row r="35" customFormat="false" ht="12.75" hidden="false" customHeight="false" outlineLevel="0" collapsed="false">
      <c r="A35" s="22" t="n">
        <v>1504</v>
      </c>
      <c r="B35" s="20" t="s">
        <v>143</v>
      </c>
      <c r="C35" s="55" t="n">
        <v>37084</v>
      </c>
      <c r="D35" s="27" t="n">
        <v>15777</v>
      </c>
      <c r="E35" s="22" t="s">
        <v>17</v>
      </c>
      <c r="F35" s="56" t="n">
        <v>1699.09</v>
      </c>
      <c r="G35" s="24" t="n">
        <f aca="false">+F35/$F$70</f>
        <v>2.36780870250986E-006</v>
      </c>
    </row>
    <row r="36" customFormat="false" ht="12.75" hidden="false" customHeight="false" outlineLevel="0" collapsed="false">
      <c r="A36" s="22" t="n">
        <v>1564</v>
      </c>
      <c r="B36" s="20" t="s">
        <v>161</v>
      </c>
      <c r="C36" s="55" t="n">
        <v>37071</v>
      </c>
      <c r="D36" s="27" t="n">
        <v>15631</v>
      </c>
      <c r="E36" s="22" t="s">
        <v>17</v>
      </c>
      <c r="F36" s="56" t="n">
        <v>3720429.56</v>
      </c>
      <c r="G36" s="24" t="n">
        <f aca="false">+F36/$F$70</f>
        <v>0.00518469621341008</v>
      </c>
    </row>
    <row r="37" customFormat="false" ht="12.75" hidden="false" customHeight="false" outlineLevel="0" collapsed="false">
      <c r="A37" s="77" t="n">
        <v>1017</v>
      </c>
      <c r="B37" s="78" t="s">
        <v>145</v>
      </c>
      <c r="C37" s="55" t="n">
        <v>37071</v>
      </c>
      <c r="D37" s="27" t="n">
        <v>15656</v>
      </c>
      <c r="E37" s="22" t="s">
        <v>17</v>
      </c>
      <c r="F37" s="56" t="n">
        <v>6105737.21</v>
      </c>
      <c r="G37" s="79" t="n">
        <f aca="false">+F37/$F$70</f>
        <v>0.00850880041732708</v>
      </c>
    </row>
    <row r="38" customFormat="false" ht="12.75" hidden="false" customHeight="false" outlineLevel="0" collapsed="false">
      <c r="A38" s="22" t="n">
        <v>1544</v>
      </c>
      <c r="B38" s="20" t="s">
        <v>93</v>
      </c>
      <c r="C38" s="55" t="n">
        <v>37071</v>
      </c>
      <c r="D38" s="27" t="n">
        <v>15632</v>
      </c>
      <c r="E38" s="22" t="s">
        <v>17</v>
      </c>
      <c r="F38" s="56" t="n">
        <v>4262853.17</v>
      </c>
      <c r="G38" s="24" t="n">
        <f aca="false">+F38/$F$70</f>
        <v>0.00594060399004629</v>
      </c>
    </row>
    <row r="39" customFormat="false" ht="12.75" hidden="false" customHeight="false" outlineLevel="0" collapsed="false">
      <c r="A39" s="22" t="n">
        <v>1544</v>
      </c>
      <c r="B39" s="20" t="s">
        <v>93</v>
      </c>
      <c r="C39" s="55" t="n">
        <v>37084</v>
      </c>
      <c r="D39" s="27" t="n">
        <v>15774</v>
      </c>
      <c r="E39" s="22" t="s">
        <v>17</v>
      </c>
      <c r="F39" s="56" t="n">
        <v>91010.61</v>
      </c>
      <c r="G39" s="24" t="n">
        <f aca="false">+F39/$F$70</f>
        <v>0.000126830076322461</v>
      </c>
    </row>
    <row r="40" customFormat="false" ht="12.75" hidden="false" customHeight="false" outlineLevel="0" collapsed="false">
      <c r="A40" s="22" t="n">
        <v>2531</v>
      </c>
      <c r="B40" s="20" t="s">
        <v>162</v>
      </c>
      <c r="C40" s="55" t="n">
        <v>37084</v>
      </c>
      <c r="D40" s="27" t="n">
        <v>15760</v>
      </c>
      <c r="E40" s="22" t="s">
        <v>17</v>
      </c>
      <c r="F40" s="56" t="n">
        <v>12.68</v>
      </c>
      <c r="G40" s="24" t="n">
        <f aca="false">+F40/$F$70</f>
        <v>1.76705261921529E-008</v>
      </c>
    </row>
    <row r="41" customFormat="false" ht="12.75" hidden="false" customHeight="false" outlineLevel="0" collapsed="false">
      <c r="A41" s="22" t="n">
        <v>1005</v>
      </c>
      <c r="B41" s="20" t="s">
        <v>163</v>
      </c>
      <c r="C41" s="55" t="n">
        <v>37084</v>
      </c>
      <c r="D41" s="27" t="n">
        <v>15807</v>
      </c>
      <c r="E41" s="22" t="s">
        <v>17</v>
      </c>
      <c r="F41" s="56" t="n">
        <v>204.79</v>
      </c>
      <c r="G41" s="24" t="n">
        <f aca="false">+F41/$F$70</f>
        <v>2.85390146600236E-007</v>
      </c>
    </row>
    <row r="42" customFormat="false" ht="12.75" hidden="false" customHeight="false" outlineLevel="0" collapsed="false">
      <c r="A42" s="22" t="n">
        <v>2769</v>
      </c>
      <c r="B42" s="20" t="s">
        <v>164</v>
      </c>
      <c r="C42" s="55" t="n">
        <v>37071</v>
      </c>
      <c r="D42" s="27" t="n">
        <v>15610</v>
      </c>
      <c r="E42" s="22" t="s">
        <v>17</v>
      </c>
      <c r="F42" s="56" t="n">
        <v>486576.92</v>
      </c>
      <c r="G42" s="24" t="n">
        <f aca="false">+F42/$F$70</f>
        <v>0.000678081246794722</v>
      </c>
    </row>
    <row r="43" customFormat="false" ht="12.75" hidden="false" customHeight="false" outlineLevel="0" collapsed="false">
      <c r="A43" s="22" t="n">
        <v>3106</v>
      </c>
      <c r="B43" s="20" t="s">
        <v>58</v>
      </c>
      <c r="C43" s="55" t="n">
        <v>37071</v>
      </c>
      <c r="D43" s="27" t="n">
        <v>15603</v>
      </c>
      <c r="E43" s="22" t="s">
        <v>17</v>
      </c>
      <c r="F43" s="56" t="n">
        <v>50758977.65</v>
      </c>
      <c r="G43" s="24" t="n">
        <f aca="false">+F43/$F$70</f>
        <v>0.0707364230324312</v>
      </c>
    </row>
    <row r="44" customFormat="false" ht="12.75" hidden="false" customHeight="false" outlineLevel="0" collapsed="false">
      <c r="A44" s="22" t="n">
        <v>3106</v>
      </c>
      <c r="B44" s="20" t="s">
        <v>58</v>
      </c>
      <c r="C44" s="55" t="n">
        <v>37084</v>
      </c>
      <c r="D44" s="27" t="n">
        <v>15743</v>
      </c>
      <c r="E44" s="22" t="s">
        <v>17</v>
      </c>
      <c r="F44" s="56" t="n">
        <v>256089.02</v>
      </c>
      <c r="G44" s="24" t="n">
        <f aca="false">+F44/$F$70</f>
        <v>0.000356879158945801</v>
      </c>
    </row>
    <row r="45" customFormat="false" ht="12.75" hidden="false" customHeight="false" outlineLevel="0" collapsed="false">
      <c r="A45" s="22" t="n">
        <v>3187</v>
      </c>
      <c r="B45" s="20" t="s">
        <v>159</v>
      </c>
      <c r="C45" s="55" t="n">
        <v>37071</v>
      </c>
      <c r="D45" s="27" t="n">
        <v>15599</v>
      </c>
      <c r="E45" s="22" t="s">
        <v>17</v>
      </c>
      <c r="F45" s="56" t="n">
        <v>188545375.17</v>
      </c>
      <c r="G45" s="24" t="n">
        <f aca="false">+F45/$F$70</f>
        <v>0.262752049712206</v>
      </c>
      <c r="I45" s="62" t="n">
        <f aca="false">SUM(F31:F68)-712460743.78</f>
        <v>0</v>
      </c>
    </row>
    <row r="46" customFormat="false" ht="12.75" hidden="false" customHeight="false" outlineLevel="0" collapsed="false">
      <c r="A46" s="22" t="n">
        <v>3187</v>
      </c>
      <c r="B46" s="20" t="s">
        <v>159</v>
      </c>
      <c r="C46" s="55" t="n">
        <v>37084</v>
      </c>
      <c r="D46" s="27" t="n">
        <v>15739</v>
      </c>
      <c r="E46" s="22" t="s">
        <v>17</v>
      </c>
      <c r="F46" s="56" t="n">
        <v>8324121.67</v>
      </c>
      <c r="G46" s="24" t="n">
        <f aca="false">+F46/$F$70</f>
        <v>0.0116002847000317</v>
      </c>
    </row>
    <row r="47" customFormat="false" ht="12.75" hidden="false" customHeight="false" outlineLevel="0" collapsed="false">
      <c r="A47" s="22" t="n">
        <v>3186</v>
      </c>
      <c r="B47" s="20" t="s">
        <v>159</v>
      </c>
      <c r="C47" s="55" t="n">
        <v>37071</v>
      </c>
      <c r="D47" s="27" t="n">
        <v>15600</v>
      </c>
      <c r="E47" s="22" t="s">
        <v>17</v>
      </c>
      <c r="F47" s="56" t="n">
        <v>16951713.87</v>
      </c>
      <c r="G47" s="24" t="n">
        <f aca="false">+F47/$F$70</f>
        <v>0.023623478228842</v>
      </c>
    </row>
    <row r="48" customFormat="false" ht="12.75" hidden="false" customHeight="false" outlineLevel="0" collapsed="false">
      <c r="A48" s="22" t="n">
        <v>1011</v>
      </c>
      <c r="B48" s="20" t="s">
        <v>58</v>
      </c>
      <c r="C48" s="55" t="n">
        <v>37071</v>
      </c>
      <c r="D48" s="27" t="n">
        <v>15660</v>
      </c>
      <c r="E48" s="22" t="s">
        <v>17</v>
      </c>
      <c r="F48" s="56" t="n">
        <v>1100362.11</v>
      </c>
      <c r="G48" s="24" t="n">
        <f aca="false">+F48/$F$70</f>
        <v>0.00153343671022142</v>
      </c>
    </row>
    <row r="49" customFormat="false" ht="12.75" hidden="false" customHeight="false" outlineLevel="0" collapsed="false">
      <c r="A49" s="69"/>
      <c r="B49" s="71"/>
      <c r="C49" s="80"/>
      <c r="D49" s="36"/>
      <c r="E49" s="69"/>
      <c r="F49" s="34"/>
      <c r="G49" s="39"/>
    </row>
    <row r="50" customFormat="false" ht="12.75" hidden="false" customHeight="false" outlineLevel="0" collapsed="false">
      <c r="C50" s="75"/>
    </row>
    <row r="51" customFormat="false" ht="12.75" hidden="false" customHeight="false" outlineLevel="0" collapsed="false">
      <c r="C51" s="75"/>
    </row>
    <row r="52" customFormat="false" ht="15.75" hidden="false" customHeight="false" outlineLevel="0" collapsed="false">
      <c r="A52" s="69"/>
      <c r="B52" s="5" t="str">
        <f aca="false">+B1</f>
        <v>Certification for Market Settlement August 24, 2001</v>
      </c>
      <c r="C52" s="80"/>
      <c r="D52" s="36"/>
      <c r="E52" s="69"/>
      <c r="F52" s="34"/>
      <c r="G52" s="39"/>
    </row>
    <row r="53" customFormat="false" ht="15.75" hidden="false" customHeight="false" outlineLevel="0" collapsed="false">
      <c r="A53" s="69"/>
      <c r="B53" s="5"/>
      <c r="C53" s="80"/>
      <c r="D53" s="36"/>
      <c r="E53" s="69"/>
      <c r="F53" s="34"/>
      <c r="G53" s="39"/>
    </row>
    <row r="54" customFormat="false" ht="15.75" hidden="false" customHeight="false" outlineLevel="0" collapsed="false">
      <c r="A54" s="69"/>
      <c r="B54" s="5" t="str">
        <f aca="false">+B3</f>
        <v>For the Trade Month of April 2001</v>
      </c>
      <c r="C54" s="80"/>
      <c r="D54" s="36"/>
      <c r="E54" s="69"/>
      <c r="F54" s="34"/>
      <c r="G54" s="39"/>
    </row>
    <row r="55" customFormat="false" ht="12.75" hidden="false" customHeight="false" outlineLevel="0" collapsed="false">
      <c r="A55" s="69"/>
      <c r="B55" s="71"/>
      <c r="C55" s="80"/>
      <c r="D55" s="36"/>
      <c r="E55" s="69"/>
      <c r="F55" s="34"/>
      <c r="G55" s="39"/>
    </row>
    <row r="56" customFormat="false" ht="12.75" hidden="false" customHeight="false" outlineLevel="0" collapsed="false">
      <c r="A56" s="69"/>
      <c r="B56" s="71"/>
      <c r="C56" s="80"/>
      <c r="D56" s="36"/>
      <c r="E56" s="69"/>
      <c r="F56" s="34"/>
      <c r="G56" s="39"/>
    </row>
    <row r="57" customFormat="false" ht="12.75" hidden="false" customHeight="false" outlineLevel="0" collapsed="false">
      <c r="A57" s="69"/>
      <c r="B57" s="71"/>
      <c r="C57" s="80"/>
      <c r="D57" s="36"/>
      <c r="E57" s="69"/>
      <c r="F57" s="34"/>
      <c r="G57" s="39"/>
    </row>
    <row r="58" customFormat="false" ht="15.75" hidden="false" customHeight="false" outlineLevel="0" collapsed="false">
      <c r="A58" s="5" t="s">
        <v>122</v>
      </c>
      <c r="C58" s="75"/>
    </row>
    <row r="59" customFormat="false" ht="16.5" hidden="false" customHeight="false" outlineLevel="0" collapsed="false">
      <c r="A59" s="5" t="s">
        <v>157</v>
      </c>
      <c r="C59" s="75"/>
    </row>
    <row r="60" customFormat="false" ht="35.25" hidden="false" customHeight="false" outlineLevel="0" collapsed="false">
      <c r="A60" s="6" t="s">
        <v>3</v>
      </c>
      <c r="B60" s="6" t="s">
        <v>4</v>
      </c>
      <c r="C60" s="76" t="s">
        <v>11</v>
      </c>
      <c r="D60" s="6" t="s">
        <v>12</v>
      </c>
      <c r="E60" s="6" t="s">
        <v>13</v>
      </c>
      <c r="F60" s="10" t="s">
        <v>14</v>
      </c>
      <c r="G60" s="10" t="s">
        <v>15</v>
      </c>
      <c r="H60" s="11"/>
      <c r="I60" s="11"/>
    </row>
    <row r="61" customFormat="false" ht="13.5" hidden="false" customHeight="false" outlineLevel="0" collapsed="false">
      <c r="A61" s="22"/>
      <c r="B61" s="20"/>
      <c r="C61" s="55"/>
      <c r="D61" s="27"/>
      <c r="E61" s="22"/>
      <c r="F61" s="56"/>
      <c r="G61" s="24"/>
    </row>
    <row r="62" customFormat="false" ht="12.75" hidden="false" customHeight="false" outlineLevel="0" collapsed="false">
      <c r="A62" s="22" t="n">
        <v>1012</v>
      </c>
      <c r="B62" s="20" t="s">
        <v>148</v>
      </c>
      <c r="C62" s="55" t="n">
        <v>37071</v>
      </c>
      <c r="D62" s="27" t="n">
        <v>15659</v>
      </c>
      <c r="E62" s="22" t="s">
        <v>17</v>
      </c>
      <c r="F62" s="56" t="n">
        <v>4733.47</v>
      </c>
      <c r="G62" s="24" t="n">
        <f aca="false">+F62/$F$70</f>
        <v>6.59644366047081E-006</v>
      </c>
    </row>
    <row r="63" customFormat="false" ht="12.75" hidden="false" customHeight="false" outlineLevel="0" collapsed="false">
      <c r="A63" s="22" t="n">
        <v>1012</v>
      </c>
      <c r="B63" s="20" t="s">
        <v>148</v>
      </c>
      <c r="C63" s="55" t="n">
        <v>37084</v>
      </c>
      <c r="D63" s="27" t="n">
        <v>15801</v>
      </c>
      <c r="E63" s="22" t="s">
        <v>17</v>
      </c>
      <c r="F63" s="56" t="n">
        <v>1.86</v>
      </c>
      <c r="G63" s="24" t="n">
        <f aca="false">+F63/$F$70</f>
        <v>2.59204879474798E-009</v>
      </c>
    </row>
    <row r="64" customFormat="false" ht="12.75" hidden="false" customHeight="false" outlineLevel="0" collapsed="false">
      <c r="A64" s="22" t="n">
        <v>1064</v>
      </c>
      <c r="B64" s="20" t="s">
        <v>165</v>
      </c>
      <c r="C64" s="55" t="n">
        <v>37084</v>
      </c>
      <c r="D64" s="27" t="n">
        <v>15792</v>
      </c>
      <c r="E64" s="22" t="s">
        <v>17</v>
      </c>
      <c r="F64" s="56" t="n">
        <v>4.28</v>
      </c>
      <c r="G64" s="24" t="n">
        <f aca="false">+F64/$F$70</f>
        <v>5.96449937716201E-009</v>
      </c>
    </row>
    <row r="65" customFormat="false" ht="12.75" hidden="false" customHeight="false" outlineLevel="0" collapsed="false">
      <c r="A65" s="22" t="n">
        <v>2528</v>
      </c>
      <c r="B65" s="20" t="s">
        <v>94</v>
      </c>
      <c r="C65" s="55" t="n">
        <v>37084</v>
      </c>
      <c r="D65" s="27" t="n">
        <v>15762</v>
      </c>
      <c r="E65" s="22" t="s">
        <v>17</v>
      </c>
      <c r="F65" s="56" t="n">
        <v>3576.11</v>
      </c>
      <c r="G65" s="24" t="n">
        <f aca="false">+F65/$F$70</f>
        <v>4.9835761373044E-006</v>
      </c>
    </row>
    <row r="66" customFormat="false" ht="12.75" hidden="false" customHeight="false" outlineLevel="0" collapsed="false">
      <c r="A66" s="22" t="n">
        <v>1010</v>
      </c>
      <c r="B66" s="20" t="s">
        <v>60</v>
      </c>
      <c r="C66" s="55" t="n">
        <v>37071</v>
      </c>
      <c r="D66" s="27" t="n">
        <v>15661</v>
      </c>
      <c r="E66" s="22" t="s">
        <v>17</v>
      </c>
      <c r="F66" s="56" t="n">
        <v>427893504.99</v>
      </c>
      <c r="G66" s="24" t="n">
        <f aca="false">+F66/$F$70</f>
        <v>0.59630152897302</v>
      </c>
    </row>
    <row r="67" customFormat="false" ht="12.75" hidden="false" customHeight="false" outlineLevel="0" collapsed="false">
      <c r="A67" s="22" t="n">
        <v>1024</v>
      </c>
      <c r="B67" s="20" t="s">
        <v>119</v>
      </c>
      <c r="C67" s="55" t="n">
        <v>37071</v>
      </c>
      <c r="D67" s="27" t="n">
        <v>15651</v>
      </c>
      <c r="E67" s="22" t="s">
        <v>17</v>
      </c>
      <c r="F67" s="56" t="n">
        <v>2885.2</v>
      </c>
      <c r="G67" s="24" t="n">
        <f aca="false">+F67/$F$70</f>
        <v>4.02074149602519E-006</v>
      </c>
      <c r="H67" s="35"/>
      <c r="I67" s="35"/>
    </row>
    <row r="68" customFormat="false" ht="12.75" hidden="false" customHeight="false" outlineLevel="0" collapsed="false">
      <c r="A68" s="22" t="n">
        <v>1024</v>
      </c>
      <c r="B68" s="20" t="s">
        <v>119</v>
      </c>
      <c r="C68" s="55" t="n">
        <v>37084</v>
      </c>
      <c r="D68" s="27" t="n">
        <v>15793</v>
      </c>
      <c r="E68" s="22" t="s">
        <v>17</v>
      </c>
      <c r="F68" s="28" t="n">
        <v>1750.76</v>
      </c>
      <c r="G68" s="29" t="n">
        <f aca="false">+F68/$F$70</f>
        <v>2.43981470316826E-006</v>
      </c>
    </row>
    <row r="69" customFormat="false" ht="12.75" hidden="false" customHeight="false" outlineLevel="0" collapsed="false">
      <c r="A69" s="30"/>
      <c r="B69" s="31"/>
      <c r="C69" s="32"/>
      <c r="D69" s="30"/>
      <c r="E69" s="33"/>
      <c r="F69" s="34"/>
      <c r="G69" s="35"/>
    </row>
    <row r="70" customFormat="false" ht="13.5" hidden="false" customHeight="false" outlineLevel="0" collapsed="false">
      <c r="B70" s="15" t="s">
        <v>18</v>
      </c>
      <c r="F70" s="17" t="n">
        <f aca="false">SUM(F20:F69)</f>
        <v>717579084.07</v>
      </c>
      <c r="G70" s="18" t="n">
        <f aca="false">+F70/F70</f>
        <v>1</v>
      </c>
    </row>
    <row r="71" customFormat="false" ht="13.5" hidden="false" customHeight="false" outlineLevel="0" collapsed="false"/>
    <row r="74" customFormat="false" ht="12.75" hidden="false" customHeight="false" outlineLevel="0" collapsed="false">
      <c r="B74" s="57" t="s">
        <v>62</v>
      </c>
    </row>
    <row r="76" customFormat="false" ht="15.75" hidden="false" customHeight="false" outlineLevel="0" collapsed="false">
      <c r="B76" s="5" t="str">
        <f aca="false">+B1</f>
        <v>Certification for Market Settlement August 24, 2001</v>
      </c>
    </row>
    <row r="77" customFormat="false" ht="15.75" hidden="false" customHeight="false" outlineLevel="0" collapsed="false">
      <c r="B77" s="5"/>
    </row>
    <row r="78" customFormat="false" ht="15.75" hidden="false" customHeight="false" outlineLevel="0" collapsed="false">
      <c r="B78" s="5" t="str">
        <f aca="false">+B54</f>
        <v>For the Trade Month of April 2001</v>
      </c>
    </row>
    <row r="79" customFormat="false" ht="15.75" hidden="false" customHeight="false" outlineLevel="0" collapsed="false">
      <c r="B79" s="5"/>
    </row>
    <row r="80" customFormat="false" ht="15.75" hidden="false" customHeight="false" outlineLevel="0" collapsed="false">
      <c r="B80" s="5"/>
    </row>
    <row r="81" customFormat="false" ht="15.75" hidden="false" customHeight="false" outlineLevel="0" collapsed="false">
      <c r="B81" s="5" t="s">
        <v>20</v>
      </c>
    </row>
    <row r="82" customFormat="false" ht="15.75" hidden="false" customHeight="false" outlineLevel="0" collapsed="false">
      <c r="B82" s="5"/>
    </row>
    <row r="83" customFormat="false" ht="12.75" hidden="false" customHeight="false" outlineLevel="0" collapsed="false">
      <c r="B83" s="35" t="s">
        <v>21</v>
      </c>
      <c r="C83" s="36"/>
      <c r="D83" s="37"/>
      <c r="E83" s="37"/>
      <c r="F83" s="38" t="n">
        <v>782081536.4</v>
      </c>
      <c r="G83" s="58" t="n">
        <f aca="false">+F83/F85</f>
        <v>0.986125008464263</v>
      </c>
    </row>
    <row r="84" customFormat="false" ht="12.75" hidden="false" customHeight="false" outlineLevel="0" collapsed="false">
      <c r="B84" s="35" t="s">
        <v>22</v>
      </c>
      <c r="C84" s="36"/>
      <c r="D84" s="37"/>
      <c r="E84" s="37"/>
      <c r="F84" s="40" t="n">
        <v>11004055.88</v>
      </c>
      <c r="G84" s="58" t="n">
        <f aca="false">+F84/F85</f>
        <v>0.013874991535737</v>
      </c>
    </row>
    <row r="85" customFormat="false" ht="12.75" hidden="false" customHeight="false" outlineLevel="0" collapsed="false">
      <c r="B85" s="41" t="s">
        <v>23</v>
      </c>
      <c r="C85" s="36"/>
      <c r="D85" s="37"/>
      <c r="E85" s="37"/>
      <c r="F85" s="40" t="n">
        <f aca="false">SUM(F83:F84)</f>
        <v>793085592.28</v>
      </c>
      <c r="G85" s="60" t="n">
        <f aca="false">+F85/F85</f>
        <v>1</v>
      </c>
    </row>
    <row r="86" customFormat="false" ht="15.75" hidden="false" customHeight="false" outlineLevel="0" collapsed="false">
      <c r="B86" s="5"/>
    </row>
    <row r="87" customFormat="false" ht="12.75" hidden="false" customHeight="false" outlineLevel="0" collapsed="false">
      <c r="B87" s="35" t="s">
        <v>166</v>
      </c>
      <c r="C87" s="36"/>
      <c r="D87" s="37"/>
      <c r="E87" s="37"/>
      <c r="F87" s="34" t="n">
        <v>59675885.69</v>
      </c>
    </row>
    <row r="88" customFormat="false" ht="12.75" hidden="false" customHeight="false" outlineLevel="0" collapsed="false">
      <c r="B88" s="35" t="s">
        <v>129</v>
      </c>
      <c r="C88" s="36"/>
      <c r="D88" s="37"/>
      <c r="E88" s="37"/>
      <c r="F88" s="34" t="n">
        <f aca="false">724101.32+3717.88</f>
        <v>727819.2</v>
      </c>
    </row>
    <row r="89" customFormat="false" ht="12.75" hidden="false" customHeight="false" outlineLevel="0" collapsed="false">
      <c r="B89" s="35" t="s">
        <v>129</v>
      </c>
      <c r="C89" s="36"/>
      <c r="D89" s="37"/>
      <c r="E89" s="37"/>
      <c r="F89" s="40" t="n">
        <v>16643322.31</v>
      </c>
    </row>
    <row r="90" customFormat="false" ht="12.75" hidden="false" customHeight="false" outlineLevel="0" collapsed="false">
      <c r="B90" s="41" t="s">
        <v>28</v>
      </c>
      <c r="C90" s="36"/>
      <c r="D90" s="37"/>
      <c r="E90" s="37"/>
      <c r="F90" s="40" t="n">
        <f aca="false">SUM(F87:F89)</f>
        <v>77047027.2</v>
      </c>
      <c r="G90" s="60" t="n">
        <f aca="false">+F90/F85</f>
        <v>0.0971484388948506</v>
      </c>
    </row>
    <row r="91" customFormat="false" ht="15.75" hidden="false" customHeight="false" outlineLevel="0" collapsed="false">
      <c r="B91" s="5"/>
    </row>
    <row r="92" customFormat="false" ht="12.75" hidden="false" customHeight="false" outlineLevel="0" collapsed="false">
      <c r="A92" s="36"/>
      <c r="B92" s="35" t="s">
        <v>131</v>
      </c>
      <c r="C92" s="36"/>
      <c r="D92" s="37"/>
      <c r="E92" s="37"/>
      <c r="F92" s="34" t="n">
        <v>23446.77</v>
      </c>
      <c r="G92" s="35"/>
      <c r="H92" s="35"/>
      <c r="I92" s="35"/>
    </row>
    <row r="93" customFormat="false" ht="12.75" hidden="false" customHeight="false" outlineLevel="0" collapsed="false">
      <c r="A93" s="36"/>
      <c r="B93" s="35" t="s">
        <v>152</v>
      </c>
      <c r="C93" s="36"/>
      <c r="D93" s="37"/>
      <c r="E93" s="37"/>
      <c r="F93" s="34" t="n">
        <v>18586.04</v>
      </c>
      <c r="G93" s="35"/>
      <c r="H93" s="35"/>
      <c r="I93" s="35"/>
    </row>
    <row r="94" customFormat="false" ht="12.75" hidden="false" customHeight="false" outlineLevel="0" collapsed="false">
      <c r="A94" s="36"/>
      <c r="B94" s="35" t="s">
        <v>73</v>
      </c>
      <c r="C94" s="36"/>
      <c r="D94" s="37"/>
      <c r="E94" s="37"/>
      <c r="F94" s="34" t="n">
        <v>171309.95</v>
      </c>
      <c r="G94" s="35"/>
      <c r="H94" s="35"/>
      <c r="I94" s="35"/>
    </row>
    <row r="95" customFormat="false" ht="12.75" hidden="false" customHeight="false" outlineLevel="0" collapsed="false">
      <c r="A95" s="36"/>
      <c r="B95" s="35" t="s">
        <v>74</v>
      </c>
      <c r="C95" s="36"/>
      <c r="D95" s="37"/>
      <c r="E95" s="37"/>
      <c r="F95" s="34" t="n">
        <f aca="false">3183507.98+4743.92-3717.88</f>
        <v>3184534.02</v>
      </c>
      <c r="G95" s="35"/>
      <c r="H95" s="35"/>
      <c r="I95" s="35"/>
    </row>
    <row r="96" customFormat="false" ht="12.75" hidden="false" customHeight="false" outlineLevel="0" collapsed="false">
      <c r="A96" s="36"/>
      <c r="B96" s="35" t="s">
        <v>167</v>
      </c>
      <c r="C96" s="36"/>
      <c r="D96" s="37"/>
      <c r="E96" s="37"/>
      <c r="F96" s="34" t="n">
        <v>9967.98</v>
      </c>
      <c r="G96" s="35"/>
      <c r="H96" s="35"/>
      <c r="I96" s="35"/>
    </row>
    <row r="97" customFormat="false" ht="12.75" hidden="false" customHeight="false" outlineLevel="0" collapsed="false">
      <c r="A97" s="36"/>
      <c r="B97" s="35" t="s">
        <v>75</v>
      </c>
      <c r="C97" s="36"/>
      <c r="D97" s="37"/>
      <c r="E97" s="37"/>
      <c r="F97" s="40" t="n">
        <v>169976.54</v>
      </c>
      <c r="G97" s="35"/>
      <c r="H97" s="35"/>
      <c r="I97" s="35"/>
    </row>
    <row r="98" customFormat="false" ht="12.75" hidden="false" customHeight="false" outlineLevel="0" collapsed="false">
      <c r="B98" s="15" t="s">
        <v>31</v>
      </c>
      <c r="F98" s="63" t="n">
        <f aca="false">SUM(F92:F97)</f>
        <v>3577821.3</v>
      </c>
      <c r="G98" s="60" t="n">
        <f aca="false">+F98/F85</f>
        <v>0.00451126755400298</v>
      </c>
    </row>
    <row r="99" customFormat="false" ht="12.75" hidden="false" customHeight="false" outlineLevel="0" collapsed="false">
      <c r="B99" s="15"/>
      <c r="F99" s="52"/>
      <c r="G99" s="60"/>
    </row>
    <row r="100" customFormat="false" ht="12.75" hidden="false" customHeight="false" outlineLevel="0" collapsed="false">
      <c r="A100" s="36"/>
      <c r="B100" s="35" t="s">
        <v>168</v>
      </c>
      <c r="C100" s="36"/>
      <c r="D100" s="37"/>
      <c r="E100" s="37"/>
      <c r="F100" s="40" t="n">
        <v>5118340.29</v>
      </c>
      <c r="G100" s="60" t="n">
        <f aca="false">+F100/F85</f>
        <v>0.00645370479532424</v>
      </c>
      <c r="H100" s="35"/>
      <c r="I100" s="35"/>
    </row>
    <row r="101" customFormat="false" ht="15.75" hidden="false" customHeight="false" outlineLevel="0" collapsed="false">
      <c r="B101" s="5"/>
    </row>
    <row r="102" customFormat="false" ht="16.5" hidden="false" customHeight="false" outlineLevel="0" collapsed="false">
      <c r="B102" s="45" t="s">
        <v>32</v>
      </c>
      <c r="C102" s="46"/>
      <c r="D102" s="47"/>
      <c r="E102" s="47"/>
      <c r="F102" s="48" t="n">
        <f aca="false">+F85-F90-F98+F100</f>
        <v>717579084.07</v>
      </c>
      <c r="G102" s="61" t="n">
        <f aca="false">+F102/F85</f>
        <v>0.904793998346471</v>
      </c>
      <c r="I102" s="54" t="n">
        <f aca="false">+F70-F102</f>
        <v>0</v>
      </c>
    </row>
    <row r="103" customFormat="false" ht="15.75" hidden="false" customHeight="false" outlineLevel="0" collapsed="false">
      <c r="B103" s="50"/>
      <c r="C103" s="36"/>
      <c r="D103" s="37"/>
      <c r="E103" s="37"/>
      <c r="F103" s="51"/>
    </row>
    <row r="104" customFormat="false" ht="15.75" hidden="false" customHeight="false" outlineLevel="0" collapsed="false">
      <c r="B104" s="5"/>
    </row>
    <row r="105" customFormat="false" ht="15.75" hidden="false" customHeight="false" outlineLevel="0" collapsed="false">
      <c r="B105" s="50" t="s">
        <v>33</v>
      </c>
      <c r="C105" s="36"/>
      <c r="D105" s="37"/>
      <c r="E105" s="37"/>
      <c r="F105" s="35"/>
    </row>
    <row r="106" customFormat="false" ht="15.75" hidden="false" customHeight="false" outlineLevel="0" collapsed="false">
      <c r="B106" s="50"/>
      <c r="C106" s="36"/>
      <c r="D106" s="37"/>
      <c r="E106" s="37"/>
      <c r="F106" s="35"/>
    </row>
    <row r="107" customFormat="false" ht="12.75" hidden="false" customHeight="false" outlineLevel="0" collapsed="false">
      <c r="A107" s="36"/>
      <c r="B107" s="35" t="s">
        <v>21</v>
      </c>
      <c r="C107" s="36"/>
      <c r="D107" s="37"/>
      <c r="E107" s="37"/>
      <c r="F107" s="38" t="n">
        <v>781819933.97</v>
      </c>
      <c r="G107" s="64" t="n">
        <f aca="false">+F107/F109</f>
        <v>0.995923128014252</v>
      </c>
      <c r="H107" s="35"/>
      <c r="I107" s="35"/>
    </row>
    <row r="108" customFormat="false" ht="12.75" hidden="false" customHeight="false" outlineLevel="0" collapsed="false">
      <c r="B108" s="35" t="s">
        <v>22</v>
      </c>
      <c r="C108" s="36"/>
      <c r="D108" s="37"/>
      <c r="E108" s="37"/>
      <c r="F108" s="40" t="n">
        <v>3200427.52</v>
      </c>
      <c r="G108" s="64" t="n">
        <f aca="false">+F108/F109</f>
        <v>0.00407687198574756</v>
      </c>
    </row>
    <row r="109" customFormat="false" ht="12.75" hidden="false" customHeight="false" outlineLevel="0" collapsed="false">
      <c r="B109" s="41" t="s">
        <v>23</v>
      </c>
      <c r="C109" s="36"/>
      <c r="D109" s="37"/>
      <c r="E109" s="37"/>
      <c r="F109" s="40" t="n">
        <f aca="false">SUM(F107:F108)</f>
        <v>785020361.49</v>
      </c>
      <c r="G109" s="60" t="n">
        <f aca="false">+F109/F109</f>
        <v>1</v>
      </c>
    </row>
    <row r="110" customFormat="false" ht="15.75" hidden="false" customHeight="false" outlineLevel="0" collapsed="false">
      <c r="B110" s="5"/>
    </row>
    <row r="111" customFormat="false" ht="12.75" hidden="false" customHeight="false" outlineLevel="0" collapsed="false">
      <c r="B111" s="35" t="s">
        <v>169</v>
      </c>
      <c r="C111" s="36"/>
      <c r="D111" s="37"/>
      <c r="E111" s="37"/>
      <c r="F111" s="34" t="n">
        <v>53933943.25</v>
      </c>
    </row>
    <row r="112" customFormat="false" ht="12.75" hidden="false" customHeight="false" outlineLevel="0" collapsed="false">
      <c r="B112" s="35" t="s">
        <v>170</v>
      </c>
      <c r="C112" s="36"/>
      <c r="D112" s="37"/>
      <c r="E112" s="37"/>
      <c r="F112" s="34" t="n">
        <v>1302886.05</v>
      </c>
    </row>
    <row r="113" customFormat="false" ht="12.75" hidden="false" customHeight="false" outlineLevel="0" collapsed="false">
      <c r="B113" s="35" t="s">
        <v>138</v>
      </c>
      <c r="C113" s="36"/>
      <c r="D113" s="37"/>
      <c r="E113" s="37"/>
      <c r="F113" s="40" t="n">
        <v>16774321.14</v>
      </c>
    </row>
    <row r="114" customFormat="false" ht="12.75" hidden="false" customHeight="false" outlineLevel="0" collapsed="false">
      <c r="B114" s="41" t="s">
        <v>39</v>
      </c>
      <c r="C114" s="36"/>
      <c r="D114" s="37"/>
      <c r="E114" s="37"/>
      <c r="F114" s="40" t="n">
        <f aca="false">SUM(F111:F113)</f>
        <v>72011150.44</v>
      </c>
      <c r="G114" s="60" t="n">
        <f aca="false">+F114/F109</f>
        <v>0.0917315702529294</v>
      </c>
    </row>
    <row r="115" customFormat="false" ht="15.75" hidden="false" customHeight="false" outlineLevel="0" collapsed="false">
      <c r="B115" s="5"/>
    </row>
    <row r="116" customFormat="false" ht="12.75" hidden="false" customHeight="false" outlineLevel="0" collapsed="false">
      <c r="B116" s="35" t="s">
        <v>106</v>
      </c>
      <c r="C116" s="36"/>
      <c r="D116" s="37"/>
      <c r="E116" s="37"/>
      <c r="F116" s="52" t="n">
        <v>24785.08</v>
      </c>
    </row>
    <row r="117" customFormat="false" ht="12.75" hidden="false" customHeight="false" outlineLevel="0" collapsed="false">
      <c r="B117" s="35" t="s">
        <v>70</v>
      </c>
      <c r="C117" s="36"/>
      <c r="D117" s="37"/>
      <c r="E117" s="37"/>
      <c r="F117" s="52" t="n">
        <v>2376.69</v>
      </c>
    </row>
    <row r="118" customFormat="false" ht="12.75" hidden="false" customHeight="false" outlineLevel="0" collapsed="false">
      <c r="B118" s="35" t="s">
        <v>84</v>
      </c>
      <c r="C118" s="36"/>
      <c r="D118" s="37"/>
      <c r="E118" s="37"/>
      <c r="F118" s="52" t="n">
        <v>10525.68</v>
      </c>
    </row>
    <row r="119" customFormat="false" ht="12.75" hidden="false" customHeight="false" outlineLevel="0" collapsed="false">
      <c r="B119" s="35" t="s">
        <v>139</v>
      </c>
      <c r="C119" s="36"/>
      <c r="D119" s="37"/>
      <c r="E119" s="37"/>
      <c r="F119" s="52" t="n">
        <v>1513.5</v>
      </c>
    </row>
    <row r="120" customFormat="false" ht="12.75" hidden="false" customHeight="false" outlineLevel="0" collapsed="false">
      <c r="B120" s="35" t="s">
        <v>85</v>
      </c>
      <c r="C120" s="36"/>
      <c r="D120" s="37"/>
      <c r="E120" s="37"/>
      <c r="F120" s="52" t="n">
        <v>205.19</v>
      </c>
    </row>
    <row r="121" customFormat="false" ht="12.75" hidden="false" customHeight="false" outlineLevel="0" collapsed="false">
      <c r="B121" s="35" t="s">
        <v>110</v>
      </c>
      <c r="C121" s="36"/>
      <c r="D121" s="37"/>
      <c r="E121" s="37"/>
      <c r="F121" s="52" t="n">
        <f aca="false">3188251.9-3717.88</f>
        <v>3184534.02</v>
      </c>
    </row>
    <row r="122" customFormat="false" ht="12.75" hidden="false" customHeight="false" outlineLevel="0" collapsed="false">
      <c r="B122" s="35" t="s">
        <v>155</v>
      </c>
      <c r="C122" s="36"/>
      <c r="D122" s="37"/>
      <c r="E122" s="37"/>
      <c r="F122" s="52" t="n">
        <v>358212.75</v>
      </c>
    </row>
    <row r="123" customFormat="false" ht="12.75" hidden="false" customHeight="false" outlineLevel="0" collapsed="false">
      <c r="B123" s="35" t="s">
        <v>171</v>
      </c>
      <c r="C123" s="36"/>
      <c r="D123" s="37"/>
      <c r="E123" s="37"/>
      <c r="F123" s="52" t="n">
        <v>9950.21</v>
      </c>
    </row>
    <row r="124" customFormat="false" ht="12.75" hidden="false" customHeight="false" outlineLevel="0" collapsed="false">
      <c r="B124" s="35" t="s">
        <v>172</v>
      </c>
      <c r="C124" s="36"/>
      <c r="D124" s="37"/>
      <c r="E124" s="37"/>
      <c r="F124" s="52" t="n">
        <v>6264.07</v>
      </c>
    </row>
    <row r="125" customFormat="false" ht="12.75" hidden="false" customHeight="false" outlineLevel="0" collapsed="false">
      <c r="B125" s="35" t="s">
        <v>173</v>
      </c>
      <c r="C125" s="36"/>
      <c r="D125" s="37"/>
      <c r="E125" s="37"/>
      <c r="F125" s="63" t="n">
        <v>52237.34</v>
      </c>
    </row>
    <row r="126" customFormat="false" ht="12.75" hidden="false" customHeight="false" outlineLevel="0" collapsed="false">
      <c r="B126" s="15" t="s">
        <v>31</v>
      </c>
      <c r="C126" s="36"/>
      <c r="D126" s="37"/>
      <c r="E126" s="37"/>
      <c r="F126" s="63" t="n">
        <f aca="false">SUM(F116:F125)</f>
        <v>3650604.53</v>
      </c>
      <c r="G126" s="60" t="n">
        <f aca="false">+F126/F109</f>
        <v>0.00465033100933969</v>
      </c>
    </row>
    <row r="127" customFormat="false" ht="15.75" hidden="false" customHeight="false" outlineLevel="0" collapsed="false">
      <c r="B127" s="5"/>
    </row>
    <row r="128" customFormat="false" ht="16.5" hidden="false" customHeight="false" outlineLevel="0" collapsed="false">
      <c r="B128" s="45" t="s">
        <v>53</v>
      </c>
      <c r="C128" s="46"/>
      <c r="D128" s="47"/>
      <c r="E128" s="47"/>
      <c r="F128" s="48" t="n">
        <f aca="false">+F109-F114-F126</f>
        <v>709358606.52</v>
      </c>
      <c r="G128" s="61" t="n">
        <f aca="false">+F128/F109</f>
        <v>0.903618098737731</v>
      </c>
      <c r="I128" s="54" t="n">
        <f aca="false">+F128-F10</f>
        <v>0</v>
      </c>
    </row>
    <row r="129" customFormat="false" ht="15.75" hidden="false" customHeight="false" outlineLevel="0" collapsed="false">
      <c r="B129" s="5"/>
    </row>
  </sheetData>
  <printOptions headings="false" gridLines="false" gridLinesSet="true" horizontalCentered="false" verticalCentered="false"/>
  <pageMargins left="0.5" right="0.25" top="0.5" bottom="0.5" header="0.511811023622047" footer="0"/>
  <pageSetup paperSize="1" scale="94" fitToWidth="1" fitToHeight="1" pageOrder="downThenOver" orientation="portrait" blackAndWhite="false" draft="false" cellComments="none" horizontalDpi="300" verticalDpi="300" copies="1"/>
  <headerFooter differentFirst="false" differentOddEven="false">
    <oddHeader/>
    <oddFooter>&amp;LCertification August 24, 2001&amp;CPage &amp;P of &amp;N&amp;RTrade Month April 2001</oddFooter>
  </headerFooter>
  <rowBreaks count="2" manualBreakCount="2">
    <brk id="51" man="true" max="16383" min="0"/>
    <brk id="75" man="true" max="16383" min="0"/>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34"/>
  <sheetViews>
    <sheetView showFormulas="false" showGridLines="true" showRowColHeaders="true" showZeros="true" rightToLeft="false" tabSelected="true" showOutlineSymbols="true" defaultGridColor="true" view="normal" topLeftCell="A63" colorId="64" zoomScale="100" zoomScaleNormal="100" zoomScalePageLayoutView="100" workbookViewId="0">
      <selection pane="topLeft" activeCell="D74" activeCellId="0" sqref="D74"/>
    </sheetView>
  </sheetViews>
  <sheetFormatPr defaultColWidth="9.0546875" defaultRowHeight="12.75" customHeight="true" zeroHeight="false" outlineLevelRow="0" outlineLevelCol="0"/>
  <cols>
    <col collapsed="false" customWidth="true" hidden="false" outlineLevel="0" max="1" min="1" style="1" width="6.85"/>
    <col collapsed="false" customWidth="true" hidden="false" outlineLevel="0" max="2" min="2" style="0" width="50.56"/>
    <col collapsed="false" customWidth="true" hidden="false" outlineLevel="0" max="3" min="3" style="1" width="8.41"/>
    <col collapsed="false" customWidth="true" hidden="false" outlineLevel="0" max="4" min="4" style="2" width="5.41"/>
    <col collapsed="false" customWidth="true" hidden="false" outlineLevel="0" max="5" min="5" style="2" width="4.41"/>
    <col collapsed="false" customWidth="true" hidden="false" outlineLevel="0" max="6" min="6" style="0" width="22.56"/>
    <col collapsed="false" customWidth="true" hidden="false" outlineLevel="0" max="7" min="7" style="0" width="12.28"/>
    <col collapsed="false" customWidth="true" hidden="false" outlineLevel="0" max="8" min="8" style="0" width="11.13"/>
    <col collapsed="false" customWidth="true" hidden="false" outlineLevel="0" max="9" min="9" style="0" width="16.84"/>
  </cols>
  <sheetData>
    <row r="1" customFormat="false" ht="15.75" hidden="false" customHeight="false" outlineLevel="0" collapsed="false">
      <c r="B1" s="3" t="s">
        <v>0</v>
      </c>
    </row>
    <row r="2" customFormat="false" ht="15.75" hidden="false" customHeight="false" outlineLevel="0" collapsed="false">
      <c r="B2" s="5"/>
    </row>
    <row r="3" customFormat="false" ht="15.75" hidden="false" customHeight="false" outlineLevel="0" collapsed="false">
      <c r="B3" s="5" t="s">
        <v>174</v>
      </c>
    </row>
    <row r="4" customFormat="false" ht="15.75" hidden="false" customHeight="false" outlineLevel="0" collapsed="false">
      <c r="B4" s="5"/>
    </row>
    <row r="5" customFormat="false" ht="15.75" hidden="false" customHeight="false" outlineLevel="0" collapsed="false">
      <c r="B5" s="5"/>
    </row>
    <row r="6" customFormat="false" ht="15.75" hidden="false" customHeight="false" outlineLevel="0" collapsed="false">
      <c r="B6" s="5"/>
    </row>
    <row r="7" customFormat="false" ht="16.5" hidden="false" customHeight="false" outlineLevel="0" collapsed="false">
      <c r="A7" s="5" t="s">
        <v>55</v>
      </c>
    </row>
    <row r="8" customFormat="false" ht="35.25" hidden="false" customHeight="false" outlineLevel="0" collapsed="false">
      <c r="A8" s="6" t="s">
        <v>3</v>
      </c>
      <c r="B8" s="6" t="s">
        <v>4</v>
      </c>
      <c r="C8" s="6" t="s">
        <v>5</v>
      </c>
      <c r="D8" s="7"/>
      <c r="E8" s="8"/>
      <c r="F8" s="9" t="s">
        <v>6</v>
      </c>
      <c r="G8" s="10" t="s">
        <v>7</v>
      </c>
      <c r="H8" s="11"/>
      <c r="I8" s="11"/>
    </row>
    <row r="9" customFormat="false" ht="12" hidden="false" customHeight="false" outlineLevel="0" collapsed="false">
      <c r="A9" s="12"/>
      <c r="B9" s="12"/>
      <c r="C9" s="12"/>
      <c r="D9" s="12"/>
      <c r="E9" s="12"/>
      <c r="F9" s="13"/>
      <c r="G9" s="12"/>
      <c r="H9" s="12"/>
      <c r="I9" s="12"/>
    </row>
    <row r="10" customFormat="false" ht="13.5" hidden="false" customHeight="false" outlineLevel="0" collapsed="false">
      <c r="A10" s="14"/>
      <c r="B10" s="15" t="s">
        <v>175</v>
      </c>
      <c r="C10" s="73"/>
      <c r="D10" s="16"/>
      <c r="E10" s="16"/>
      <c r="F10" s="17" t="n">
        <v>573282542.03</v>
      </c>
      <c r="G10" s="18" t="n">
        <f aca="false">+F10/F$10</f>
        <v>1</v>
      </c>
      <c r="H10" s="15"/>
      <c r="I10" s="15"/>
    </row>
    <row r="11" customFormat="false" ht="13.5" hidden="false" customHeight="false" outlineLevel="0" collapsed="false">
      <c r="A11" s="14"/>
      <c r="B11" s="15"/>
      <c r="C11" s="73"/>
      <c r="D11" s="16"/>
      <c r="E11" s="16"/>
      <c r="F11" s="68"/>
      <c r="G11" s="43"/>
      <c r="H11" s="15"/>
      <c r="I11" s="15"/>
    </row>
    <row r="12" customFormat="false" ht="12.75" hidden="false" customHeight="false" outlineLevel="0" collapsed="false">
      <c r="A12" s="14"/>
      <c r="B12" s="15"/>
      <c r="C12" s="73"/>
      <c r="D12" s="16"/>
      <c r="E12" s="16"/>
      <c r="F12" s="68"/>
      <c r="G12" s="43"/>
      <c r="H12" s="15"/>
      <c r="I12" s="15"/>
    </row>
    <row r="13" customFormat="false" ht="12.75" hidden="false" customHeight="false" outlineLevel="0" collapsed="false">
      <c r="A13" s="14"/>
      <c r="B13" s="14"/>
      <c r="C13" s="74"/>
      <c r="D13" s="16"/>
      <c r="E13" s="16"/>
      <c r="F13" s="68"/>
      <c r="G13" s="43"/>
      <c r="H13" s="15"/>
      <c r="I13" s="15"/>
    </row>
    <row r="14" customFormat="false" ht="15.75" hidden="false" customHeight="false" outlineLevel="0" collapsed="false">
      <c r="B14" s="5"/>
      <c r="C14" s="75"/>
    </row>
    <row r="15" customFormat="false" ht="15.75" hidden="false" customHeight="false" outlineLevel="0" collapsed="false">
      <c r="B15" s="5"/>
      <c r="C15" s="75"/>
    </row>
    <row r="16" customFormat="false" ht="15.75" hidden="false" customHeight="false" outlineLevel="0" collapsed="false">
      <c r="A16" s="5" t="s">
        <v>9</v>
      </c>
      <c r="C16" s="75"/>
    </row>
    <row r="17" customFormat="false" ht="16.5" hidden="false" customHeight="false" outlineLevel="0" collapsed="false">
      <c r="A17" s="5" t="s">
        <v>176</v>
      </c>
      <c r="C17" s="75"/>
    </row>
    <row r="18" customFormat="false" ht="24" hidden="false" customHeight="false" outlineLevel="0" collapsed="false">
      <c r="A18" s="6" t="s">
        <v>3</v>
      </c>
      <c r="B18" s="6" t="s">
        <v>4</v>
      </c>
      <c r="C18" s="76" t="s">
        <v>11</v>
      </c>
      <c r="D18" s="6" t="s">
        <v>12</v>
      </c>
      <c r="E18" s="6" t="s">
        <v>13</v>
      </c>
      <c r="F18" s="10" t="s">
        <v>14</v>
      </c>
      <c r="G18" s="10" t="s">
        <v>15</v>
      </c>
      <c r="H18" s="11"/>
      <c r="I18" s="11"/>
    </row>
    <row r="19" customFormat="false" ht="13.5" hidden="false" customHeight="false" outlineLevel="0" collapsed="false">
      <c r="C19" s="75"/>
    </row>
    <row r="20" customFormat="false" ht="12.75" hidden="false" customHeight="false" outlineLevel="0" collapsed="false">
      <c r="A20" s="22" t="n">
        <v>1007</v>
      </c>
      <c r="B20" s="20" t="s">
        <v>118</v>
      </c>
      <c r="C20" s="55" t="n">
        <v>37097</v>
      </c>
      <c r="D20" s="77" t="n">
        <v>15887</v>
      </c>
      <c r="E20" s="22" t="s">
        <v>91</v>
      </c>
      <c r="F20" s="56" t="n">
        <v>47461.45</v>
      </c>
      <c r="G20" s="24" t="n">
        <f aca="false">+F20/$F$78</f>
        <v>8.30670303495574E-005</v>
      </c>
    </row>
    <row r="21" customFormat="false" ht="12.75" hidden="false" customHeight="false" outlineLevel="0" collapsed="false">
      <c r="A21" s="22" t="n">
        <v>2606</v>
      </c>
      <c r="B21" s="20" t="s">
        <v>96</v>
      </c>
      <c r="C21" s="55" t="n">
        <v>37097</v>
      </c>
      <c r="D21" s="77" t="n">
        <v>15855</v>
      </c>
      <c r="E21" s="22" t="s">
        <v>91</v>
      </c>
      <c r="F21" s="56" t="n">
        <v>128935.29</v>
      </c>
      <c r="G21" s="24" t="n">
        <f aca="false">+F21/$F$78</f>
        <v>0.000225662546078112</v>
      </c>
    </row>
    <row r="22" customFormat="false" ht="12.75" hidden="false" customHeight="false" outlineLevel="0" collapsed="false">
      <c r="A22" s="22" t="n">
        <v>1504</v>
      </c>
      <c r="B22" s="20" t="s">
        <v>143</v>
      </c>
      <c r="C22" s="55" t="n">
        <v>37097</v>
      </c>
      <c r="D22" s="77" t="n">
        <v>15871</v>
      </c>
      <c r="E22" s="22" t="s">
        <v>91</v>
      </c>
      <c r="F22" s="56" t="n">
        <v>3982.57</v>
      </c>
      <c r="G22" s="24" t="n">
        <f aca="false">+F22/$F$78</f>
        <v>6.97029406095341E-006</v>
      </c>
    </row>
    <row r="23" customFormat="false" ht="12.75" hidden="false" customHeight="false" outlineLevel="0" collapsed="false">
      <c r="A23" s="22" t="n">
        <v>1020</v>
      </c>
      <c r="B23" s="20" t="s">
        <v>177</v>
      </c>
      <c r="C23" s="55" t="n">
        <v>37097</v>
      </c>
      <c r="D23" s="77" t="n">
        <v>15880</v>
      </c>
      <c r="E23" s="22" t="s">
        <v>91</v>
      </c>
      <c r="F23" s="56" t="n">
        <v>147258.24</v>
      </c>
      <c r="G23" s="24" t="n">
        <f aca="false">+F23/$F$78</f>
        <v>0.000257731373384134</v>
      </c>
    </row>
    <row r="24" customFormat="false" ht="12.75" hidden="false" customHeight="false" outlineLevel="0" collapsed="false">
      <c r="A24" s="22" t="n">
        <v>1544</v>
      </c>
      <c r="B24" s="20" t="s">
        <v>93</v>
      </c>
      <c r="C24" s="55" t="n">
        <v>37097</v>
      </c>
      <c r="D24" s="77" t="n">
        <v>15868</v>
      </c>
      <c r="E24" s="22" t="s">
        <v>91</v>
      </c>
      <c r="F24" s="56" t="n">
        <v>135747.91</v>
      </c>
      <c r="G24" s="24" t="n">
        <f aca="false">+F24/$F$78</f>
        <v>0.000237585993682431</v>
      </c>
    </row>
    <row r="25" customFormat="false" ht="12.75" hidden="false" customHeight="false" outlineLevel="0" collapsed="false">
      <c r="A25" s="22" t="n">
        <v>1022</v>
      </c>
      <c r="B25" s="20" t="s">
        <v>178</v>
      </c>
      <c r="C25" s="55" t="n">
        <v>37116</v>
      </c>
      <c r="D25" s="77" t="n">
        <v>16019</v>
      </c>
      <c r="E25" s="22" t="s">
        <v>91</v>
      </c>
      <c r="F25" s="56" t="n">
        <v>304.18</v>
      </c>
      <c r="G25" s="24" t="n">
        <f aca="false">+F25/$F$78</f>
        <v>5.32375839586199E-007</v>
      </c>
      <c r="I25" s="62" t="n">
        <f aca="false">SUM(F20:F29)-3630499.36</f>
        <v>0</v>
      </c>
    </row>
    <row r="26" customFormat="false" ht="12.75" hidden="false" customHeight="false" outlineLevel="0" collapsed="false">
      <c r="A26" s="22" t="n">
        <v>1012</v>
      </c>
      <c r="B26" s="20" t="s">
        <v>148</v>
      </c>
      <c r="C26" s="55" t="n">
        <v>37097</v>
      </c>
      <c r="D26" s="77" t="n">
        <v>15885</v>
      </c>
      <c r="E26" s="22" t="s">
        <v>91</v>
      </c>
      <c r="F26" s="56" t="n">
        <v>2420.82</v>
      </c>
      <c r="G26" s="24" t="n">
        <f aca="false">+F26/$F$78</f>
        <v>4.2369191925408E-006</v>
      </c>
    </row>
    <row r="27" customFormat="false" ht="12.75" hidden="false" customHeight="false" outlineLevel="0" collapsed="false">
      <c r="A27" s="22" t="n">
        <v>2528</v>
      </c>
      <c r="B27" s="20" t="s">
        <v>94</v>
      </c>
      <c r="C27" s="55" t="n">
        <v>37097</v>
      </c>
      <c r="D27" s="77" t="n">
        <v>15857</v>
      </c>
      <c r="E27" s="22" t="s">
        <v>91</v>
      </c>
      <c r="F27" s="56" t="n">
        <v>238119.93</v>
      </c>
      <c r="G27" s="24" t="n">
        <f aca="false">+F27/$F$78</f>
        <v>0.000416757504293369</v>
      </c>
    </row>
    <row r="28" customFormat="false" ht="12.75" hidden="false" customHeight="false" outlineLevel="0" collapsed="false">
      <c r="A28" s="22" t="n">
        <v>1010</v>
      </c>
      <c r="B28" s="20" t="s">
        <v>60</v>
      </c>
      <c r="C28" s="55" t="n">
        <v>37097</v>
      </c>
      <c r="D28" s="77" t="n">
        <v>15886</v>
      </c>
      <c r="E28" s="22" t="s">
        <v>91</v>
      </c>
      <c r="F28" s="56" t="n">
        <v>2918351.14</v>
      </c>
      <c r="G28" s="24" t="n">
        <f aca="false">+F28/$F$78</f>
        <v>0.00510769819963456</v>
      </c>
    </row>
    <row r="29" customFormat="false" ht="12.75" hidden="false" customHeight="false" outlineLevel="0" collapsed="false">
      <c r="A29" s="22" t="n">
        <v>1010</v>
      </c>
      <c r="B29" s="20" t="s">
        <v>60</v>
      </c>
      <c r="C29" s="55" t="n">
        <v>37116</v>
      </c>
      <c r="D29" s="77" t="n">
        <v>16026</v>
      </c>
      <c r="E29" s="22" t="s">
        <v>91</v>
      </c>
      <c r="F29" s="56" t="n">
        <v>7917.83</v>
      </c>
      <c r="G29" s="24" t="n">
        <f aca="false">+F29/$F$78</f>
        <v>1.3857786159349E-005</v>
      </c>
    </row>
    <row r="30" customFormat="false" ht="12.75" hidden="false" customHeight="false" outlineLevel="0" collapsed="false">
      <c r="A30" s="22" t="n">
        <v>1007</v>
      </c>
      <c r="B30" s="20" t="s">
        <v>118</v>
      </c>
      <c r="C30" s="55" t="n">
        <v>37097</v>
      </c>
      <c r="D30" s="77" t="n">
        <v>15973</v>
      </c>
      <c r="E30" s="22" t="s">
        <v>17</v>
      </c>
      <c r="F30" s="56" t="n">
        <v>789564.01</v>
      </c>
      <c r="G30" s="24" t="n">
        <f aca="false">+F30/$F$78</f>
        <v>0.00138189493961074</v>
      </c>
    </row>
    <row r="31" customFormat="false" ht="12.75" hidden="false" customHeight="false" outlineLevel="0" collapsed="false">
      <c r="A31" s="22" t="n">
        <v>2606</v>
      </c>
      <c r="B31" s="20" t="s">
        <v>96</v>
      </c>
      <c r="C31" s="55" t="n">
        <v>37097</v>
      </c>
      <c r="D31" s="77" t="n">
        <v>15918</v>
      </c>
      <c r="E31" s="22" t="s">
        <v>17</v>
      </c>
      <c r="F31" s="56" t="n">
        <v>2175341.47</v>
      </c>
      <c r="G31" s="24" t="n">
        <f aca="false">+F31/$F$78</f>
        <v>0.00380728266644068</v>
      </c>
    </row>
    <row r="32" customFormat="false" ht="12.75" hidden="false" customHeight="false" outlineLevel="0" collapsed="false">
      <c r="A32" s="22" t="n">
        <v>2606</v>
      </c>
      <c r="B32" s="20" t="s">
        <v>96</v>
      </c>
      <c r="C32" s="55" t="n">
        <v>37116</v>
      </c>
      <c r="D32" s="77" t="n">
        <v>16059</v>
      </c>
      <c r="E32" s="22" t="s">
        <v>17</v>
      </c>
      <c r="F32" s="56" t="n">
        <v>183772.95</v>
      </c>
      <c r="G32" s="24" t="n">
        <f aca="false">+F32/$F$78</f>
        <v>0.000321639419256633</v>
      </c>
    </row>
    <row r="33" customFormat="false" ht="12.75" hidden="false" customHeight="false" outlineLevel="0" collapsed="false">
      <c r="A33" s="22" t="n">
        <v>1164</v>
      </c>
      <c r="B33" s="20" t="s">
        <v>179</v>
      </c>
      <c r="C33" s="55" t="n">
        <v>37097</v>
      </c>
      <c r="D33" s="77" t="n">
        <v>15954</v>
      </c>
      <c r="E33" s="22" t="s">
        <v>17</v>
      </c>
      <c r="F33" s="56" t="n">
        <v>5754</v>
      </c>
      <c r="G33" s="24" t="n">
        <f aca="false">+F33/$F$78</f>
        <v>1.00706508678381E-005</v>
      </c>
    </row>
    <row r="34" customFormat="false" ht="12.75" hidden="false" customHeight="false" outlineLevel="0" collapsed="false">
      <c r="A34" s="22" t="n">
        <v>1504</v>
      </c>
      <c r="B34" s="20" t="s">
        <v>143</v>
      </c>
      <c r="C34" s="55" t="n">
        <v>37097</v>
      </c>
      <c r="D34" s="77" t="n">
        <v>15940</v>
      </c>
      <c r="E34" s="22" t="s">
        <v>17</v>
      </c>
      <c r="F34" s="56" t="n">
        <v>24028.63</v>
      </c>
      <c r="G34" s="24" t="n">
        <f aca="false">+F34/$F$78</f>
        <v>4.20549085092909E-005</v>
      </c>
    </row>
    <row r="35" customFormat="false" ht="12.75" hidden="false" customHeight="false" outlineLevel="0" collapsed="false">
      <c r="A35" s="22" t="n">
        <v>1504</v>
      </c>
      <c r="B35" s="20" t="s">
        <v>143</v>
      </c>
      <c r="C35" s="55" t="n">
        <v>37116</v>
      </c>
      <c r="D35" s="77" t="n">
        <v>16081</v>
      </c>
      <c r="E35" s="22" t="s">
        <v>17</v>
      </c>
      <c r="F35" s="56" t="n">
        <v>728.62</v>
      </c>
      <c r="G35" s="24" t="n">
        <f aca="false">+F35/$F$78</f>
        <v>1.27523073259023E-006</v>
      </c>
    </row>
    <row r="36" customFormat="false" ht="12.75" hidden="false" customHeight="false" outlineLevel="0" collapsed="false">
      <c r="A36" s="22" t="n">
        <v>1103</v>
      </c>
      <c r="B36" s="20" t="s">
        <v>123</v>
      </c>
      <c r="C36" s="55" t="n">
        <v>37116</v>
      </c>
      <c r="D36" s="77" t="n">
        <v>16099</v>
      </c>
      <c r="E36" s="22" t="s">
        <v>17</v>
      </c>
      <c r="F36" s="56" t="n">
        <v>246916.66</v>
      </c>
      <c r="G36" s="24" t="n">
        <f aca="false">+F36/$F$78</f>
        <v>0.00043215354124308</v>
      </c>
    </row>
    <row r="37" customFormat="false" ht="12.75" hidden="false" customHeight="false" outlineLevel="0" collapsed="false">
      <c r="A37" s="77" t="n">
        <v>2746</v>
      </c>
      <c r="B37" s="78" t="s">
        <v>158</v>
      </c>
      <c r="C37" s="55" t="n">
        <v>37097</v>
      </c>
      <c r="D37" s="77" t="n">
        <v>15912</v>
      </c>
      <c r="E37" s="22" t="s">
        <v>17</v>
      </c>
      <c r="F37" s="56" t="n">
        <v>174563.55</v>
      </c>
      <c r="G37" s="79" t="n">
        <f aca="false">+F37/$F$78</f>
        <v>0.000305521127268056</v>
      </c>
    </row>
    <row r="38" customFormat="false" ht="12.75" hidden="false" customHeight="false" outlineLevel="0" collapsed="false">
      <c r="A38" s="77" t="n">
        <v>1017</v>
      </c>
      <c r="B38" s="78" t="s">
        <v>145</v>
      </c>
      <c r="C38" s="55" t="n">
        <v>37097</v>
      </c>
      <c r="D38" s="77" t="n">
        <v>15966</v>
      </c>
      <c r="E38" s="22" t="s">
        <v>17</v>
      </c>
      <c r="F38" s="56" t="n">
        <v>17134041.28</v>
      </c>
      <c r="G38" s="79" t="n">
        <f aca="false">+F38/$F$78</f>
        <v>0.0299879992502616</v>
      </c>
    </row>
    <row r="39" customFormat="false" ht="12.75" hidden="false" customHeight="false" outlineLevel="0" collapsed="false">
      <c r="A39" s="77" t="n">
        <v>1017</v>
      </c>
      <c r="B39" s="78" t="s">
        <v>145</v>
      </c>
      <c r="C39" s="55" t="n">
        <v>37116</v>
      </c>
      <c r="D39" s="77" t="n">
        <v>16107</v>
      </c>
      <c r="E39" s="22" t="s">
        <v>17</v>
      </c>
      <c r="F39" s="56" t="n">
        <v>1142298.74</v>
      </c>
      <c r="G39" s="79" t="n">
        <f aca="false">+F39/$F$78</f>
        <v>0.00199925126821539</v>
      </c>
    </row>
    <row r="40" customFormat="false" ht="12.75" hidden="false" customHeight="false" outlineLevel="0" collapsed="false">
      <c r="A40" s="22" t="n">
        <v>1020</v>
      </c>
      <c r="B40" s="20" t="s">
        <v>177</v>
      </c>
      <c r="C40" s="55" t="n">
        <v>37097</v>
      </c>
      <c r="D40" s="77" t="n">
        <v>15963</v>
      </c>
      <c r="E40" s="22" t="s">
        <v>17</v>
      </c>
      <c r="F40" s="56" t="n">
        <v>1510423.76</v>
      </c>
      <c r="G40" s="24" t="n">
        <f aca="false">+F40/$F$78</f>
        <v>0.00264354368255948</v>
      </c>
    </row>
    <row r="41" customFormat="false" ht="12.75" hidden="false" customHeight="false" outlineLevel="0" collapsed="false">
      <c r="A41" s="22" t="n">
        <v>1020</v>
      </c>
      <c r="B41" s="20" t="s">
        <v>177</v>
      </c>
      <c r="C41" s="55" t="n">
        <v>37116</v>
      </c>
      <c r="D41" s="77" t="n">
        <v>16104</v>
      </c>
      <c r="E41" s="22" t="s">
        <v>17</v>
      </c>
      <c r="F41" s="56" t="n">
        <v>286025.24</v>
      </c>
      <c r="G41" s="24" t="n">
        <f aca="false">+F41/$F$78</f>
        <v>0.000500601378420159</v>
      </c>
    </row>
    <row r="42" customFormat="false" ht="12.75" hidden="false" customHeight="false" outlineLevel="0" collapsed="false">
      <c r="A42" s="22" t="n">
        <v>1544</v>
      </c>
      <c r="B42" s="20" t="s">
        <v>93</v>
      </c>
      <c r="C42" s="55" t="n">
        <v>37097</v>
      </c>
      <c r="D42" s="77" t="n">
        <v>15937</v>
      </c>
      <c r="E42" s="22" t="s">
        <v>17</v>
      </c>
      <c r="F42" s="56" t="n">
        <v>2379488.09</v>
      </c>
      <c r="G42" s="24" t="n">
        <f aca="false">+F42/$F$78</f>
        <v>0.00416458008317151</v>
      </c>
    </row>
    <row r="43" customFormat="false" ht="12.75" hidden="false" customHeight="false" outlineLevel="0" collapsed="false">
      <c r="A43" s="22" t="n">
        <v>1544</v>
      </c>
      <c r="B43" s="20" t="s">
        <v>93</v>
      </c>
      <c r="C43" s="55" t="n">
        <v>37116</v>
      </c>
      <c r="D43" s="77" t="n">
        <v>16078</v>
      </c>
      <c r="E43" s="22" t="s">
        <v>17</v>
      </c>
      <c r="F43" s="56" t="n">
        <v>121739.8</v>
      </c>
      <c r="G43" s="24" t="n">
        <f aca="false">+F43/$F$78</f>
        <v>0.000213068999395279</v>
      </c>
    </row>
    <row r="44" customFormat="false" ht="12.75" hidden="false" customHeight="false" outlineLevel="0" collapsed="false">
      <c r="A44" s="22" t="n">
        <v>1244</v>
      </c>
      <c r="B44" s="20" t="s">
        <v>180</v>
      </c>
      <c r="C44" s="55" t="n">
        <v>37097</v>
      </c>
      <c r="D44" s="77" t="n">
        <v>15947</v>
      </c>
      <c r="E44" s="22" t="s">
        <v>17</v>
      </c>
      <c r="F44" s="56" t="n">
        <v>2239.59</v>
      </c>
      <c r="G44" s="24" t="n">
        <f aca="false">+F44/$F$78</f>
        <v>3.91973044440415E-006</v>
      </c>
    </row>
    <row r="45" customFormat="false" ht="12.75" hidden="false" customHeight="false" outlineLevel="0" collapsed="false">
      <c r="A45" s="22" t="n">
        <v>1185</v>
      </c>
      <c r="B45" s="20" t="s">
        <v>181</v>
      </c>
      <c r="C45" s="55" t="n">
        <v>37097</v>
      </c>
      <c r="D45" s="77" t="n">
        <v>15951</v>
      </c>
      <c r="E45" s="22" t="s">
        <v>17</v>
      </c>
      <c r="F45" s="56" t="n">
        <v>127593.07</v>
      </c>
      <c r="G45" s="24" t="n">
        <f aca="false">+F45/$F$78</f>
        <v>0.000223313392618287</v>
      </c>
    </row>
    <row r="46" customFormat="false" ht="12.75" hidden="false" customHeight="false" outlineLevel="0" collapsed="false">
      <c r="A46" s="22" t="n">
        <v>1005</v>
      </c>
      <c r="B46" s="20" t="s">
        <v>163</v>
      </c>
      <c r="C46" s="55" t="n">
        <v>37097</v>
      </c>
      <c r="D46" s="77" t="n">
        <v>15975</v>
      </c>
      <c r="E46" s="22" t="s">
        <v>17</v>
      </c>
      <c r="F46" s="56" t="n">
        <v>162.71</v>
      </c>
      <c r="G46" s="24" t="n">
        <f aca="false">+F46/$F$78</f>
        <v>2.84775043918306E-007</v>
      </c>
    </row>
    <row r="47" customFormat="false" ht="12.75" hidden="false" customHeight="false" outlineLevel="0" collapsed="false">
      <c r="A47" s="22" t="n">
        <v>1022</v>
      </c>
      <c r="B47" s="20" t="s">
        <v>182</v>
      </c>
      <c r="C47" s="55" t="n">
        <v>37116</v>
      </c>
      <c r="D47" s="77" t="n">
        <v>16103</v>
      </c>
      <c r="E47" s="22" t="s">
        <v>17</v>
      </c>
      <c r="F47" s="56" t="n">
        <v>795035.68</v>
      </c>
      <c r="G47" s="24" t="n">
        <f aca="false">+F47/$F$78</f>
        <v>0.00139147145650925</v>
      </c>
    </row>
    <row r="48" customFormat="false" ht="12.75" hidden="false" customHeight="false" outlineLevel="0" collapsed="false">
      <c r="A48" s="69"/>
      <c r="B48" s="71"/>
      <c r="C48" s="80"/>
      <c r="D48" s="37"/>
      <c r="E48" s="69"/>
      <c r="F48" s="34"/>
      <c r="G48" s="39"/>
    </row>
    <row r="49" customFormat="false" ht="12.75" hidden="false" customHeight="false" outlineLevel="0" collapsed="false">
      <c r="A49" s="69"/>
      <c r="B49" s="71"/>
      <c r="C49" s="80"/>
      <c r="D49" s="37"/>
      <c r="E49" s="69"/>
      <c r="F49" s="34"/>
      <c r="G49" s="39"/>
    </row>
    <row r="50" customFormat="false" ht="12.75" hidden="false" customHeight="false" outlineLevel="0" collapsed="false">
      <c r="C50" s="75"/>
    </row>
    <row r="51" customFormat="false" ht="15.75" hidden="false" customHeight="false" outlineLevel="0" collapsed="false">
      <c r="A51" s="69"/>
      <c r="B51" s="5" t="str">
        <f aca="false">+B1</f>
        <v>Certification for Market Settlement August 24, 2001</v>
      </c>
      <c r="C51" s="80"/>
      <c r="D51" s="37"/>
      <c r="E51" s="69"/>
      <c r="F51" s="34"/>
      <c r="G51" s="39"/>
    </row>
    <row r="52" customFormat="false" ht="15.75" hidden="false" customHeight="false" outlineLevel="0" collapsed="false">
      <c r="A52" s="69"/>
      <c r="B52" s="5"/>
      <c r="C52" s="80"/>
      <c r="D52" s="37"/>
      <c r="E52" s="69"/>
      <c r="F52" s="34"/>
      <c r="G52" s="39"/>
    </row>
    <row r="53" customFormat="false" ht="15.75" hidden="false" customHeight="false" outlineLevel="0" collapsed="false">
      <c r="A53" s="69"/>
      <c r="B53" s="5" t="str">
        <f aca="false">+B3</f>
        <v>For the Trade Month of May 2001</v>
      </c>
      <c r="C53" s="80"/>
      <c r="D53" s="37"/>
      <c r="E53" s="69"/>
      <c r="F53" s="34"/>
      <c r="G53" s="39"/>
    </row>
    <row r="54" customFormat="false" ht="12.75" hidden="false" customHeight="false" outlineLevel="0" collapsed="false">
      <c r="A54" s="69"/>
      <c r="B54" s="71"/>
      <c r="C54" s="80"/>
      <c r="D54" s="37"/>
      <c r="E54" s="69"/>
      <c r="F54" s="34"/>
      <c r="G54" s="39"/>
    </row>
    <row r="55" customFormat="false" ht="12.75" hidden="false" customHeight="false" outlineLevel="0" collapsed="false">
      <c r="A55" s="69"/>
      <c r="B55" s="71"/>
      <c r="C55" s="80"/>
      <c r="D55" s="37"/>
      <c r="E55" s="69"/>
      <c r="F55" s="34"/>
      <c r="G55" s="39"/>
    </row>
    <row r="56" customFormat="false" ht="12.75" hidden="false" customHeight="false" outlineLevel="0" collapsed="false">
      <c r="A56" s="69"/>
      <c r="B56" s="71"/>
      <c r="C56" s="80"/>
      <c r="D56" s="37"/>
      <c r="E56" s="69"/>
      <c r="F56" s="34"/>
      <c r="G56" s="39"/>
    </row>
    <row r="57" customFormat="false" ht="15.75" hidden="false" customHeight="false" outlineLevel="0" collapsed="false">
      <c r="A57" s="5" t="s">
        <v>122</v>
      </c>
      <c r="C57" s="75"/>
    </row>
    <row r="58" customFormat="false" ht="16.5" hidden="false" customHeight="false" outlineLevel="0" collapsed="false">
      <c r="A58" s="5" t="s">
        <v>176</v>
      </c>
      <c r="C58" s="75"/>
    </row>
    <row r="59" customFormat="false" ht="24" hidden="false" customHeight="false" outlineLevel="0" collapsed="false">
      <c r="A59" s="6" t="s">
        <v>3</v>
      </c>
      <c r="B59" s="6" t="s">
        <v>4</v>
      </c>
      <c r="C59" s="76" t="s">
        <v>11</v>
      </c>
      <c r="D59" s="6" t="s">
        <v>12</v>
      </c>
      <c r="E59" s="6" t="s">
        <v>13</v>
      </c>
      <c r="F59" s="10" t="s">
        <v>14</v>
      </c>
      <c r="G59" s="10" t="s">
        <v>15</v>
      </c>
      <c r="H59" s="11"/>
      <c r="I59" s="11"/>
    </row>
    <row r="60" customFormat="false" ht="13.5" hidden="false" customHeight="false" outlineLevel="0" collapsed="false">
      <c r="A60" s="22"/>
      <c r="B60" s="20"/>
      <c r="C60" s="55"/>
      <c r="D60" s="77"/>
      <c r="E60" s="22"/>
      <c r="F60" s="56"/>
      <c r="G60" s="24"/>
    </row>
    <row r="61" customFormat="false" ht="12.75" hidden="false" customHeight="false" outlineLevel="0" collapsed="false">
      <c r="A61" s="22" t="n">
        <v>2769</v>
      </c>
      <c r="B61" s="20" t="s">
        <v>164</v>
      </c>
      <c r="C61" s="55" t="n">
        <v>37097</v>
      </c>
      <c r="D61" s="77" t="n">
        <v>15910</v>
      </c>
      <c r="E61" s="22" t="s">
        <v>17</v>
      </c>
      <c r="F61" s="56" t="n">
        <v>154882.82</v>
      </c>
      <c r="G61" s="24" t="n">
        <f aca="false">+F61/$F$78</f>
        <v>0.000271075913390026</v>
      </c>
    </row>
    <row r="62" customFormat="false" ht="12.75" hidden="false" customHeight="false" outlineLevel="0" collapsed="false">
      <c r="A62" s="22" t="n">
        <v>3186</v>
      </c>
      <c r="B62" s="20" t="s">
        <v>159</v>
      </c>
      <c r="C62" s="55" t="n">
        <v>37097</v>
      </c>
      <c r="D62" s="77" t="n">
        <v>15898</v>
      </c>
      <c r="E62" s="22" t="s">
        <v>17</v>
      </c>
      <c r="F62" s="56" t="n">
        <v>12040135.13</v>
      </c>
      <c r="G62" s="24" t="n">
        <f aca="false">+F62/$F$78</f>
        <v>0.0210726446464759</v>
      </c>
    </row>
    <row r="63" customFormat="false" ht="12.75" hidden="false" customHeight="false" outlineLevel="0" collapsed="false">
      <c r="A63" s="22" t="n">
        <v>3186</v>
      </c>
      <c r="B63" s="20" t="s">
        <v>159</v>
      </c>
      <c r="C63" s="55" t="n">
        <v>37116</v>
      </c>
      <c r="D63" s="77" t="n">
        <v>16039</v>
      </c>
      <c r="E63" s="22" t="s">
        <v>17</v>
      </c>
      <c r="F63" s="56" t="n">
        <v>969428.32</v>
      </c>
      <c r="G63" s="24" t="n">
        <f aca="false">+F63/$F$78</f>
        <v>0.00169669345709329</v>
      </c>
    </row>
    <row r="64" customFormat="false" ht="12.75" hidden="false" customHeight="false" outlineLevel="0" collapsed="false">
      <c r="A64" s="22" t="n">
        <v>3187</v>
      </c>
      <c r="B64" s="20" t="s">
        <v>159</v>
      </c>
      <c r="C64" s="55" t="n">
        <v>37097</v>
      </c>
      <c r="D64" s="77" t="n">
        <v>15897</v>
      </c>
      <c r="E64" s="22" t="s">
        <v>17</v>
      </c>
      <c r="F64" s="56" t="n">
        <v>243608942.53</v>
      </c>
      <c r="G64" s="24" t="n">
        <f aca="false">+F64/$F$78</f>
        <v>0.426364374088088</v>
      </c>
    </row>
    <row r="65" customFormat="false" ht="12.75" hidden="false" customHeight="false" outlineLevel="0" collapsed="false">
      <c r="A65" s="22" t="n">
        <v>1183</v>
      </c>
      <c r="B65" s="20" t="s">
        <v>58</v>
      </c>
      <c r="C65" s="55" t="n">
        <v>37097</v>
      </c>
      <c r="D65" s="77" t="n">
        <v>15953</v>
      </c>
      <c r="E65" s="22" t="s">
        <v>17</v>
      </c>
      <c r="F65" s="56" t="n">
        <v>3219.86</v>
      </c>
      <c r="G65" s="24" t="n">
        <f aca="false">+F65/$F$78</f>
        <v>5.63539900996126E-006</v>
      </c>
    </row>
    <row r="66" customFormat="false" ht="12.75" hidden="false" customHeight="false" outlineLevel="0" collapsed="false">
      <c r="A66" s="22" t="n">
        <v>1012</v>
      </c>
      <c r="B66" s="20" t="s">
        <v>148</v>
      </c>
      <c r="C66" s="55" t="n">
        <v>37097</v>
      </c>
      <c r="D66" s="77" t="n">
        <v>15969</v>
      </c>
      <c r="E66" s="22" t="s">
        <v>17</v>
      </c>
      <c r="F66" s="56" t="n">
        <v>85181.41</v>
      </c>
      <c r="G66" s="24" t="n">
        <f aca="false">+F66/$F$78</f>
        <v>0.000149084504786265</v>
      </c>
    </row>
    <row r="67" customFormat="false" ht="12.75" hidden="false" customHeight="false" outlineLevel="0" collapsed="false">
      <c r="A67" s="22" t="n">
        <v>2666</v>
      </c>
      <c r="B67" s="20" t="s">
        <v>183</v>
      </c>
      <c r="C67" s="55" t="n">
        <v>37097</v>
      </c>
      <c r="D67" s="77" t="n">
        <v>15915</v>
      </c>
      <c r="E67" s="22" t="s">
        <v>17</v>
      </c>
      <c r="F67" s="56" t="n">
        <v>10.02</v>
      </c>
      <c r="G67" s="24" t="n">
        <f aca="false">+F67/$F$78</f>
        <v>1.7537004118133E-008</v>
      </c>
    </row>
    <row r="68" customFormat="false" ht="12.75" hidden="false" customHeight="false" outlineLevel="0" collapsed="false">
      <c r="A68" s="22" t="n">
        <v>1384</v>
      </c>
      <c r="B68" s="20" t="s">
        <v>184</v>
      </c>
      <c r="C68" s="55" t="n">
        <v>37097</v>
      </c>
      <c r="D68" s="77" t="n">
        <v>15944</v>
      </c>
      <c r="E68" s="22" t="s">
        <v>17</v>
      </c>
      <c r="F68" s="56" t="n">
        <v>168749.96</v>
      </c>
      <c r="G68" s="24" t="n">
        <f aca="false">+F68/$F$78</f>
        <v>0.000295346181981516</v>
      </c>
    </row>
    <row r="69" customFormat="false" ht="12.75" hidden="false" customHeight="false" outlineLevel="0" collapsed="false">
      <c r="A69" s="22" t="n">
        <v>2626</v>
      </c>
      <c r="B69" s="20" t="s">
        <v>185</v>
      </c>
      <c r="C69" s="55" t="n">
        <v>37097</v>
      </c>
      <c r="D69" s="77" t="n">
        <v>15917</v>
      </c>
      <c r="E69" s="22" t="s">
        <v>17</v>
      </c>
      <c r="F69" s="56" t="n">
        <v>28483.79</v>
      </c>
      <c r="G69" s="24" t="n">
        <f aca="false">+F69/$F$78</f>
        <v>4.98523295938161E-005</v>
      </c>
    </row>
    <row r="70" customFormat="false" ht="12.75" hidden="false" customHeight="false" outlineLevel="0" collapsed="false">
      <c r="A70" s="22" t="n">
        <v>2528</v>
      </c>
      <c r="B70" s="20" t="s">
        <v>94</v>
      </c>
      <c r="C70" s="55" t="n">
        <v>37097</v>
      </c>
      <c r="D70" s="77" t="n">
        <v>15922</v>
      </c>
      <c r="E70" s="22" t="s">
        <v>17</v>
      </c>
      <c r="F70" s="56" t="n">
        <v>5187.76</v>
      </c>
      <c r="G70" s="24" t="n">
        <f aca="false">+F70/$F$78</f>
        <v>9.07961761316227E-006</v>
      </c>
    </row>
    <row r="71" customFormat="false" ht="12.75" hidden="false" customHeight="false" outlineLevel="0" collapsed="false">
      <c r="A71" s="22" t="n">
        <v>1008</v>
      </c>
      <c r="B71" s="20" t="s">
        <v>124</v>
      </c>
      <c r="C71" s="55" t="n">
        <v>37097</v>
      </c>
      <c r="D71" s="77" t="n">
        <v>15972</v>
      </c>
      <c r="E71" s="22" t="s">
        <v>17</v>
      </c>
      <c r="F71" s="56" t="n">
        <v>2580.99</v>
      </c>
      <c r="G71" s="24" t="n">
        <f aca="false">+F71/$F$78</f>
        <v>4.51724872842916E-006</v>
      </c>
    </row>
    <row r="72" customFormat="false" ht="12.75" hidden="false" customHeight="false" outlineLevel="0" collapsed="false">
      <c r="A72" s="22" t="n">
        <v>1010</v>
      </c>
      <c r="B72" s="20" t="s">
        <v>60</v>
      </c>
      <c r="C72" s="55" t="n">
        <v>37097</v>
      </c>
      <c r="D72" s="77" t="n">
        <v>15971</v>
      </c>
      <c r="E72" s="22" t="s">
        <v>17</v>
      </c>
      <c r="F72" s="56" t="n">
        <v>275597626.93</v>
      </c>
      <c r="G72" s="24" t="n">
        <f aca="false">+F72/$F$78</f>
        <v>0.482350969902106</v>
      </c>
      <c r="H72" s="35"/>
      <c r="I72" s="52" t="n">
        <f aca="false">SUM(F30:F76)-567732769.56</f>
        <v>0</v>
      </c>
    </row>
    <row r="73" customFormat="false" ht="12.75" hidden="false" customHeight="false" outlineLevel="0" collapsed="false">
      <c r="A73" s="22" t="n">
        <v>1010</v>
      </c>
      <c r="B73" s="20" t="s">
        <v>60</v>
      </c>
      <c r="C73" s="55" t="n">
        <v>37116</v>
      </c>
      <c r="D73" s="77" t="n">
        <v>16112</v>
      </c>
      <c r="E73" s="22" t="s">
        <v>17</v>
      </c>
      <c r="F73" s="56" t="n">
        <v>7735653.83</v>
      </c>
      <c r="G73" s="24" t="n">
        <f aca="false">+F73/$F$78</f>
        <v>0.0135389414244672</v>
      </c>
      <c r="H73" s="35"/>
      <c r="I73" s="52"/>
    </row>
    <row r="74" customFormat="false" ht="12.75" hidden="false" customHeight="false" outlineLevel="0" collapsed="false">
      <c r="A74" s="22" t="n">
        <v>2767</v>
      </c>
      <c r="B74" s="20" t="s">
        <v>186</v>
      </c>
      <c r="C74" s="55" t="n">
        <v>37097</v>
      </c>
      <c r="D74" s="77" t="n">
        <v>15911</v>
      </c>
      <c r="E74" s="22" t="s">
        <v>17</v>
      </c>
      <c r="F74" s="56" t="n">
        <v>121.08</v>
      </c>
      <c r="G74" s="24" t="n">
        <f aca="false">+F74/$F$78</f>
        <v>2.119142174275E-007</v>
      </c>
      <c r="H74" s="35"/>
      <c r="I74" s="52"/>
    </row>
    <row r="75" customFormat="false" ht="12.75" hidden="false" customHeight="false" outlineLevel="0" collapsed="false">
      <c r="A75" s="22" t="n">
        <v>2767</v>
      </c>
      <c r="B75" s="20" t="s">
        <v>186</v>
      </c>
      <c r="C75" s="55" t="n">
        <v>37116</v>
      </c>
      <c r="D75" s="77" t="n">
        <v>16052</v>
      </c>
      <c r="E75" s="22" t="s">
        <v>17</v>
      </c>
      <c r="F75" s="56" t="n">
        <v>154.38</v>
      </c>
      <c r="G75" s="24" t="n">
        <f aca="false">+F75/$F$78</f>
        <v>2.70195877820098E-007</v>
      </c>
      <c r="H75" s="35"/>
      <c r="I75" s="52"/>
    </row>
    <row r="76" customFormat="false" ht="12.75" hidden="false" customHeight="false" outlineLevel="0" collapsed="false">
      <c r="A76" s="22" t="n">
        <v>3207</v>
      </c>
      <c r="B76" s="20" t="s">
        <v>187</v>
      </c>
      <c r="C76" s="55" t="n">
        <v>37116</v>
      </c>
      <c r="D76" s="77" t="n">
        <v>16034</v>
      </c>
      <c r="E76" s="22" t="s">
        <v>17</v>
      </c>
      <c r="F76" s="28" t="n">
        <v>232692.9</v>
      </c>
      <c r="G76" s="29" t="n">
        <f aca="false">+F76/$F$78</f>
        <v>0.000407259116323385</v>
      </c>
    </row>
    <row r="77" customFormat="false" ht="12.75" hidden="false" customHeight="false" outlineLevel="0" collapsed="false">
      <c r="A77" s="30"/>
      <c r="B77" s="31"/>
      <c r="C77" s="32"/>
      <c r="D77" s="33"/>
      <c r="E77" s="33"/>
      <c r="F77" s="34"/>
      <c r="G77" s="35"/>
    </row>
    <row r="78" customFormat="false" ht="13.5" hidden="false" customHeight="false" outlineLevel="0" collapsed="false">
      <c r="B78" s="15" t="s">
        <v>18</v>
      </c>
      <c r="F78" s="17" t="n">
        <f aca="false">SUM(F20:F77)</f>
        <v>571363268.92</v>
      </c>
      <c r="G78" s="18" t="n">
        <f aca="false">+F78/F78</f>
        <v>1</v>
      </c>
    </row>
    <row r="79" customFormat="false" ht="13.5" hidden="false" customHeight="false" outlineLevel="0" collapsed="false"/>
    <row r="82" customFormat="false" ht="12.75" hidden="false" customHeight="false" outlineLevel="0" collapsed="false">
      <c r="B82" s="57" t="s">
        <v>62</v>
      </c>
    </row>
    <row r="83" customFormat="false" ht="12.75" hidden="false" customHeight="false" outlineLevel="0" collapsed="false">
      <c r="B83" s="57" t="s">
        <v>188</v>
      </c>
    </row>
    <row r="86" customFormat="false" ht="15.75" hidden="false" customHeight="false" outlineLevel="0" collapsed="false">
      <c r="B86" s="5" t="str">
        <f aca="false">+B1</f>
        <v>Certification for Market Settlement August 24, 2001</v>
      </c>
    </row>
    <row r="87" customFormat="false" ht="15.75" hidden="false" customHeight="false" outlineLevel="0" collapsed="false">
      <c r="B87" s="5"/>
    </row>
    <row r="88" customFormat="false" ht="15.75" hidden="false" customHeight="false" outlineLevel="0" collapsed="false">
      <c r="B88" s="5" t="str">
        <f aca="false">+B53</f>
        <v>For the Trade Month of May 2001</v>
      </c>
    </row>
    <row r="89" customFormat="false" ht="15.75" hidden="false" customHeight="false" outlineLevel="0" collapsed="false">
      <c r="B89" s="5"/>
    </row>
    <row r="90" customFormat="false" ht="15.75" hidden="false" customHeight="false" outlineLevel="0" collapsed="false">
      <c r="B90" s="5"/>
    </row>
    <row r="91" customFormat="false" ht="15.75" hidden="false" customHeight="false" outlineLevel="0" collapsed="false">
      <c r="B91" s="5" t="s">
        <v>20</v>
      </c>
    </row>
    <row r="92" customFormat="false" ht="15.75" hidden="false" customHeight="false" outlineLevel="0" collapsed="false">
      <c r="B92" s="5"/>
    </row>
    <row r="93" customFormat="false" ht="12.75" hidden="false" customHeight="false" outlineLevel="0" collapsed="false">
      <c r="B93" s="35" t="s">
        <v>21</v>
      </c>
      <c r="C93" s="36"/>
      <c r="D93" s="37"/>
      <c r="E93" s="37"/>
      <c r="F93" s="38" t="n">
        <v>629206074.5</v>
      </c>
      <c r="G93" s="58" t="n">
        <f aca="false">+F93/F95</f>
        <v>0.974717777325345</v>
      </c>
    </row>
    <row r="94" customFormat="false" ht="12.75" hidden="false" customHeight="false" outlineLevel="0" collapsed="false">
      <c r="B94" s="35" t="s">
        <v>22</v>
      </c>
      <c r="C94" s="36"/>
      <c r="D94" s="37"/>
      <c r="E94" s="37"/>
      <c r="F94" s="40" t="n">
        <v>16320342.62</v>
      </c>
      <c r="G94" s="58" t="n">
        <f aca="false">+F94/F95</f>
        <v>0.0252822226746549</v>
      </c>
    </row>
    <row r="95" customFormat="false" ht="12.75" hidden="false" customHeight="false" outlineLevel="0" collapsed="false">
      <c r="B95" s="41" t="s">
        <v>23</v>
      </c>
      <c r="C95" s="36"/>
      <c r="D95" s="37"/>
      <c r="E95" s="37"/>
      <c r="F95" s="40" t="n">
        <f aca="false">SUM(F93:F94)</f>
        <v>645526417.12</v>
      </c>
      <c r="G95" s="60" t="n">
        <f aca="false">+F95/F95</f>
        <v>1</v>
      </c>
    </row>
    <row r="96" customFormat="false" ht="15.75" hidden="false" customHeight="false" outlineLevel="0" collapsed="false">
      <c r="B96" s="5"/>
    </row>
    <row r="97" customFormat="false" ht="12.75" hidden="false" customHeight="false" outlineLevel="0" collapsed="false">
      <c r="B97" s="35" t="s">
        <v>189</v>
      </c>
      <c r="C97" s="36"/>
      <c r="D97" s="37"/>
      <c r="E97" s="37"/>
      <c r="F97" s="34" t="n">
        <v>38626846.89</v>
      </c>
    </row>
    <row r="98" customFormat="false" ht="12.75" hidden="false" customHeight="false" outlineLevel="0" collapsed="false">
      <c r="B98" s="35" t="s">
        <v>190</v>
      </c>
      <c r="C98" s="36"/>
      <c r="D98" s="37"/>
      <c r="E98" s="37"/>
      <c r="F98" s="40" t="n">
        <v>21768339.24</v>
      </c>
    </row>
    <row r="99" customFormat="false" ht="12.75" hidden="false" customHeight="false" outlineLevel="0" collapsed="false">
      <c r="B99" s="41" t="s">
        <v>28</v>
      </c>
      <c r="C99" s="36"/>
      <c r="D99" s="37"/>
      <c r="E99" s="37"/>
      <c r="F99" s="40" t="n">
        <f aca="false">SUM(F97:F98)</f>
        <v>60395186.13</v>
      </c>
      <c r="G99" s="60" t="n">
        <f aca="false">+F99/F95</f>
        <v>0.0935595887763225</v>
      </c>
    </row>
    <row r="100" customFormat="false" ht="15.75" hidden="false" customHeight="false" outlineLevel="0" collapsed="false">
      <c r="B100" s="5"/>
    </row>
    <row r="101" customFormat="false" ht="12.75" hidden="false" customHeight="false" outlineLevel="0" collapsed="false">
      <c r="A101" s="36"/>
      <c r="B101" s="35" t="s">
        <v>191</v>
      </c>
      <c r="C101" s="36"/>
      <c r="D101" s="37"/>
      <c r="E101" s="37"/>
      <c r="F101" s="34" t="n">
        <v>52237.34</v>
      </c>
      <c r="G101" s="35"/>
      <c r="H101" s="35"/>
      <c r="I101" s="35"/>
    </row>
    <row r="102" customFormat="false" ht="12.75" hidden="false" customHeight="false" outlineLevel="0" collapsed="false">
      <c r="A102" s="36"/>
      <c r="B102" s="35" t="s">
        <v>173</v>
      </c>
      <c r="C102" s="36"/>
      <c r="D102" s="37"/>
      <c r="E102" s="37"/>
      <c r="F102" s="34" t="n">
        <v>2137666.18</v>
      </c>
      <c r="G102" s="35"/>
      <c r="H102" s="35"/>
      <c r="I102" s="35"/>
    </row>
    <row r="103" customFormat="false" ht="12.75" hidden="false" customHeight="false" outlineLevel="0" collapsed="false">
      <c r="A103" s="36"/>
      <c r="B103" s="35" t="s">
        <v>75</v>
      </c>
      <c r="C103" s="36"/>
      <c r="D103" s="37"/>
      <c r="E103" s="37"/>
      <c r="F103" s="40" t="n">
        <v>15208557.91</v>
      </c>
      <c r="G103" s="35"/>
      <c r="H103" s="35"/>
      <c r="I103" s="35"/>
    </row>
    <row r="104" customFormat="false" ht="12.75" hidden="false" customHeight="false" outlineLevel="0" collapsed="false">
      <c r="B104" s="15" t="s">
        <v>31</v>
      </c>
      <c r="F104" s="63" t="n">
        <f aca="false">SUM(F101:F103)</f>
        <v>17398461.43</v>
      </c>
      <c r="G104" s="60" t="n">
        <f aca="false">+F104/F95</f>
        <v>0.0269523616208037</v>
      </c>
    </row>
    <row r="105" customFormat="false" ht="12.75" hidden="false" customHeight="false" outlineLevel="0" collapsed="false">
      <c r="B105" s="15"/>
      <c r="F105" s="52"/>
      <c r="G105" s="60"/>
    </row>
    <row r="106" customFormat="false" ht="12.75" hidden="false" customHeight="false" outlineLevel="0" collapsed="false">
      <c r="A106" s="36"/>
      <c r="B106" s="35" t="s">
        <v>192</v>
      </c>
      <c r="C106" s="36"/>
      <c r="D106" s="37"/>
      <c r="E106" s="37"/>
      <c r="F106" s="40" t="n">
        <v>3630499.36</v>
      </c>
      <c r="G106" s="60" t="n">
        <f aca="false">+F106/F95</f>
        <v>0.00562409107313901</v>
      </c>
      <c r="H106" s="35"/>
      <c r="I106" s="35"/>
    </row>
    <row r="107" customFormat="false" ht="15.75" hidden="false" customHeight="false" outlineLevel="0" collapsed="false">
      <c r="B107" s="5"/>
    </row>
    <row r="108" customFormat="false" ht="16.5" hidden="false" customHeight="false" outlineLevel="0" collapsed="false">
      <c r="B108" s="45" t="s">
        <v>32</v>
      </c>
      <c r="C108" s="46"/>
      <c r="D108" s="47"/>
      <c r="E108" s="47"/>
      <c r="F108" s="48" t="n">
        <f aca="false">+F95-F99-F104+F106</f>
        <v>571363268.92</v>
      </c>
      <c r="G108" s="61" t="n">
        <f aca="false">+F108/F95</f>
        <v>0.885112140676013</v>
      </c>
      <c r="I108" s="54" t="n">
        <f aca="false">+F78-F108</f>
        <v>0</v>
      </c>
    </row>
    <row r="109" customFormat="false" ht="15.75" hidden="false" customHeight="false" outlineLevel="0" collapsed="false">
      <c r="B109" s="50"/>
      <c r="C109" s="36"/>
      <c r="D109" s="37"/>
      <c r="E109" s="37"/>
      <c r="F109" s="51"/>
    </row>
    <row r="110" customFormat="false" ht="15.75" hidden="false" customHeight="false" outlineLevel="0" collapsed="false">
      <c r="B110" s="5"/>
    </row>
    <row r="111" customFormat="false" ht="15.75" hidden="false" customHeight="false" outlineLevel="0" collapsed="false">
      <c r="B111" s="50" t="s">
        <v>33</v>
      </c>
      <c r="C111" s="36"/>
      <c r="D111" s="37"/>
      <c r="E111" s="37"/>
      <c r="F111" s="35"/>
    </row>
    <row r="112" customFormat="false" ht="15.75" hidden="false" customHeight="false" outlineLevel="0" collapsed="false">
      <c r="B112" s="50"/>
      <c r="C112" s="36"/>
      <c r="D112" s="37"/>
      <c r="E112" s="37"/>
      <c r="F112" s="35"/>
    </row>
    <row r="113" customFormat="false" ht="12.75" hidden="false" customHeight="false" outlineLevel="0" collapsed="false">
      <c r="A113" s="36"/>
      <c r="B113" s="35" t="s">
        <v>21</v>
      </c>
      <c r="C113" s="36"/>
      <c r="D113" s="37"/>
      <c r="E113" s="37"/>
      <c r="F113" s="38" t="n">
        <v>629486180.25</v>
      </c>
      <c r="G113" s="64" t="n">
        <f aca="false">+F113/F115</f>
        <v>0.974726897212987</v>
      </c>
      <c r="H113" s="35"/>
      <c r="I113" s="35"/>
    </row>
    <row r="114" customFormat="false" ht="12.75" hidden="false" customHeight="false" outlineLevel="0" collapsed="false">
      <c r="B114" s="35" t="s">
        <v>22</v>
      </c>
      <c r="C114" s="36"/>
      <c r="D114" s="37"/>
      <c r="E114" s="37"/>
      <c r="F114" s="40" t="n">
        <v>16321565.54</v>
      </c>
      <c r="G114" s="64" t="n">
        <f aca="false">+F114/F115</f>
        <v>0.0252731027870133</v>
      </c>
    </row>
    <row r="115" customFormat="false" ht="12.75" hidden="false" customHeight="false" outlineLevel="0" collapsed="false">
      <c r="B115" s="41" t="s">
        <v>23</v>
      </c>
      <c r="C115" s="36"/>
      <c r="D115" s="37"/>
      <c r="E115" s="37"/>
      <c r="F115" s="40" t="n">
        <f aca="false">SUM(F113:F114)</f>
        <v>645807745.79</v>
      </c>
      <c r="G115" s="60" t="n">
        <f aca="false">+F115/F115</f>
        <v>1</v>
      </c>
    </row>
    <row r="116" customFormat="false" ht="15.75" hidden="false" customHeight="false" outlineLevel="0" collapsed="false">
      <c r="B116" s="5"/>
    </row>
    <row r="117" customFormat="false" ht="12.75" hidden="false" customHeight="false" outlineLevel="0" collapsed="false">
      <c r="B117" s="35" t="s">
        <v>138</v>
      </c>
      <c r="C117" s="36"/>
      <c r="D117" s="37"/>
      <c r="E117" s="37"/>
      <c r="F117" s="40" t="n">
        <v>57029735.53</v>
      </c>
    </row>
    <row r="118" customFormat="false" ht="12.75" hidden="false" customHeight="false" outlineLevel="0" collapsed="false">
      <c r="B118" s="41" t="s">
        <v>39</v>
      </c>
      <c r="C118" s="36"/>
      <c r="D118" s="37"/>
      <c r="E118" s="37"/>
      <c r="F118" s="40" t="n">
        <f aca="false">SUM(F117)</f>
        <v>57029735.53</v>
      </c>
      <c r="G118" s="60" t="n">
        <f aca="false">+F118/F115</f>
        <v>0.0883076053233722</v>
      </c>
    </row>
    <row r="119" customFormat="false" ht="15.75" hidden="false" customHeight="false" outlineLevel="0" collapsed="false">
      <c r="B119" s="5"/>
    </row>
    <row r="120" customFormat="false" ht="12.75" hidden="false" customHeight="false" outlineLevel="0" collapsed="false">
      <c r="B120" s="35" t="s">
        <v>106</v>
      </c>
      <c r="C120" s="36"/>
      <c r="D120" s="37"/>
      <c r="E120" s="37"/>
      <c r="F120" s="52" t="n">
        <v>13796.62</v>
      </c>
    </row>
    <row r="121" customFormat="false" ht="12.75" hidden="false" customHeight="false" outlineLevel="0" collapsed="false">
      <c r="B121" s="35" t="s">
        <v>70</v>
      </c>
      <c r="C121" s="36"/>
      <c r="D121" s="37"/>
      <c r="E121" s="37"/>
      <c r="F121" s="52" t="n">
        <v>1006.04</v>
      </c>
    </row>
    <row r="122" customFormat="false" ht="12.75" hidden="false" customHeight="false" outlineLevel="0" collapsed="false">
      <c r="B122" s="35" t="s">
        <v>139</v>
      </c>
      <c r="C122" s="36"/>
      <c r="D122" s="37"/>
      <c r="E122" s="37"/>
      <c r="F122" s="52" t="n">
        <v>1256.42</v>
      </c>
    </row>
    <row r="123" customFormat="false" ht="12.75" hidden="false" customHeight="false" outlineLevel="0" collapsed="false">
      <c r="B123" s="35" t="s">
        <v>110</v>
      </c>
      <c r="C123" s="36"/>
      <c r="D123" s="37"/>
      <c r="E123" s="37"/>
      <c r="F123" s="52" t="n">
        <v>169976.54</v>
      </c>
    </row>
    <row r="124" customFormat="false" ht="12.75" hidden="false" customHeight="false" outlineLevel="0" collapsed="false">
      <c r="B124" s="35" t="s">
        <v>173</v>
      </c>
      <c r="C124" s="36"/>
      <c r="D124" s="37"/>
      <c r="E124" s="37"/>
      <c r="F124" s="52" t="n">
        <v>101935.48</v>
      </c>
    </row>
    <row r="125" customFormat="false" ht="12.75" hidden="false" customHeight="false" outlineLevel="0" collapsed="false">
      <c r="B125" s="35" t="s">
        <v>75</v>
      </c>
      <c r="C125" s="36"/>
      <c r="D125" s="37"/>
      <c r="E125" s="37"/>
      <c r="F125" s="63" t="n">
        <v>15207497.13</v>
      </c>
    </row>
    <row r="126" customFormat="false" ht="12.75" hidden="false" customHeight="false" outlineLevel="0" collapsed="false">
      <c r="B126" s="15" t="s">
        <v>31</v>
      </c>
      <c r="C126" s="36"/>
      <c r="D126" s="37"/>
      <c r="E126" s="37"/>
      <c r="F126" s="63" t="n">
        <f aca="false">SUM(F120:F125)</f>
        <v>15495468.23</v>
      </c>
      <c r="G126" s="60" t="n">
        <f aca="false">+F126/F115</f>
        <v>0.0239939336915893</v>
      </c>
    </row>
    <row r="127" customFormat="false" ht="15.75" hidden="false" customHeight="false" outlineLevel="0" collapsed="false">
      <c r="B127" s="5"/>
    </row>
    <row r="128" customFormat="false" ht="16.5" hidden="false" customHeight="false" outlineLevel="0" collapsed="false">
      <c r="B128" s="45" t="s">
        <v>53</v>
      </c>
      <c r="C128" s="46"/>
      <c r="D128" s="47"/>
      <c r="E128" s="47"/>
      <c r="F128" s="48" t="n">
        <f aca="false">+F115-F118-F126</f>
        <v>573282542.03</v>
      </c>
      <c r="G128" s="61" t="n">
        <f aca="false">+F128/F115</f>
        <v>0.887698460985039</v>
      </c>
      <c r="I128" s="54" t="n">
        <f aca="false">+F10-F128</f>
        <v>0</v>
      </c>
    </row>
    <row r="129" customFormat="false" ht="15.75" hidden="false" customHeight="false" outlineLevel="0" collapsed="false">
      <c r="B129" s="5"/>
    </row>
    <row r="130" customFormat="false" ht="15.75" hidden="false" customHeight="false" outlineLevel="0" collapsed="false">
      <c r="B130" s="50" t="s">
        <v>111</v>
      </c>
      <c r="C130" s="36"/>
      <c r="D130" s="37"/>
      <c r="E130" s="37"/>
    </row>
    <row r="131" customFormat="false" ht="15.75" hidden="false" customHeight="false" outlineLevel="0" collapsed="false">
      <c r="B131" s="50"/>
      <c r="C131" s="36"/>
      <c r="D131" s="37"/>
      <c r="E131" s="37"/>
    </row>
    <row r="132" customFormat="false" ht="12.75" hidden="false" customHeight="false" outlineLevel="0" collapsed="false">
      <c r="B132" s="66" t="s">
        <v>113</v>
      </c>
      <c r="C132" s="36"/>
      <c r="D132" s="37"/>
      <c r="E132" s="37"/>
      <c r="F132" s="81" t="n">
        <f aca="false">+F133</f>
        <v>1919273.1099999</v>
      </c>
    </row>
    <row r="133" customFormat="false" ht="16.5" hidden="false" customHeight="false" outlineLevel="0" collapsed="false">
      <c r="B133" s="50" t="s">
        <v>114</v>
      </c>
      <c r="F133" s="67" t="n">
        <f aca="false">+F128-F108</f>
        <v>1919273.1099999</v>
      </c>
    </row>
    <row r="134" customFormat="false" ht="13.5" hidden="false" customHeight="false" outlineLevel="0" collapsed="false"/>
  </sheetData>
  <printOptions headings="false" gridLines="false" gridLinesSet="true" horizontalCentered="false" verticalCentered="false"/>
  <pageMargins left="0.5" right="0.25" top="0.5" bottom="0.5" header="0.511811023622047" footer="0"/>
  <pageSetup paperSize="1" scale="89" fitToWidth="1" fitToHeight="1" pageOrder="downThenOver" orientation="portrait" blackAndWhite="false" draft="false" cellComments="none" horizontalDpi="300" verticalDpi="300" copies="1"/>
  <headerFooter differentFirst="false" differentOddEven="false">
    <oddHeader/>
    <oddFooter>&amp;LCertification August 24, 2001&amp;CPage &amp;P of &amp;N&amp;RTrade Month May 2001</oddFooter>
  </headerFooter>
  <rowBreaks count="2" manualBreakCount="2">
    <brk id="50" man="true" max="16383" min="0"/>
    <brk id="84" man="true" max="16383" min="0"/>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8" activeCellId="0" sqref="A18"/>
    </sheetView>
  </sheetViews>
  <sheetFormatPr defaultColWidth="9.0546875" defaultRowHeight="12.75" customHeight="true" zeroHeight="false" outlineLevelRow="0" outlineLevelCol="0"/>
  <cols>
    <col collapsed="false" customWidth="true" hidden="false" outlineLevel="0" max="1" min="1" style="0" width="70.7"/>
    <col collapsed="false" customWidth="true" hidden="false" outlineLevel="0" max="2" min="2" style="0" width="16.7"/>
  </cols>
  <sheetData>
    <row r="1" customFormat="false" ht="15.75" hidden="false" customHeight="true" outlineLevel="0" collapsed="false">
      <c r="A1" s="3" t="s">
        <v>193</v>
      </c>
    </row>
    <row r="2" customFormat="false" ht="15.75" hidden="false" customHeight="true" outlineLevel="0" collapsed="false">
      <c r="A2" s="5"/>
    </row>
    <row r="3" customFormat="false" ht="15.75" hidden="false" customHeight="true" outlineLevel="0" collapsed="false">
      <c r="A3" s="82" t="s">
        <v>194</v>
      </c>
    </row>
    <row r="4" customFormat="false" ht="15.75" hidden="false" customHeight="true" outlineLevel="0" collapsed="false">
      <c r="A4" s="83" t="s">
        <v>195</v>
      </c>
    </row>
    <row r="5" customFormat="false" ht="15.75" hidden="false" customHeight="true" outlineLevel="0" collapsed="false">
      <c r="A5" s="83" t="s">
        <v>196</v>
      </c>
    </row>
    <row r="6" customFormat="false" ht="15.75" hidden="false" customHeight="true" outlineLevel="0" collapsed="false">
      <c r="A6" s="83" t="s">
        <v>197</v>
      </c>
    </row>
    <row r="7" customFormat="false" ht="15.75" hidden="false" customHeight="true" outlineLevel="0" collapsed="false">
      <c r="A7" s="83" t="s">
        <v>198</v>
      </c>
    </row>
    <row r="8" customFormat="false" ht="15.75" hidden="false" customHeight="true" outlineLevel="0" collapsed="false">
      <c r="A8" s="83" t="s">
        <v>199</v>
      </c>
    </row>
    <row r="9" customFormat="false" ht="15.75" hidden="false" customHeight="true" outlineLevel="0" collapsed="false">
      <c r="A9" s="83" t="s">
        <v>200</v>
      </c>
    </row>
    <row r="10" customFormat="false" ht="15.75" hidden="false" customHeight="true" outlineLevel="0" collapsed="false">
      <c r="A10" s="83" t="s">
        <v>201</v>
      </c>
    </row>
    <row r="11" customFormat="false" ht="15.75" hidden="false" customHeight="true" outlineLevel="0" collapsed="false">
      <c r="A11" s="83"/>
    </row>
    <row r="12" customFormat="false" ht="15.75" hidden="false" customHeight="true" outlineLevel="0" collapsed="false">
      <c r="A12" s="83"/>
    </row>
    <row r="13" customFormat="false" ht="15.75" hidden="false" customHeight="true" outlineLevel="0" collapsed="false"/>
    <row r="14" customFormat="false" ht="15.75" hidden="false" customHeight="true" outlineLevel="0" collapsed="false">
      <c r="A14" s="5" t="s">
        <v>202</v>
      </c>
    </row>
    <row r="15" customFormat="false" ht="15.75" hidden="false" customHeight="true" outlineLevel="0" collapsed="false">
      <c r="A15" s="84"/>
    </row>
    <row r="16" customFormat="false" ht="102.75" hidden="false" customHeight="true" outlineLevel="0" collapsed="false">
      <c r="A16" s="85" t="s">
        <v>203</v>
      </c>
    </row>
    <row r="17" customFormat="false" ht="15.75" hidden="false" customHeight="true" outlineLevel="0" collapsed="false"/>
    <row r="18" customFormat="false" ht="15.75" hidden="false" customHeight="true" outlineLevel="0" collapsed="false">
      <c r="A18" s="5" t="s">
        <v>204</v>
      </c>
    </row>
    <row r="19" customFormat="false" ht="15.75" hidden="false" customHeight="true" outlineLevel="0" collapsed="false">
      <c r="A19" s="5" t="s">
        <v>205</v>
      </c>
    </row>
    <row r="20" customFormat="false" ht="54.75" hidden="false" customHeight="true" outlineLevel="0" collapsed="false">
      <c r="A20" s="45"/>
    </row>
    <row r="21" customFormat="false" ht="15.75" hidden="false" customHeight="true" outlineLevel="0" collapsed="false">
      <c r="A21" s="5" t="s">
        <v>206</v>
      </c>
    </row>
  </sheetData>
  <printOptions headings="false" gridLines="false" gridLinesSet="true" horizontalCentered="false" verticalCentered="false"/>
  <pageMargins left="1"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&amp;LCertification August 24, 2001&amp;CPage 1</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1998-02-16T23:11:47Z</dcterms:created>
  <dc:creator>Brown and Caldwell</dc:creator>
  <dc:description/>
  <dc:language>en-US</dc:language>
  <cp:lastModifiedBy>mepstein</cp:lastModifiedBy>
  <cp:lastPrinted>2001-08-24T21:40:22Z</cp:lastPrinted>
  <dcterms:modified xsi:type="dcterms:W3CDTF">2001-08-29T14:34:08Z</dcterms:modified>
  <cp:revision>0</cp:revision>
  <dc:subject/>
  <dc:title/>
</cp:coreProperties>
</file>